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townofmontaguema.sharepoint.com/sites/SELECTMENDATA/Shared Documents/1 SB Agenda and Minutes/AGENDA PREP/2023-03-13 Selectboard/"/>
    </mc:Choice>
  </mc:AlternateContent>
  <xr:revisionPtr revIDLastSave="0" documentId="8_{CCC4475D-F095-4E0C-81E8-09D363349903}" xr6:coauthVersionLast="47" xr6:coauthVersionMax="47" xr10:uidLastSave="{00000000-0000-0000-0000-000000000000}"/>
  <bookViews>
    <workbookView xWindow="-120" yWindow="-120" windowWidth="20730" windowHeight="11160" firstSheet="3" activeTab="3" xr2:uid="{00000000-000D-0000-FFFF-FFFF00000000}"/>
  </bookViews>
  <sheets>
    <sheet name="Table of Contents" sheetId="163" r:id="rId1"/>
    <sheet name="Tabs" sheetId="176" r:id="rId2"/>
    <sheet name="Tax Impact Calculator" sheetId="178" r:id="rId3"/>
    <sheet name="To Do and Changes" sheetId="112" r:id="rId4"/>
    <sheet name="Policies to Review" sheetId="175" r:id="rId5"/>
    <sheet name="Est WPCF Rate Incr" sheetId="144" r:id="rId6"/>
    <sheet name="Rev Forecasting" sheetId="169" r:id="rId7"/>
    <sheet name="Revenue Projections Detail" sheetId="26" r:id="rId8"/>
    <sheet name="Affordable Assessment" sheetId="133" r:id="rId9"/>
    <sheet name="Financial Policy Numbers" sheetId="143" r:id="rId10"/>
    <sheet name="Working Budget with funding det" sheetId="66" r:id="rId11"/>
    <sheet name="Budget Summary" sheetId="167" r:id="rId12"/>
    <sheet name="113 Town Mtg" sheetId="29" r:id="rId13"/>
    <sheet name="122 Selectboard" sheetId="30" r:id="rId14"/>
    <sheet name="131 Fin Comm" sheetId="31" r:id="rId15"/>
    <sheet name="132 Reserve Fund" sheetId="32" r:id="rId16"/>
    <sheet name="135 Acct" sheetId="33" r:id="rId17"/>
    <sheet name="141 BOA" sheetId="34" r:id="rId18"/>
    <sheet name="145 Treas" sheetId="35" r:id="rId19"/>
    <sheet name="151 Counsel" sheetId="36" r:id="rId20"/>
    <sheet name="155 IT" sheetId="149" r:id="rId21"/>
    <sheet name="159 Shared Costs" sheetId="77" r:id="rId22"/>
    <sheet name="161 Clerk" sheetId="38" r:id="rId23"/>
    <sheet name="175 Planning" sheetId="40" r:id="rId24"/>
    <sheet name="176 ZBA" sheetId="41" r:id="rId25"/>
    <sheet name="182 MEDIC" sheetId="180" r:id="rId26"/>
    <sheet name="197 Farm Mkt" sheetId="139" r:id="rId27"/>
    <sheet name="190 Publ Bldg Utilities" sheetId="87" r:id="rId28"/>
    <sheet name="211 Police" sheetId="43" r:id="rId29"/>
    <sheet name="212 Dispatch" sheetId="60" r:id="rId30"/>
    <sheet name="241 Bldg" sheetId="44" r:id="rId31"/>
    <sheet name="244 Sealer" sheetId="45" r:id="rId32"/>
    <sheet name="291 Emergency" sheetId="46" r:id="rId33"/>
    <sheet name="292 Animal" sheetId="47" r:id="rId34"/>
    <sheet name="294 Forest Warden" sheetId="48" r:id="rId35"/>
    <sheet name="299 Tree Warden" sheetId="86" r:id="rId36"/>
    <sheet name="300 Schools" sheetId="13" r:id="rId37"/>
    <sheet name="420 DPW" sheetId="15" r:id="rId38"/>
    <sheet name="192 Public Bldgs" sheetId="56" r:id="rId39"/>
    <sheet name="422 Maintenance" sheetId="17" r:id="rId40"/>
    <sheet name="652 Parks" sheetId="23" r:id="rId41"/>
    <sheet name="423 Snow" sheetId="18" r:id="rId42"/>
    <sheet name="433 Solid Waste" sheetId="22" r:id="rId43"/>
    <sheet name="480 Charging Stations" sheetId="165" r:id="rId44"/>
    <sheet name="491 Cemetery" sheetId="7" r:id="rId45"/>
    <sheet name="511 BOH" sheetId="8" r:id="rId46"/>
    <sheet name="541 COA" sheetId="9" r:id="rId47"/>
    <sheet name="543 Vets" sheetId="10" r:id="rId48"/>
    <sheet name="610 Library" sheetId="11" r:id="rId49"/>
    <sheet name="630 Recreation" sheetId="49" r:id="rId50"/>
    <sheet name="691 Historical Comm" sheetId="135" r:id="rId51"/>
    <sheet name="693 Memorials" sheetId="50" r:id="rId52"/>
    <sheet name="700 Debt " sheetId="51" r:id="rId53"/>
    <sheet name="840 Intergovt" sheetId="52" r:id="rId54"/>
    <sheet name="910 Benefits" sheetId="53" r:id="rId55"/>
    <sheet name="946 Insurance" sheetId="54" r:id="rId56"/>
    <sheet name="Colle 228 183" sheetId="93" r:id="rId57"/>
    <sheet name="600 482 Airport" sheetId="24" r:id="rId58"/>
    <sheet name="600-700 Airport Debt" sheetId="172" r:id="rId59"/>
    <sheet name="600-900 Airport Benefits" sheetId="171" r:id="rId60"/>
    <sheet name="661 440 CWF" sheetId="12" r:id="rId61"/>
    <sheet name="661 449 Hwy" sheetId="5" r:id="rId62"/>
    <sheet name="661 700 CWF Debt" sheetId="6" r:id="rId63"/>
    <sheet name="661 910 CWF Benefits" sheetId="4" r:id="rId64"/>
    <sheet name="Tax share CWF" sheetId="170" r:id="rId65"/>
    <sheet name="Overhead" sheetId="107" r:id="rId66"/>
    <sheet name="Debt Exclusion Calc." sheetId="2" r:id="rId67"/>
    <sheet name="Police Wages" sheetId="138" r:id="rId68"/>
    <sheet name="NAGE &amp; Non-Union Wages" sheetId="141" r:id="rId69"/>
    <sheet name="UE Wages" sheetId="161" r:id="rId70"/>
    <sheet name="Longevity" sheetId="140" r:id="rId71"/>
    <sheet name="Split Debt Service" sheetId="148" r:id="rId72"/>
    <sheet name="Combined Debt Schedule" sheetId="159" r:id="rId73"/>
    <sheet name="Kearsarge Lease" sheetId="158" r:id="rId74"/>
    <sheet name="Town Meeting Wages By Position" sheetId="137" r:id="rId75"/>
    <sheet name="Report to Town Meeting " sheetId="129" r:id="rId76"/>
    <sheet name="Wage and Benefits" sheetId="104" r:id="rId77"/>
    <sheet name="Charts for Report" sheetId="136" r:id="rId78"/>
    <sheet name="Pie Charts" sheetId="160" r:id="rId79"/>
    <sheet name="Local Receipts for Report" sheetId="173" r:id="rId80"/>
    <sheet name="TOC-Report" sheetId="168" r:id="rId81"/>
    <sheet name="Summary Comp to PY" sheetId="179" r:id="rId82"/>
  </sheets>
  <definedNames>
    <definedName name="_xlnm.Print_Area" localSheetId="12">'113 Town Mtg'!$A$1:$S$38</definedName>
    <definedName name="_xlnm.Print_Area" localSheetId="13">'122 Selectboard'!$A$1:$S$69</definedName>
    <definedName name="_xlnm.Print_Area" localSheetId="14">'131 Fin Comm'!$A$1:$S$33</definedName>
    <definedName name="_xlnm.Print_Area" localSheetId="15">'132 Reserve Fund'!$A$1:$S$14</definedName>
    <definedName name="_xlnm.Print_Area" localSheetId="16">'135 Acct'!$A$1:$S$52</definedName>
    <definedName name="_xlnm.Print_Area" localSheetId="17">'141 BOA'!$A$2:$S$83</definedName>
    <definedName name="_xlnm.Print_Area" localSheetId="18">'145 Treas'!$A$1:$S$73</definedName>
    <definedName name="_xlnm.Print_Area" localSheetId="19">'151 Counsel'!$A$1:$S$24</definedName>
    <definedName name="_xlnm.Print_Area" localSheetId="20">'155 IT'!$A$1:$S$58</definedName>
    <definedName name="_xlnm.Print_Area" localSheetId="21">'159 Shared Costs'!$A$1:$S$39</definedName>
    <definedName name="_xlnm.Print_Area" localSheetId="22">'161 Clerk'!$A$1:$S$83</definedName>
    <definedName name="_xlnm.Print_Area" localSheetId="23">'175 Planning'!$A$1:$S$63</definedName>
    <definedName name="_xlnm.Print_Area" localSheetId="24">'176 ZBA'!$A$1:$S$29</definedName>
    <definedName name="_xlnm.Print_Area" localSheetId="27">'190 Publ Bldg Utilities'!$A$1:$S$73</definedName>
    <definedName name="_xlnm.Print_Area" localSheetId="38">'192 Public Bldgs'!$A$1:$S$41</definedName>
    <definedName name="_xlnm.Print_Area" localSheetId="26">'197 Farm Mkt'!$A$1:$S$28</definedName>
    <definedName name="_xlnm.Print_Area" localSheetId="28">'211 Police'!$A$9:$S$136</definedName>
    <definedName name="_xlnm.Print_Area" localSheetId="29">'212 Dispatch'!$A$1:$S$59</definedName>
    <definedName name="_xlnm.Print_Area" localSheetId="30">'241 Bldg'!$A$1:$S$67</definedName>
    <definedName name="_xlnm.Print_Area" localSheetId="31">'244 Sealer'!$A$1:$S$20</definedName>
    <definedName name="_xlnm.Print_Area" localSheetId="32">'291 Emergency'!$A$1:$S$28</definedName>
    <definedName name="_xlnm.Print_Area" localSheetId="33">'292 Animal'!$A$1:$S$36</definedName>
    <definedName name="_xlnm.Print_Area" localSheetId="34">'294 Forest Warden'!$A$1:$S$18</definedName>
    <definedName name="_xlnm.Print_Area" localSheetId="35">'299 Tree Warden'!$A$1:$S$30</definedName>
    <definedName name="_xlnm.Print_Area" localSheetId="36">'300 Schools'!$A$1:$S$33</definedName>
    <definedName name="_xlnm.Print_Area" localSheetId="37">'420 DPW'!$A$8:$S$100</definedName>
    <definedName name="_xlnm.Print_Area" localSheetId="39">'422 Maintenance'!$A$1:$S$100</definedName>
    <definedName name="_xlnm.Print_Area" localSheetId="41">'423 Snow'!$A$1:$S$32</definedName>
    <definedName name="_xlnm.Print_Area" localSheetId="42">'433 Solid Waste'!$A$1:$S$49</definedName>
    <definedName name="_xlnm.Print_Area" localSheetId="44">'491 Cemetery'!$A$1:$S$26</definedName>
    <definedName name="_xlnm.Print_Area" localSheetId="45">'511 BOH'!$A$1:$S$83</definedName>
    <definedName name="_xlnm.Print_Area" localSheetId="46">'541 COA'!$A$1:$S$50</definedName>
    <definedName name="_xlnm.Print_Area" localSheetId="47">'543 Vets'!$A$1:$S$24</definedName>
    <definedName name="_xlnm.Print_Area" localSheetId="57">'600 482 Airport'!$A$1:$S$101</definedName>
    <definedName name="_xlnm.Print_Area" localSheetId="58">'600-700 Airport Debt'!$A$1:$S$26</definedName>
    <definedName name="_xlnm.Print_Area" localSheetId="48">'610 Library'!$A$1:$S$104</definedName>
    <definedName name="_xlnm.Print_Area" localSheetId="49">'630 Recreation'!$A$1:$S$57</definedName>
    <definedName name="_xlnm.Print_Area" localSheetId="40">'652 Parks'!$A$1:$S$31</definedName>
    <definedName name="_xlnm.Print_Area" localSheetId="60">'661 440 CWF'!$A$8:$S$135</definedName>
    <definedName name="_xlnm.Print_Area" localSheetId="61">'661 449 Hwy'!$A$1:$S$50</definedName>
    <definedName name="_xlnm.Print_Area" localSheetId="62">'661 700 CWF Debt'!$A$8:$S$61</definedName>
    <definedName name="_xlnm.Print_Area" localSheetId="63">'661 910 CWF Benefits'!$A$1:$S$34</definedName>
    <definedName name="_xlnm.Print_Area" localSheetId="50">'691 Historical Comm'!$A$1:$S$21</definedName>
    <definedName name="_xlnm.Print_Area" localSheetId="51">'693 Memorials'!$A$1:$S$21</definedName>
    <definedName name="_xlnm.Print_Area" localSheetId="52">'700 Debt '!$A$8:$S$64</definedName>
    <definedName name="_xlnm.Print_Area" localSheetId="53">'840 Intergovt'!$A$1:$S$29</definedName>
    <definedName name="_xlnm.Print_Area" localSheetId="54">'910 Benefits'!$A$1:$S$34</definedName>
    <definedName name="_xlnm.Print_Area" localSheetId="55">'946 Insurance'!$A$1:$S$31</definedName>
    <definedName name="_xlnm.Print_Area" localSheetId="8">'Affordable Assessment'!$A$9:$E$41</definedName>
    <definedName name="_xlnm.Print_Area" localSheetId="11">'Budget Summary'!$A$1:$P$47</definedName>
    <definedName name="_xlnm.Print_Area" localSheetId="77">'Charts for Report'!$A$4:$E$34</definedName>
    <definedName name="_xlnm.Print_Area" localSheetId="56">'Colle 228 183'!$A$1:$S$49</definedName>
    <definedName name="_xlnm.Print_Area" localSheetId="72">'Combined Debt Schedule'!$D$4:$AG$45</definedName>
    <definedName name="_xlnm.Print_Area" localSheetId="5">'Est WPCF Rate Incr'!$A$1:$U$37</definedName>
    <definedName name="_xlnm.Print_Area" localSheetId="9">'Financial Policy Numbers'!$A$1:$H$124</definedName>
    <definedName name="_xlnm.Print_Area" localSheetId="68">'NAGE &amp; Non-Union Wages'!$A$1:$M$36</definedName>
    <definedName name="_xlnm.Print_Area" localSheetId="67">'Police Wages'!$A$1:$I$50</definedName>
    <definedName name="_xlnm.Print_Area" localSheetId="75">'Report to Town Meeting '!$A$1:$O$120</definedName>
    <definedName name="_xlnm.Print_Area" localSheetId="7">'Revenue Projections Detail'!$L$18:$O$30</definedName>
    <definedName name="_xlnm.Print_Area" localSheetId="2">'Tax Impact Calculator'!$G$2:$K$34</definedName>
    <definedName name="_xlnm.Print_Area" localSheetId="74">'Town Meeting Wages By Position'!$A$5:$F$125</definedName>
    <definedName name="_xlnm.Print_Area" localSheetId="76">'Wage and Benefits'!$C$4:$R$56</definedName>
    <definedName name="_xlnm.Print_Area" localSheetId="10">'Working Budget with funding det'!$R$141:$Z$266</definedName>
    <definedName name="_xlnm.Print_Titles" localSheetId="38">'192 Public Bldgs'!$2:$7</definedName>
    <definedName name="_xlnm.Print_Titles" localSheetId="28">'211 Police'!$1:$7</definedName>
    <definedName name="_xlnm.Print_Titles" localSheetId="33">'292 Animal'!$2:$7</definedName>
    <definedName name="_xlnm.Print_Titles" localSheetId="37">'420 DPW'!$2:$8</definedName>
    <definedName name="_xlnm.Print_Titles" localSheetId="39">'422 Maintenance'!$2:$7</definedName>
    <definedName name="_xlnm.Print_Titles" localSheetId="60">'661 440 CWF'!$1:$7</definedName>
    <definedName name="_xlnm.Print_Titles" localSheetId="62">'661 700 CWF Debt'!$2:$7</definedName>
    <definedName name="_xlnm.Print_Titles" localSheetId="52">'700 Debt '!$A:$B,'700 Debt '!$1:$7</definedName>
    <definedName name="_xlnm.Print_Titles" localSheetId="11">'Budget Summary'!$1:$3</definedName>
    <definedName name="_xlnm.Print_Titles" localSheetId="77">'Charts for Report'!$A:$A,'Charts for Report'!$3:$4</definedName>
    <definedName name="_xlnm.Print_Titles" localSheetId="72">'Combined Debt Schedule'!$B:$B,'Combined Debt Schedule'!$3:$3</definedName>
    <definedName name="_xlnm.Print_Titles" localSheetId="9">'Financial Policy Numbers'!$1:$1</definedName>
    <definedName name="_xlnm.Print_Titles" localSheetId="7">'Revenue Projections Detail'!$A:$J,'Revenue Projections Detail'!$1:$4</definedName>
    <definedName name="_xlnm.Print_Titles" localSheetId="74">'Town Meeting Wages By Position'!$1:$4</definedName>
    <definedName name="_xlnm.Print_Titles" localSheetId="76">'Wage and Benefits'!$A:$B,'Wage and Benefits'!$1:$3</definedName>
    <definedName name="_xlnm.Print_Titles" localSheetId="10">'Working Budget with funding det'!$A:$B,'Working Budget with funding det'!$1:$4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9" i="170" l="1"/>
  <c r="M58" i="26"/>
  <c r="R255" i="66"/>
  <c r="Q255" i="66"/>
  <c r="P36" i="167" l="1"/>
  <c r="V180" i="66"/>
  <c r="R180" i="66"/>
  <c r="Q180" i="66"/>
  <c r="N55" i="38"/>
  <c r="P51" i="38"/>
  <c r="P54" i="38"/>
  <c r="P73" i="12" l="1"/>
  <c r="Y55" i="38"/>
  <c r="X56" i="38"/>
  <c r="Z56" i="38" s="1"/>
  <c r="X55" i="38"/>
  <c r="X53" i="38"/>
  <c r="Z53" i="38" s="1"/>
  <c r="Z50" i="38"/>
  <c r="O54" i="26"/>
  <c r="N54" i="26"/>
  <c r="P27" i="26"/>
  <c r="O27" i="26"/>
  <c r="O16" i="26"/>
  <c r="N16" i="26"/>
  <c r="T179" i="66"/>
  <c r="T243" i="66"/>
  <c r="T242" i="66"/>
  <c r="Q9" i="5"/>
  <c r="Z55" i="38" l="1"/>
  <c r="Q9" i="13"/>
  <c r="M25" i="26"/>
  <c r="L25" i="26"/>
  <c r="Q147" i="66"/>
  <c r="Z57" i="38" l="1"/>
  <c r="N26" i="26"/>
  <c r="N29" i="26" s="1"/>
  <c r="N25" i="26"/>
  <c r="H12" i="167"/>
  <c r="H13" i="167" s="1"/>
  <c r="J12" i="167"/>
  <c r="J13" i="167" s="1"/>
  <c r="A28" i="167"/>
  <c r="M12" i="167"/>
  <c r="M13" i="167" s="1"/>
  <c r="A41" i="167"/>
  <c r="A40" i="167"/>
  <c r="A37" i="167"/>
  <c r="H21" i="167" l="1"/>
  <c r="H22" i="167" s="1"/>
  <c r="H46" i="167"/>
  <c r="H47" i="167" s="1"/>
  <c r="J21" i="167"/>
  <c r="M21" i="167"/>
  <c r="J22" i="167" l="1"/>
  <c r="J46" i="167"/>
  <c r="J47" i="167" s="1"/>
  <c r="M22" i="167"/>
  <c r="M46" i="167"/>
  <c r="M47" i="167" s="1"/>
  <c r="A36" i="167" l="1"/>
  <c r="A35" i="167"/>
  <c r="A34" i="167"/>
  <c r="A32" i="167"/>
  <c r="A31" i="167"/>
  <c r="K12" i="167"/>
  <c r="K13" i="167" s="1"/>
  <c r="I12" i="167"/>
  <c r="A29" i="167"/>
  <c r="A26" i="167"/>
  <c r="A25" i="167"/>
  <c r="K21" i="167" l="1"/>
  <c r="R178" i="66"/>
  <c r="B28" i="167" s="1"/>
  <c r="D28" i="167" s="1"/>
  <c r="Q178" i="66"/>
  <c r="R21" i="66"/>
  <c r="K22" i="167" l="1"/>
  <c r="K46" i="167"/>
  <c r="K47" i="167" s="1"/>
  <c r="Q246" i="66"/>
  <c r="R246" i="66" s="1"/>
  <c r="Q162" i="66"/>
  <c r="R162" i="66" s="1"/>
  <c r="B24" i="167" s="1"/>
  <c r="N90" i="15"/>
  <c r="P90" i="15" s="1"/>
  <c r="N84" i="15"/>
  <c r="N67" i="11"/>
  <c r="Q15" i="171"/>
  <c r="N57" i="44"/>
  <c r="O57" i="44" s="1"/>
  <c r="M57" i="44"/>
  <c r="P57" i="44" s="1"/>
  <c r="Q10" i="5"/>
  <c r="N46" i="5"/>
  <c r="O46" i="5" s="1"/>
  <c r="M46" i="5"/>
  <c r="P46" i="5" s="1"/>
  <c r="C5" i="26"/>
  <c r="P11" i="12"/>
  <c r="Y246" i="66" l="1"/>
  <c r="B36" i="167"/>
  <c r="D36" i="167" s="1"/>
  <c r="P13" i="7"/>
  <c r="P33" i="44"/>
  <c r="P20" i="44"/>
  <c r="M46" i="40" l="1"/>
  <c r="M92" i="43"/>
  <c r="M32" i="56"/>
  <c r="M63" i="17"/>
  <c r="M92" i="12"/>
  <c r="M56" i="30"/>
  <c r="M51" i="30"/>
  <c r="M50" i="30"/>
  <c r="P41" i="35"/>
  <c r="E100" i="143"/>
  <c r="E99" i="143"/>
  <c r="E98" i="143"/>
  <c r="C79" i="143"/>
  <c r="C77" i="143"/>
  <c r="D99" i="143" s="1"/>
  <c r="C80" i="143"/>
  <c r="C78" i="143"/>
  <c r="D100" i="143" s="1"/>
  <c r="C76" i="143"/>
  <c r="C75" i="143"/>
  <c r="C74" i="143"/>
  <c r="D98" i="143" s="1"/>
  <c r="N12" i="144"/>
  <c r="L16" i="144" l="1"/>
  <c r="L22" i="144" s="1"/>
  <c r="Q62" i="6" l="1"/>
  <c r="R62" i="6" s="1"/>
  <c r="Q22" i="172"/>
  <c r="R22" i="172" s="1"/>
  <c r="Q24" i="54"/>
  <c r="R24" i="54" s="1"/>
  <c r="Q15" i="50"/>
  <c r="R15" i="50" s="1"/>
  <c r="Q16" i="135"/>
  <c r="R16" i="135" s="1"/>
  <c r="Q16" i="10"/>
  <c r="R16" i="10" s="1"/>
  <c r="Q27" i="9"/>
  <c r="R27" i="9" s="1"/>
  <c r="Q19" i="7"/>
  <c r="R19" i="7" s="1"/>
  <c r="Q21" i="18"/>
  <c r="R21" i="18" s="1"/>
  <c r="Q20" i="86"/>
  <c r="R20" i="86" s="1"/>
  <c r="Q13" i="48"/>
  <c r="R13" i="48" s="1"/>
  <c r="Q17" i="46"/>
  <c r="R17" i="46" s="1"/>
  <c r="Q13" i="45"/>
  <c r="R13" i="45" s="1"/>
  <c r="Q42" i="87"/>
  <c r="R42" i="87" s="1"/>
  <c r="Q18" i="139"/>
  <c r="R18" i="139" s="1"/>
  <c r="Q19" i="41"/>
  <c r="R19" i="41" s="1"/>
  <c r="Q24" i="77"/>
  <c r="R24" i="77" s="1"/>
  <c r="Q17" i="36"/>
  <c r="R17" i="36" s="1"/>
  <c r="R29" i="33"/>
  <c r="Q29" i="33"/>
  <c r="R15" i="32"/>
  <c r="Q15" i="32"/>
  <c r="R21" i="31"/>
  <c r="Q21" i="31"/>
  <c r="R24" i="29"/>
  <c r="Q24" i="29"/>
  <c r="Q20" i="38" l="1"/>
  <c r="N87" i="24" l="1"/>
  <c r="O87" i="24" s="1"/>
  <c r="M87" i="24"/>
  <c r="P87" i="24" s="1"/>
  <c r="N113" i="24"/>
  <c r="M113" i="24"/>
  <c r="M112" i="24"/>
  <c r="N111" i="24"/>
  <c r="M111" i="24"/>
  <c r="N110" i="24"/>
  <c r="M110" i="24"/>
  <c r="N109" i="24"/>
  <c r="M109" i="24"/>
  <c r="N108" i="24"/>
  <c r="M108" i="24"/>
  <c r="N107" i="24"/>
  <c r="M107" i="24"/>
  <c r="N106" i="24"/>
  <c r="M106" i="24"/>
  <c r="N105" i="24"/>
  <c r="M105" i="24"/>
  <c r="N104" i="24"/>
  <c r="M104" i="24"/>
  <c r="N103" i="24"/>
  <c r="M103" i="24"/>
  <c r="N102" i="24"/>
  <c r="M102" i="24"/>
  <c r="N101" i="24"/>
  <c r="M101" i="24"/>
  <c r="N100" i="24"/>
  <c r="M100" i="24"/>
  <c r="N99" i="24"/>
  <c r="M99" i="24"/>
  <c r="N98" i="24"/>
  <c r="M98" i="24"/>
  <c r="N97" i="24"/>
  <c r="M97" i="24"/>
  <c r="N96" i="24"/>
  <c r="M96" i="24"/>
  <c r="N95" i="24"/>
  <c r="M95" i="24"/>
  <c r="N94" i="24"/>
  <c r="M94" i="24"/>
  <c r="N93" i="24"/>
  <c r="M93" i="24"/>
  <c r="N92" i="24"/>
  <c r="M92" i="24"/>
  <c r="N91" i="24"/>
  <c r="M91" i="24"/>
  <c r="N90" i="24"/>
  <c r="M90" i="24"/>
  <c r="N89" i="24"/>
  <c r="M89" i="24"/>
  <c r="N88" i="24"/>
  <c r="M88" i="24"/>
  <c r="N86" i="24"/>
  <c r="M86" i="24"/>
  <c r="N85" i="24"/>
  <c r="M85" i="24"/>
  <c r="N84" i="24"/>
  <c r="M84" i="24"/>
  <c r="N82" i="24"/>
  <c r="M82" i="24"/>
  <c r="N81" i="24"/>
  <c r="M81" i="24"/>
  <c r="N80" i="24"/>
  <c r="M80" i="24"/>
  <c r="N79" i="24"/>
  <c r="M79" i="24"/>
  <c r="N78" i="24"/>
  <c r="M78" i="24"/>
  <c r="M77" i="24"/>
  <c r="Q51" i="24"/>
  <c r="M117" i="129" s="1"/>
  <c r="N117" i="129" s="1"/>
  <c r="N61" i="24"/>
  <c r="N60" i="24"/>
  <c r="P113" i="24" l="1"/>
  <c r="P79" i="24"/>
  <c r="P104" i="24"/>
  <c r="P107" i="24"/>
  <c r="P111" i="24"/>
  <c r="P81" i="24"/>
  <c r="P85" i="24"/>
  <c r="P90" i="24"/>
  <c r="P102" i="24"/>
  <c r="P93" i="24"/>
  <c r="P105" i="24"/>
  <c r="O79" i="24"/>
  <c r="O86" i="24"/>
  <c r="P86" i="24" s="1"/>
  <c r="O91" i="24"/>
  <c r="P91" i="24" s="1"/>
  <c r="O95" i="24"/>
  <c r="P95" i="24" s="1"/>
  <c r="O99" i="24"/>
  <c r="P99" i="24" s="1"/>
  <c r="O103" i="24"/>
  <c r="P103" i="24" s="1"/>
  <c r="O107" i="24"/>
  <c r="O111" i="24"/>
  <c r="O81" i="24"/>
  <c r="O84" i="24"/>
  <c r="P84" i="24" s="1"/>
  <c r="O89" i="24"/>
  <c r="P89" i="24" s="1"/>
  <c r="O93" i="24"/>
  <c r="O97" i="24"/>
  <c r="P97" i="24" s="1"/>
  <c r="O101" i="24"/>
  <c r="P101" i="24" s="1"/>
  <c r="O105" i="24"/>
  <c r="O109" i="24"/>
  <c r="P109" i="24" s="1"/>
  <c r="O78" i="24"/>
  <c r="P78" i="24" s="1"/>
  <c r="O80" i="24"/>
  <c r="P80" i="24" s="1"/>
  <c r="O82" i="24"/>
  <c r="P82" i="24" s="1"/>
  <c r="O85" i="24"/>
  <c r="O88" i="24"/>
  <c r="P88" i="24" s="1"/>
  <c r="O90" i="24"/>
  <c r="O92" i="24"/>
  <c r="P92" i="24" s="1"/>
  <c r="O94" i="24"/>
  <c r="P94" i="24" s="1"/>
  <c r="O96" i="24"/>
  <c r="P96" i="24" s="1"/>
  <c r="O98" i="24"/>
  <c r="P98" i="24" s="1"/>
  <c r="O100" i="24"/>
  <c r="P100" i="24" s="1"/>
  <c r="O102" i="24"/>
  <c r="O104" i="24"/>
  <c r="O106" i="24"/>
  <c r="P106" i="24" s="1"/>
  <c r="O108" i="24"/>
  <c r="P108" i="24" s="1"/>
  <c r="O110" i="24"/>
  <c r="P110" i="24" s="1"/>
  <c r="O113" i="24"/>
  <c r="R51" i="24"/>
  <c r="S51" i="24"/>
  <c r="Q10" i="23" l="1"/>
  <c r="T17" i="87"/>
  <c r="T16" i="87"/>
  <c r="T15" i="87"/>
  <c r="T14" i="87"/>
  <c r="T13" i="87"/>
  <c r="T12" i="87"/>
  <c r="T11" i="87"/>
  <c r="T10" i="87"/>
  <c r="R188" i="66"/>
  <c r="Q188" i="66"/>
  <c r="R187" i="66"/>
  <c r="Q187" i="66"/>
  <c r="R168" i="66"/>
  <c r="Q168" i="66"/>
  <c r="Q243" i="66"/>
  <c r="R243" i="66" s="1"/>
  <c r="B41" i="167" s="1"/>
  <c r="D41" i="167" s="1"/>
  <c r="Q242" i="66"/>
  <c r="R242" i="66" s="1"/>
  <c r="B40" i="167" s="1"/>
  <c r="Q171" i="66"/>
  <c r="Q170" i="66"/>
  <c r="R170" i="66" s="1"/>
  <c r="Q239" i="66"/>
  <c r="R239" i="66" s="1"/>
  <c r="B37" i="167" s="1"/>
  <c r="D37" i="167" s="1"/>
  <c r="R167" i="66"/>
  <c r="Q167" i="66"/>
  <c r="R226" i="66"/>
  <c r="B34" i="167" s="1"/>
  <c r="Q226" i="66"/>
  <c r="R227" i="66"/>
  <c r="B35" i="167" s="1"/>
  <c r="Q227" i="66"/>
  <c r="Y227" i="66"/>
  <c r="Y226" i="66"/>
  <c r="N28" i="180"/>
  <c r="M28" i="180"/>
  <c r="L28" i="180"/>
  <c r="O28" i="180" s="1"/>
  <c r="K28" i="180"/>
  <c r="P28" i="180" s="1"/>
  <c r="N26" i="180"/>
  <c r="N30" i="180" s="1"/>
  <c r="M26" i="180"/>
  <c r="M30" i="180" s="1"/>
  <c r="L26" i="180"/>
  <c r="L30" i="180" s="1"/>
  <c r="K26" i="180"/>
  <c r="E17" i="180"/>
  <c r="S14" i="180"/>
  <c r="Q14" i="180"/>
  <c r="Q17" i="180" s="1"/>
  <c r="P14" i="180"/>
  <c r="P17" i="180" s="1"/>
  <c r="O14" i="180"/>
  <c r="N14" i="180"/>
  <c r="N17" i="180" s="1"/>
  <c r="M14" i="180"/>
  <c r="M17" i="180" s="1"/>
  <c r="L14" i="180"/>
  <c r="L17" i="180" s="1"/>
  <c r="K14" i="180"/>
  <c r="K17" i="180" s="1"/>
  <c r="J14" i="180"/>
  <c r="J17" i="180" s="1"/>
  <c r="I14" i="180"/>
  <c r="I17" i="180" s="1"/>
  <c r="H14" i="180"/>
  <c r="H17" i="180" s="1"/>
  <c r="G14" i="180"/>
  <c r="G17" i="180" s="1"/>
  <c r="F14" i="180"/>
  <c r="F17" i="180" s="1"/>
  <c r="E14" i="180"/>
  <c r="D14" i="180"/>
  <c r="D17" i="180" s="1"/>
  <c r="C14" i="180"/>
  <c r="C17" i="180" s="1"/>
  <c r="Q10" i="180"/>
  <c r="P10" i="180"/>
  <c r="N10" i="180"/>
  <c r="M10" i="180"/>
  <c r="L10" i="180"/>
  <c r="K10" i="180"/>
  <c r="O9" i="180"/>
  <c r="O10" i="180" s="1"/>
  <c r="T170" i="66" l="1"/>
  <c r="B29" i="167"/>
  <c r="I29" i="167" s="1"/>
  <c r="D29" i="167" s="1"/>
  <c r="T187" i="66"/>
  <c r="B31" i="167"/>
  <c r="T188" i="66"/>
  <c r="B32" i="167"/>
  <c r="T168" i="66"/>
  <c r="B26" i="167"/>
  <c r="T167" i="66"/>
  <c r="B25" i="167"/>
  <c r="D25" i="167" s="1"/>
  <c r="P26" i="180"/>
  <c r="O30" i="180"/>
  <c r="O17" i="180"/>
  <c r="S17" i="180"/>
  <c r="R17" i="180"/>
  <c r="O26" i="180"/>
  <c r="K30" i="180"/>
  <c r="P30" i="180" s="1"/>
  <c r="N56" i="38"/>
  <c r="P56" i="38" s="1"/>
  <c r="P42" i="44" l="1"/>
  <c r="N32" i="54" l="1"/>
  <c r="M32" i="54"/>
  <c r="P32" i="54"/>
  <c r="J32" i="54"/>
  <c r="N24" i="36"/>
  <c r="O24" i="36" s="1"/>
  <c r="M24" i="36"/>
  <c r="P24" i="36" s="1"/>
  <c r="N23" i="36"/>
  <c r="O23" i="36" s="1"/>
  <c r="P23" i="36" s="1"/>
  <c r="M23" i="36"/>
  <c r="O32" i="54" l="1"/>
  <c r="N80" i="12" l="1"/>
  <c r="N74" i="12"/>
  <c r="P74" i="12" s="1"/>
  <c r="Q10" i="15" l="1"/>
  <c r="P96" i="15"/>
  <c r="N87" i="15"/>
  <c r="N86" i="15"/>
  <c r="N75" i="15"/>
  <c r="P38" i="40" l="1"/>
  <c r="N74" i="43"/>
  <c r="N85" i="43"/>
  <c r="N78" i="11" l="1"/>
  <c r="O78" i="11" s="1"/>
  <c r="M78" i="11"/>
  <c r="P78" i="11" s="1"/>
  <c r="P69" i="11" l="1"/>
  <c r="Q11" i="11" s="1"/>
  <c r="P68" i="11"/>
  <c r="N66" i="11" l="1"/>
  <c r="P66" i="11" s="1"/>
  <c r="N26" i="7"/>
  <c r="P26" i="7" s="1"/>
  <c r="O26" i="7" l="1"/>
  <c r="M54" i="149" l="1"/>
  <c r="M53" i="149"/>
  <c r="M52" i="149"/>
  <c r="M51" i="149"/>
  <c r="M50" i="149"/>
  <c r="M49" i="149"/>
  <c r="O49" i="149" s="1"/>
  <c r="M48" i="149"/>
  <c r="M47" i="149"/>
  <c r="M46" i="149"/>
  <c r="M45" i="149"/>
  <c r="M44" i="149"/>
  <c r="M43" i="149"/>
  <c r="O46" i="149"/>
  <c r="N54" i="149"/>
  <c r="N53" i="149"/>
  <c r="O53" i="149" s="1"/>
  <c r="N52" i="149"/>
  <c r="N51" i="149"/>
  <c r="N50" i="149"/>
  <c r="N49" i="149"/>
  <c r="N48" i="149"/>
  <c r="O48" i="149" s="1"/>
  <c r="N47" i="149"/>
  <c r="O47" i="149" s="1"/>
  <c r="N46" i="149"/>
  <c r="N45" i="149"/>
  <c r="O45" i="149" s="1"/>
  <c r="N44" i="149"/>
  <c r="O50" i="149" l="1"/>
  <c r="O51" i="149"/>
  <c r="O44" i="149"/>
  <c r="O52" i="149"/>
  <c r="O54" i="149"/>
  <c r="P54" i="149" s="1"/>
  <c r="P51" i="149"/>
  <c r="P52" i="149"/>
  <c r="P48" i="149"/>
  <c r="P49" i="149"/>
  <c r="P50" i="149"/>
  <c r="P45" i="149"/>
  <c r="P46" i="149"/>
  <c r="P47" i="149"/>
  <c r="P44" i="149"/>
  <c r="P53" i="149"/>
  <c r="S12" i="45" l="1"/>
  <c r="P14" i="66"/>
  <c r="R14" i="66" s="1"/>
  <c r="U14" i="66" s="1"/>
  <c r="Q22" i="33"/>
  <c r="M72" i="33"/>
  <c r="M46" i="26"/>
  <c r="S70" i="11"/>
  <c r="Q13" i="11" s="1"/>
  <c r="Q14" i="66" l="1"/>
  <c r="M20" i="45"/>
  <c r="P26" i="10"/>
  <c r="O26" i="10"/>
  <c r="P24" i="10"/>
  <c r="P23" i="10"/>
  <c r="P22" i="10"/>
  <c r="O24" i="10"/>
  <c r="O23" i="10"/>
  <c r="O21" i="10"/>
  <c r="O22" i="10"/>
  <c r="N31" i="41"/>
  <c r="N28" i="139"/>
  <c r="M28" i="139"/>
  <c r="N26" i="139"/>
  <c r="N30" i="139" s="1"/>
  <c r="M26" i="139"/>
  <c r="N32" i="86"/>
  <c r="N23" i="135"/>
  <c r="N31" i="54"/>
  <c r="N24" i="10"/>
  <c r="N23" i="10"/>
  <c r="N22" i="10"/>
  <c r="Q209" i="66"/>
  <c r="M30" i="139" l="1"/>
  <c r="N33" i="54"/>
  <c r="H11" i="141"/>
  <c r="I11" i="141"/>
  <c r="J11" i="141"/>
  <c r="K11" i="141"/>
  <c r="L11" i="141"/>
  <c r="G11" i="141"/>
  <c r="L14" i="141"/>
  <c r="K14" i="141"/>
  <c r="J14" i="141"/>
  <c r="I14" i="141"/>
  <c r="H14" i="141"/>
  <c r="G14" i="141"/>
  <c r="F14" i="141"/>
  <c r="E14" i="141"/>
  <c r="D14" i="141"/>
  <c r="C14" i="141"/>
  <c r="L13" i="141"/>
  <c r="K13" i="141"/>
  <c r="J13" i="141"/>
  <c r="I13" i="141"/>
  <c r="H13" i="141"/>
  <c r="G13" i="141"/>
  <c r="F13" i="141"/>
  <c r="E13" i="141"/>
  <c r="D13" i="141"/>
  <c r="C13" i="141"/>
  <c r="L12" i="141"/>
  <c r="K12" i="141"/>
  <c r="J12" i="141"/>
  <c r="I12" i="141"/>
  <c r="H12" i="141"/>
  <c r="G12" i="141"/>
  <c r="F12" i="141"/>
  <c r="E12" i="141"/>
  <c r="D12" i="141"/>
  <c r="C12" i="141"/>
  <c r="L10" i="141"/>
  <c r="K10" i="141"/>
  <c r="J10" i="141"/>
  <c r="I10" i="141"/>
  <c r="H10" i="141"/>
  <c r="G10" i="141"/>
  <c r="F10" i="141"/>
  <c r="E10" i="141"/>
  <c r="D10" i="141"/>
  <c r="C10" i="141"/>
  <c r="L9" i="141"/>
  <c r="K9" i="141"/>
  <c r="J9" i="141"/>
  <c r="I9" i="141"/>
  <c r="H9" i="141"/>
  <c r="G9" i="141"/>
  <c r="F9" i="141"/>
  <c r="E9" i="141"/>
  <c r="D9" i="141"/>
  <c r="C9" i="141"/>
  <c r="O9" i="45"/>
  <c r="O9" i="50"/>
  <c r="O18" i="11"/>
  <c r="O17" i="87"/>
  <c r="O16" i="87"/>
  <c r="O15" i="87"/>
  <c r="O14" i="87"/>
  <c r="O13" i="87"/>
  <c r="O11" i="87"/>
  <c r="O10" i="87"/>
  <c r="O9" i="12"/>
  <c r="M90" i="12" s="1"/>
  <c r="O9" i="11"/>
  <c r="O9" i="17"/>
  <c r="O9" i="56"/>
  <c r="O10" i="43"/>
  <c r="O11" i="43"/>
  <c r="O9" i="43"/>
  <c r="O9" i="38"/>
  <c r="O9" i="35"/>
  <c r="O9" i="33"/>
  <c r="O17" i="12"/>
  <c r="O16" i="12"/>
  <c r="O51" i="12"/>
  <c r="O10" i="12"/>
  <c r="O44" i="17"/>
  <c r="O11" i="18"/>
  <c r="O11" i="17"/>
  <c r="O12" i="17"/>
  <c r="O10" i="22"/>
  <c r="O9" i="23"/>
  <c r="O12" i="49"/>
  <c r="O10" i="49"/>
  <c r="O9" i="49"/>
  <c r="O13" i="11"/>
  <c r="O10" i="11"/>
  <c r="O9" i="9"/>
  <c r="O9" i="8"/>
  <c r="O15" i="44"/>
  <c r="O9" i="44"/>
  <c r="O13" i="60"/>
  <c r="O11" i="60"/>
  <c r="O10" i="60"/>
  <c r="O8" i="60"/>
  <c r="O12" i="35"/>
  <c r="O8" i="34"/>
  <c r="O48" i="43"/>
  <c r="O15" i="43"/>
  <c r="O14" i="43"/>
  <c r="W257" i="66"/>
  <c r="M257" i="66"/>
  <c r="O122" i="66"/>
  <c r="O247" i="66" l="1"/>
  <c r="O257" i="66" s="1"/>
  <c r="M28" i="66"/>
  <c r="M27" i="66"/>
  <c r="M25" i="66"/>
  <c r="M24" i="66"/>
  <c r="M19" i="66"/>
  <c r="M18" i="66"/>
  <c r="M16" i="66"/>
  <c r="M11" i="66"/>
  <c r="M9" i="66"/>
  <c r="N129" i="66"/>
  <c r="M129" i="66"/>
  <c r="N128" i="66"/>
  <c r="M128" i="66"/>
  <c r="N116" i="66"/>
  <c r="N115" i="66"/>
  <c r="M115" i="66"/>
  <c r="N104" i="66"/>
  <c r="M104" i="66"/>
  <c r="N101" i="66"/>
  <c r="M101" i="66"/>
  <c r="N93" i="66"/>
  <c r="M93" i="66"/>
  <c r="N92" i="66"/>
  <c r="M92" i="66"/>
  <c r="N84" i="66"/>
  <c r="M84" i="66"/>
  <c r="N76" i="66"/>
  <c r="M76" i="66"/>
  <c r="N75" i="66"/>
  <c r="M75" i="66"/>
  <c r="M74" i="66"/>
  <c r="N67" i="66"/>
  <c r="M67" i="66"/>
  <c r="N66" i="66"/>
  <c r="M66" i="66"/>
  <c r="N65" i="66"/>
  <c r="M65" i="66"/>
  <c r="N64" i="66"/>
  <c r="M64" i="66"/>
  <c r="N60" i="66"/>
  <c r="M60" i="66"/>
  <c r="N52" i="66"/>
  <c r="M52" i="66"/>
  <c r="N51" i="66"/>
  <c r="M51" i="66"/>
  <c r="N48" i="66"/>
  <c r="M48" i="66"/>
  <c r="N44" i="66"/>
  <c r="M44" i="66"/>
  <c r="N43" i="66"/>
  <c r="M43" i="66"/>
  <c r="N42" i="66"/>
  <c r="M42" i="66"/>
  <c r="N41" i="66"/>
  <c r="M41" i="66"/>
  <c r="N40" i="66"/>
  <c r="M40" i="66"/>
  <c r="N38" i="66"/>
  <c r="M38" i="66"/>
  <c r="K29" i="66"/>
  <c r="K129" i="66"/>
  <c r="K128" i="66"/>
  <c r="K116" i="66"/>
  <c r="K115" i="66"/>
  <c r="K104" i="66"/>
  <c r="K101" i="66"/>
  <c r="K93" i="66"/>
  <c r="K92" i="66"/>
  <c r="K84" i="66"/>
  <c r="K75" i="66"/>
  <c r="K74" i="66"/>
  <c r="K73" i="66"/>
  <c r="K67" i="66"/>
  <c r="K66" i="66"/>
  <c r="K65" i="66"/>
  <c r="K64" i="66"/>
  <c r="K60" i="66"/>
  <c r="K52" i="66"/>
  <c r="K53" i="66"/>
  <c r="K51" i="66"/>
  <c r="K48" i="66"/>
  <c r="K44" i="66"/>
  <c r="K43" i="66"/>
  <c r="K42" i="66"/>
  <c r="K41" i="66"/>
  <c r="K40" i="66"/>
  <c r="K38" i="66"/>
  <c r="F25" i="2"/>
  <c r="F22" i="2"/>
  <c r="F20" i="2"/>
  <c r="F19" i="2"/>
  <c r="F18" i="2"/>
  <c r="F16" i="2"/>
  <c r="F15" i="2"/>
  <c r="F13" i="2"/>
  <c r="F12" i="2"/>
  <c r="F11" i="2"/>
  <c r="F10" i="2"/>
  <c r="L60" i="26"/>
  <c r="M95" i="26"/>
  <c r="M130" i="66" l="1"/>
  <c r="N130" i="66"/>
  <c r="K130" i="66"/>
  <c r="K97" i="26"/>
  <c r="K85" i="26"/>
  <c r="K77" i="26"/>
  <c r="K72" i="26"/>
  <c r="K48" i="26"/>
  <c r="K54" i="26" s="1"/>
  <c r="M8" i="66" s="1"/>
  <c r="K25" i="26"/>
  <c r="K26" i="26" s="1"/>
  <c r="K29" i="26" s="1"/>
  <c r="M7" i="66" s="1"/>
  <c r="N79" i="12"/>
  <c r="N78" i="12"/>
  <c r="N77" i="12"/>
  <c r="N76" i="12"/>
  <c r="N89" i="15"/>
  <c r="N88" i="15"/>
  <c r="N85" i="15"/>
  <c r="N83" i="15"/>
  <c r="N82" i="15"/>
  <c r="N80" i="15"/>
  <c r="N79" i="15"/>
  <c r="N78" i="15"/>
  <c r="N77" i="15"/>
  <c r="N76" i="15"/>
  <c r="N74" i="15"/>
  <c r="N73" i="15"/>
  <c r="N84" i="43"/>
  <c r="N83" i="43"/>
  <c r="N80" i="43"/>
  <c r="N76" i="43"/>
  <c r="N75" i="43"/>
  <c r="N71" i="43"/>
  <c r="N70" i="43"/>
  <c r="N81" i="12"/>
  <c r="N39" i="49"/>
  <c r="P38" i="49"/>
  <c r="N65" i="11"/>
  <c r="N64" i="11"/>
  <c r="N63" i="11"/>
  <c r="N62" i="11"/>
  <c r="N61" i="11"/>
  <c r="N60" i="11"/>
  <c r="N59" i="11"/>
  <c r="N58" i="11"/>
  <c r="N56" i="11"/>
  <c r="P55" i="11"/>
  <c r="N50" i="8"/>
  <c r="P49" i="8"/>
  <c r="N72" i="15"/>
  <c r="N70" i="15"/>
  <c r="P69" i="15"/>
  <c r="N43" i="44"/>
  <c r="N41" i="60"/>
  <c r="N40" i="60"/>
  <c r="N39" i="60"/>
  <c r="N38" i="60"/>
  <c r="N37" i="60"/>
  <c r="N36" i="60"/>
  <c r="N86" i="43"/>
  <c r="N39" i="40"/>
  <c r="AA50" i="38"/>
  <c r="N44" i="35"/>
  <c r="N43" i="35"/>
  <c r="L26" i="26" l="1"/>
  <c r="K98" i="26"/>
  <c r="K100" i="26"/>
  <c r="K103" i="26" s="1"/>
  <c r="K101" i="26" l="1"/>
  <c r="K104" i="26" s="1"/>
  <c r="K106" i="26" l="1"/>
  <c r="N49" i="34" l="1"/>
  <c r="P48" i="34"/>
  <c r="P33" i="33"/>
  <c r="N45" i="30"/>
  <c r="P43" i="30"/>
  <c r="N44" i="30"/>
  <c r="P42" i="30"/>
  <c r="N69" i="43" l="1"/>
  <c r="L20" i="141"/>
  <c r="K20" i="141"/>
  <c r="J20" i="141"/>
  <c r="I20" i="141"/>
  <c r="H20" i="141"/>
  <c r="G20" i="141"/>
  <c r="F20" i="141"/>
  <c r="E20" i="141"/>
  <c r="N75" i="12" s="1"/>
  <c r="D20" i="141"/>
  <c r="L19" i="141"/>
  <c r="K19" i="141"/>
  <c r="J19" i="141"/>
  <c r="I19" i="141"/>
  <c r="H19" i="141"/>
  <c r="N71" i="15" s="1"/>
  <c r="G19" i="141"/>
  <c r="F19" i="141"/>
  <c r="E19" i="141"/>
  <c r="D19" i="141"/>
  <c r="L18" i="141"/>
  <c r="N32" i="9" s="1"/>
  <c r="K18" i="141"/>
  <c r="J18" i="141"/>
  <c r="I18" i="141"/>
  <c r="H18" i="141"/>
  <c r="G18" i="141"/>
  <c r="F18" i="141"/>
  <c r="E18" i="141"/>
  <c r="D18" i="141"/>
  <c r="E23" i="112"/>
  <c r="E21" i="112"/>
  <c r="C20" i="141"/>
  <c r="C19" i="141"/>
  <c r="C18" i="141"/>
  <c r="L8" i="141"/>
  <c r="K8" i="141"/>
  <c r="J8" i="141"/>
  <c r="I8" i="141"/>
  <c r="H8" i="141"/>
  <c r="G8" i="141"/>
  <c r="F8" i="141"/>
  <c r="E8" i="141"/>
  <c r="D8" i="141"/>
  <c r="L7" i="141"/>
  <c r="K7" i="141"/>
  <c r="J7" i="141"/>
  <c r="I7" i="141"/>
  <c r="H7" i="141"/>
  <c r="G7" i="141"/>
  <c r="F7" i="141"/>
  <c r="E7" i="141"/>
  <c r="D7" i="141"/>
  <c r="L6" i="141"/>
  <c r="K6" i="141"/>
  <c r="J6" i="141"/>
  <c r="I6" i="141"/>
  <c r="H6" i="141"/>
  <c r="G6" i="141"/>
  <c r="F6" i="141"/>
  <c r="E6" i="141"/>
  <c r="D6" i="141"/>
  <c r="L5" i="141"/>
  <c r="K5" i="141"/>
  <c r="J5" i="141"/>
  <c r="I5" i="141"/>
  <c r="H5" i="141"/>
  <c r="G5" i="141"/>
  <c r="F5" i="141"/>
  <c r="E5" i="141"/>
  <c r="D5" i="141"/>
  <c r="L4" i="141"/>
  <c r="K4" i="141"/>
  <c r="J4" i="141"/>
  <c r="I4" i="141"/>
  <c r="H4" i="141"/>
  <c r="G4" i="141"/>
  <c r="F4" i="141"/>
  <c r="E4" i="141"/>
  <c r="D4" i="141"/>
  <c r="C8" i="141"/>
  <c r="C7" i="141"/>
  <c r="C6" i="141"/>
  <c r="C5" i="141"/>
  <c r="C4" i="141"/>
  <c r="K21" i="161"/>
  <c r="J21" i="161"/>
  <c r="I21" i="161"/>
  <c r="H21" i="161"/>
  <c r="G21" i="161"/>
  <c r="F21" i="161"/>
  <c r="E21" i="161"/>
  <c r="D21" i="161"/>
  <c r="D10" i="161" s="1"/>
  <c r="K20" i="161"/>
  <c r="K9" i="161" s="1"/>
  <c r="J20" i="161"/>
  <c r="I20" i="161"/>
  <c r="H20" i="161"/>
  <c r="G20" i="161"/>
  <c r="G9" i="161" s="1"/>
  <c r="F20" i="161"/>
  <c r="E20" i="161"/>
  <c r="D20" i="161"/>
  <c r="D9" i="161" s="1"/>
  <c r="K19" i="161"/>
  <c r="J19" i="161"/>
  <c r="I19" i="161"/>
  <c r="I8" i="161" s="1"/>
  <c r="H19" i="161"/>
  <c r="G19" i="161"/>
  <c r="F19" i="161"/>
  <c r="E19" i="161"/>
  <c r="D19" i="161"/>
  <c r="D8" i="161" s="1"/>
  <c r="K18" i="161"/>
  <c r="K7" i="161" s="1"/>
  <c r="J18" i="161"/>
  <c r="I18" i="161"/>
  <c r="H18" i="161"/>
  <c r="G18" i="161"/>
  <c r="G7" i="161" s="1"/>
  <c r="F18" i="161"/>
  <c r="E18" i="161"/>
  <c r="D18" i="161"/>
  <c r="D7" i="161" s="1"/>
  <c r="K17" i="161"/>
  <c r="K6" i="161" s="1"/>
  <c r="J17" i="161"/>
  <c r="I17" i="161"/>
  <c r="H17" i="161"/>
  <c r="G17" i="161"/>
  <c r="G6" i="161" s="1"/>
  <c r="F17" i="161"/>
  <c r="E17" i="161"/>
  <c r="E6" i="161" s="1"/>
  <c r="D17" i="161"/>
  <c r="D6" i="161" s="1"/>
  <c r="C21" i="161"/>
  <c r="C20" i="161"/>
  <c r="C9" i="161" s="1"/>
  <c r="C19" i="161"/>
  <c r="C18" i="161"/>
  <c r="C17" i="161"/>
  <c r="B21" i="161"/>
  <c r="B10" i="161" s="1"/>
  <c r="B20" i="161"/>
  <c r="B9" i="161" s="1"/>
  <c r="B19" i="161"/>
  <c r="B8" i="161" s="1"/>
  <c r="B18" i="161"/>
  <c r="B7" i="161" s="1"/>
  <c r="B17" i="161"/>
  <c r="E9" i="161"/>
  <c r="K10" i="161"/>
  <c r="J10" i="161"/>
  <c r="I10" i="161"/>
  <c r="H10" i="161"/>
  <c r="G10" i="161"/>
  <c r="F10" i="161"/>
  <c r="E10" i="161"/>
  <c r="C10" i="161"/>
  <c r="J9" i="161"/>
  <c r="I9" i="161"/>
  <c r="H9" i="161"/>
  <c r="F9" i="161"/>
  <c r="K8" i="161"/>
  <c r="J8" i="161"/>
  <c r="H8" i="161"/>
  <c r="G8" i="161"/>
  <c r="F8" i="161"/>
  <c r="E8" i="161"/>
  <c r="C8" i="161"/>
  <c r="J7" i="161"/>
  <c r="I7" i="161"/>
  <c r="H7" i="161"/>
  <c r="F7" i="161"/>
  <c r="E7" i="161"/>
  <c r="C7" i="161"/>
  <c r="J6" i="161"/>
  <c r="I6" i="161"/>
  <c r="H6" i="161"/>
  <c r="F6" i="161"/>
  <c r="C6" i="161"/>
  <c r="B6" i="161"/>
  <c r="I10" i="138"/>
  <c r="H10" i="138"/>
  <c r="G10" i="138"/>
  <c r="F10" i="138"/>
  <c r="I9" i="138"/>
  <c r="H9" i="138"/>
  <c r="G9" i="138"/>
  <c r="F9" i="138"/>
  <c r="I7" i="138"/>
  <c r="H7" i="138"/>
  <c r="G7" i="138"/>
  <c r="F7" i="138"/>
  <c r="E7" i="138"/>
  <c r="D7" i="138"/>
  <c r="C7" i="138"/>
  <c r="I6" i="138"/>
  <c r="H6" i="138"/>
  <c r="G6" i="138"/>
  <c r="F6" i="138"/>
  <c r="E6" i="138"/>
  <c r="D6" i="138"/>
  <c r="C6" i="138"/>
  <c r="B7" i="138"/>
  <c r="B6" i="138"/>
  <c r="I20" i="138"/>
  <c r="H20" i="138"/>
  <c r="G20" i="138"/>
  <c r="F20" i="138"/>
  <c r="I19" i="138"/>
  <c r="H19" i="138"/>
  <c r="G19" i="138"/>
  <c r="F19" i="138"/>
  <c r="I17" i="138"/>
  <c r="H17" i="138"/>
  <c r="G17" i="138"/>
  <c r="F17" i="138"/>
  <c r="E17" i="138"/>
  <c r="D17" i="138"/>
  <c r="C17" i="138"/>
  <c r="I16" i="138"/>
  <c r="H16" i="138"/>
  <c r="G16" i="138"/>
  <c r="F16" i="138"/>
  <c r="E16" i="138"/>
  <c r="D16" i="138"/>
  <c r="C16" i="138"/>
  <c r="B17" i="138"/>
  <c r="B16" i="138"/>
  <c r="N15" i="4"/>
  <c r="N18" i="4" s="1"/>
  <c r="N59" i="6"/>
  <c r="N56" i="6"/>
  <c r="N29" i="6"/>
  <c r="N26" i="5"/>
  <c r="N23" i="5"/>
  <c r="N12" i="5"/>
  <c r="N11" i="12"/>
  <c r="N59" i="12"/>
  <c r="N14" i="12"/>
  <c r="N18" i="172"/>
  <c r="N21" i="172" s="1"/>
  <c r="N47" i="24"/>
  <c r="N16" i="24"/>
  <c r="N26" i="93"/>
  <c r="N20" i="93"/>
  <c r="N21" i="54"/>
  <c r="N18" i="53"/>
  <c r="N20" i="53" s="1"/>
  <c r="N15" i="52"/>
  <c r="N11" i="50"/>
  <c r="N14" i="50" s="1"/>
  <c r="N12" i="135"/>
  <c r="N15" i="135" s="1"/>
  <c r="N27" i="49"/>
  <c r="N13" i="49"/>
  <c r="N44" i="11"/>
  <c r="N41" i="11"/>
  <c r="N16" i="11"/>
  <c r="N12" i="10"/>
  <c r="N15" i="10" s="1"/>
  <c r="N85" i="66" s="1"/>
  <c r="N24" i="9"/>
  <c r="N26" i="9" s="1"/>
  <c r="N11" i="9"/>
  <c r="N70" i="8"/>
  <c r="M70" i="8"/>
  <c r="N69" i="8"/>
  <c r="M69" i="8"/>
  <c r="N80" i="8"/>
  <c r="M80" i="8"/>
  <c r="Q39" i="8"/>
  <c r="P39" i="8"/>
  <c r="O39" i="8"/>
  <c r="N39" i="8"/>
  <c r="N22" i="8"/>
  <c r="N16" i="7"/>
  <c r="N13" i="7"/>
  <c r="N13" i="165"/>
  <c r="N15" i="165" s="1"/>
  <c r="N25" i="22"/>
  <c r="N13" i="22"/>
  <c r="N18" i="18"/>
  <c r="N18" i="23"/>
  <c r="N13" i="23"/>
  <c r="N53" i="17"/>
  <c r="N50" i="17"/>
  <c r="N16" i="17"/>
  <c r="N22" i="56"/>
  <c r="N12" i="56"/>
  <c r="N57" i="15"/>
  <c r="N58" i="15" s="1"/>
  <c r="N73" i="66" s="1"/>
  <c r="N54" i="15"/>
  <c r="N53" i="15"/>
  <c r="N52" i="15"/>
  <c r="N51" i="15"/>
  <c r="N50" i="15"/>
  <c r="N49" i="15"/>
  <c r="N48" i="15"/>
  <c r="N47" i="15"/>
  <c r="N46" i="15"/>
  <c r="N45" i="15"/>
  <c r="N44" i="15"/>
  <c r="N43" i="15"/>
  <c r="N42" i="15"/>
  <c r="N41" i="15"/>
  <c r="N40" i="15"/>
  <c r="N39" i="15"/>
  <c r="N38" i="15"/>
  <c r="N37" i="15"/>
  <c r="N36" i="15"/>
  <c r="N35" i="15"/>
  <c r="N34" i="15"/>
  <c r="N33" i="15"/>
  <c r="N32" i="15"/>
  <c r="N31" i="15"/>
  <c r="N30" i="15"/>
  <c r="N29" i="15"/>
  <c r="N28" i="15"/>
  <c r="N27" i="15"/>
  <c r="N26" i="15"/>
  <c r="N25" i="15"/>
  <c r="N24" i="15"/>
  <c r="N23" i="15"/>
  <c r="N22" i="15"/>
  <c r="N21" i="15"/>
  <c r="N20" i="15"/>
  <c r="N19" i="15"/>
  <c r="N16" i="15"/>
  <c r="N15" i="15"/>
  <c r="N14" i="15"/>
  <c r="N13" i="15"/>
  <c r="N12" i="15"/>
  <c r="N11" i="15"/>
  <c r="N10" i="15"/>
  <c r="N9" i="15"/>
  <c r="N17" i="86"/>
  <c r="N19" i="86" s="1"/>
  <c r="N10" i="86"/>
  <c r="N10" i="48"/>
  <c r="N12" i="48" s="1"/>
  <c r="N19" i="47"/>
  <c r="N16" i="47"/>
  <c r="N14" i="46"/>
  <c r="N16" i="46" s="1"/>
  <c r="N63" i="66" s="1"/>
  <c r="N10" i="46"/>
  <c r="N10" i="45"/>
  <c r="N12" i="45" s="1"/>
  <c r="N62" i="66" s="1"/>
  <c r="N33" i="44"/>
  <c r="N20" i="44"/>
  <c r="N24" i="60"/>
  <c r="N19" i="60"/>
  <c r="N57" i="43"/>
  <c r="N59" i="66" s="1"/>
  <c r="N54" i="43"/>
  <c r="N28" i="43"/>
  <c r="N39" i="87"/>
  <c r="N14" i="139"/>
  <c r="N10" i="139"/>
  <c r="N15" i="41"/>
  <c r="N18" i="41" s="1"/>
  <c r="N13" i="40"/>
  <c r="N30" i="40"/>
  <c r="N36" i="38"/>
  <c r="N18" i="38"/>
  <c r="N21" i="77"/>
  <c r="N23" i="77" s="1"/>
  <c r="N27" i="149"/>
  <c r="N11" i="149"/>
  <c r="N13" i="36"/>
  <c r="N16" i="36" s="1"/>
  <c r="N46" i="66" s="1"/>
  <c r="N31" i="35"/>
  <c r="N33" i="35" s="1"/>
  <c r="N45" i="66" s="1"/>
  <c r="N16" i="35"/>
  <c r="N16" i="34"/>
  <c r="N40" i="34"/>
  <c r="N37" i="34"/>
  <c r="N42" i="34" s="1"/>
  <c r="N45" i="33"/>
  <c r="M45" i="33"/>
  <c r="N26" i="33"/>
  <c r="N11" i="33"/>
  <c r="N10" i="32"/>
  <c r="N11" i="32" s="1"/>
  <c r="N14" i="32" s="1"/>
  <c r="N29" i="31"/>
  <c r="M29" i="31"/>
  <c r="N9" i="31"/>
  <c r="N34" i="30"/>
  <c r="N19" i="30"/>
  <c r="N21" i="29"/>
  <c r="N23" i="29" s="1"/>
  <c r="N10" i="29"/>
  <c r="M57" i="15"/>
  <c r="M58" i="15" s="1"/>
  <c r="M73" i="66" s="1"/>
  <c r="M53" i="15"/>
  <c r="M52" i="15"/>
  <c r="M51" i="15"/>
  <c r="M50" i="15"/>
  <c r="M49" i="15"/>
  <c r="M48" i="15"/>
  <c r="M47" i="15"/>
  <c r="M46" i="15"/>
  <c r="M45" i="15"/>
  <c r="M44" i="15"/>
  <c r="M43" i="15"/>
  <c r="M42" i="15"/>
  <c r="M41" i="15"/>
  <c r="M40" i="15"/>
  <c r="M39" i="15"/>
  <c r="M38" i="15"/>
  <c r="M37" i="15"/>
  <c r="M36" i="15"/>
  <c r="M35" i="15"/>
  <c r="M34" i="15"/>
  <c r="M33" i="15"/>
  <c r="M32" i="15"/>
  <c r="M31" i="15"/>
  <c r="M30" i="15"/>
  <c r="M29" i="15"/>
  <c r="M28" i="15"/>
  <c r="M27" i="15"/>
  <c r="M26" i="15"/>
  <c r="M25" i="15"/>
  <c r="M24" i="15"/>
  <c r="M23" i="15"/>
  <c r="M22" i="15"/>
  <c r="M21" i="15"/>
  <c r="M20" i="15"/>
  <c r="M19" i="15"/>
  <c r="M16" i="15"/>
  <c r="M15" i="15"/>
  <c r="M14" i="15"/>
  <c r="M13" i="15"/>
  <c r="M12" i="15"/>
  <c r="M11" i="15"/>
  <c r="M10" i="15"/>
  <c r="M9" i="15"/>
  <c r="M15" i="4"/>
  <c r="M18" i="4" s="1"/>
  <c r="M116" i="66" s="1"/>
  <c r="M59" i="6"/>
  <c r="M61" i="6" s="1"/>
  <c r="M56" i="6"/>
  <c r="M29" i="6"/>
  <c r="M26" i="5"/>
  <c r="M23" i="5"/>
  <c r="M12" i="5"/>
  <c r="M45" i="12"/>
  <c r="M44" i="12"/>
  <c r="M39" i="12"/>
  <c r="M36" i="12"/>
  <c r="M35" i="12"/>
  <c r="M34" i="12"/>
  <c r="M14" i="12"/>
  <c r="M15" i="171"/>
  <c r="M18" i="171" s="1"/>
  <c r="M18" i="172"/>
  <c r="M12" i="172"/>
  <c r="M35" i="24"/>
  <c r="M33" i="24"/>
  <c r="M27" i="24"/>
  <c r="M26" i="24"/>
  <c r="M25" i="24"/>
  <c r="M20" i="24"/>
  <c r="M16" i="24"/>
  <c r="M26" i="93"/>
  <c r="M30" i="93" s="1"/>
  <c r="M20" i="93"/>
  <c r="M21" i="54"/>
  <c r="M18" i="53"/>
  <c r="M20" i="53" s="1"/>
  <c r="M10" i="52"/>
  <c r="M15" i="52" s="1"/>
  <c r="M61" i="51"/>
  <c r="M56" i="51"/>
  <c r="M31" i="51"/>
  <c r="M11" i="50"/>
  <c r="M14" i="50" s="1"/>
  <c r="M12" i="135"/>
  <c r="M15" i="135" s="1"/>
  <c r="M15" i="49"/>
  <c r="M27" i="49" s="1"/>
  <c r="M29" i="49" s="1"/>
  <c r="M91" i="66" s="1"/>
  <c r="M13" i="49"/>
  <c r="M44" i="11"/>
  <c r="M41" i="11"/>
  <c r="M16" i="11"/>
  <c r="M12" i="10"/>
  <c r="M15" i="10" s="1"/>
  <c r="M85" i="66" s="1"/>
  <c r="M24" i="9"/>
  <c r="M26" i="9" s="1"/>
  <c r="M11" i="9"/>
  <c r="M39" i="8"/>
  <c r="M9" i="8"/>
  <c r="M22" i="8" s="1"/>
  <c r="M16" i="7"/>
  <c r="M13" i="7"/>
  <c r="M13" i="165"/>
  <c r="M15" i="165" s="1"/>
  <c r="M25" i="22"/>
  <c r="M27" i="22" s="1"/>
  <c r="M13" i="22"/>
  <c r="M18" i="18"/>
  <c r="M11" i="18"/>
  <c r="M12" i="18" s="1"/>
  <c r="M18" i="23"/>
  <c r="M20" i="23" s="1"/>
  <c r="M13" i="23"/>
  <c r="M53" i="17"/>
  <c r="M55" i="17" s="1"/>
  <c r="M50" i="17"/>
  <c r="M16" i="17"/>
  <c r="M22" i="56"/>
  <c r="M24" i="56" s="1"/>
  <c r="M12" i="56"/>
  <c r="M14" i="13"/>
  <c r="M19" i="13" s="1"/>
  <c r="M11" i="13"/>
  <c r="M9" i="13"/>
  <c r="M17" i="86"/>
  <c r="M19" i="86" s="1"/>
  <c r="M10" i="86"/>
  <c r="M10" i="48"/>
  <c r="M12" i="48" s="1"/>
  <c r="M19" i="47"/>
  <c r="M21" i="47" s="1"/>
  <c r="M16" i="47"/>
  <c r="M14" i="46"/>
  <c r="M16" i="46" s="1"/>
  <c r="M63" i="66" s="1"/>
  <c r="M10" i="46"/>
  <c r="M10" i="45"/>
  <c r="M12" i="45" s="1"/>
  <c r="M62" i="66" s="1"/>
  <c r="M33" i="44"/>
  <c r="M20" i="44"/>
  <c r="M24" i="60"/>
  <c r="M11" i="60"/>
  <c r="M19" i="60" s="1"/>
  <c r="M57" i="43"/>
  <c r="M59" i="66" s="1"/>
  <c r="M48" i="43"/>
  <c r="M54" i="43" s="1"/>
  <c r="M28" i="43"/>
  <c r="M39" i="87"/>
  <c r="M41" i="87" s="1"/>
  <c r="M14" i="139"/>
  <c r="M17" i="139" s="1"/>
  <c r="M53" i="66" s="1"/>
  <c r="M10" i="139"/>
  <c r="M15" i="41"/>
  <c r="M18" i="41" s="1"/>
  <c r="M30" i="40"/>
  <c r="M13" i="40"/>
  <c r="M36" i="38"/>
  <c r="M13" i="38"/>
  <c r="M18" i="38" s="1"/>
  <c r="M21" i="77"/>
  <c r="M23" i="77" s="1"/>
  <c r="M17" i="77"/>
  <c r="M27" i="149"/>
  <c r="M29" i="149" s="1"/>
  <c r="M47" i="66" s="1"/>
  <c r="M11" i="149"/>
  <c r="M13" i="36"/>
  <c r="M16" i="36" s="1"/>
  <c r="M46" i="66" s="1"/>
  <c r="M31" i="35"/>
  <c r="M33" i="35" s="1"/>
  <c r="M45" i="66" s="1"/>
  <c r="M16" i="35"/>
  <c r="M40" i="34"/>
  <c r="M37" i="34"/>
  <c r="M42" i="34" s="1"/>
  <c r="M16" i="34"/>
  <c r="M26" i="33"/>
  <c r="M11" i="33"/>
  <c r="M17" i="31"/>
  <c r="M20" i="31" s="1"/>
  <c r="M11" i="32"/>
  <c r="M14" i="32" s="1"/>
  <c r="M34" i="30"/>
  <c r="M36" i="30" s="1"/>
  <c r="M39" i="66" s="1"/>
  <c r="M19" i="30"/>
  <c r="M21" i="29"/>
  <c r="M23" i="29" s="1"/>
  <c r="M10" i="29"/>
  <c r="M35" i="44" l="1"/>
  <c r="M61" i="66" s="1"/>
  <c r="M28" i="5"/>
  <c r="M114" i="66" s="1"/>
  <c r="M64" i="51"/>
  <c r="M98" i="66" s="1"/>
  <c r="M32" i="40"/>
  <c r="M50" i="66" s="1"/>
  <c r="N17" i="139"/>
  <c r="N53" i="66" s="1"/>
  <c r="N38" i="38"/>
  <c r="N49" i="66" s="1"/>
  <c r="M46" i="11"/>
  <c r="M90" i="66" s="1"/>
  <c r="M95" i="66" s="1"/>
  <c r="N29" i="149"/>
  <c r="N47" i="66" s="1"/>
  <c r="M17" i="15"/>
  <c r="M55" i="15"/>
  <c r="M72" i="66" s="1"/>
  <c r="N18" i="7"/>
  <c r="N77" i="66" s="1"/>
  <c r="M18" i="7"/>
  <c r="M77" i="66" s="1"/>
  <c r="N23" i="54"/>
  <c r="N105" i="66"/>
  <c r="N107" i="66" s="1"/>
  <c r="M23" i="54"/>
  <c r="M105" i="66"/>
  <c r="M107" i="66" s="1"/>
  <c r="M59" i="12"/>
  <c r="M64" i="12" s="1"/>
  <c r="M112" i="66" s="1"/>
  <c r="M118" i="66" s="1"/>
  <c r="N36" i="30"/>
  <c r="N39" i="66" s="1"/>
  <c r="N61" i="6"/>
  <c r="N28" i="5"/>
  <c r="N114" i="66" s="1"/>
  <c r="N64" i="12"/>
  <c r="N112" i="66" s="1"/>
  <c r="M21" i="172"/>
  <c r="M47" i="24"/>
  <c r="M54" i="24" s="1"/>
  <c r="M121" i="66" s="1"/>
  <c r="N54" i="24"/>
  <c r="N121" i="66" s="1"/>
  <c r="N30" i="93"/>
  <c r="N29" i="49"/>
  <c r="N91" i="66" s="1"/>
  <c r="N46" i="11"/>
  <c r="N90" i="66" s="1"/>
  <c r="N95" i="66" s="1"/>
  <c r="N41" i="8"/>
  <c r="N83" i="66" s="1"/>
  <c r="N87" i="66" s="1"/>
  <c r="N27" i="22"/>
  <c r="N12" i="18"/>
  <c r="N20" i="18"/>
  <c r="N74" i="66" s="1"/>
  <c r="N20" i="23"/>
  <c r="N55" i="17"/>
  <c r="N55" i="15"/>
  <c r="N24" i="56"/>
  <c r="N17" i="15"/>
  <c r="N21" i="47"/>
  <c r="N35" i="44"/>
  <c r="N61" i="66" s="1"/>
  <c r="N26" i="60"/>
  <c r="N59" i="43"/>
  <c r="N58" i="66" s="1"/>
  <c r="N32" i="40"/>
  <c r="N50" i="66" s="1"/>
  <c r="M28" i="33"/>
  <c r="N28" i="33"/>
  <c r="N17" i="31"/>
  <c r="N20" i="31" s="1"/>
  <c r="M60" i="15"/>
  <c r="M41" i="8"/>
  <c r="M83" i="66" s="1"/>
  <c r="M87" i="66" s="1"/>
  <c r="M20" i="18"/>
  <c r="M26" i="60"/>
  <c r="M59" i="43"/>
  <c r="M58" i="66" s="1"/>
  <c r="M69" i="66" s="1"/>
  <c r="M38" i="38"/>
  <c r="M49" i="66" s="1"/>
  <c r="M55" i="66" s="1"/>
  <c r="N118" i="66" l="1"/>
  <c r="N69" i="66"/>
  <c r="N55" i="66"/>
  <c r="N72" i="66"/>
  <c r="N79" i="66" s="1"/>
  <c r="M79" i="66"/>
  <c r="M109" i="66" s="1"/>
  <c r="M134" i="66" s="1"/>
  <c r="M259" i="66" s="1"/>
  <c r="M264" i="66" s="1"/>
  <c r="N60" i="15"/>
  <c r="Q54" i="51"/>
  <c r="Q53" i="51"/>
  <c r="Q52" i="51"/>
  <c r="Q51" i="51"/>
  <c r="Q50" i="51"/>
  <c r="Q49" i="51"/>
  <c r="Q48" i="51"/>
  <c r="Q47" i="51"/>
  <c r="Q46" i="51"/>
  <c r="Q45" i="51"/>
  <c r="Q43" i="51"/>
  <c r="Q36" i="51"/>
  <c r="Q29" i="51"/>
  <c r="Q28" i="51"/>
  <c r="Q27" i="51"/>
  <c r="Q26" i="51"/>
  <c r="Q25" i="51"/>
  <c r="Q24" i="51"/>
  <c r="Q23" i="51"/>
  <c r="Q22" i="51"/>
  <c r="Q21" i="51"/>
  <c r="Q20" i="51"/>
  <c r="Q18" i="51"/>
  <c r="Q17" i="51"/>
  <c r="Q12" i="51"/>
  <c r="Q16" i="172"/>
  <c r="Q15" i="172"/>
  <c r="Q10" i="172"/>
  <c r="Q9" i="172"/>
  <c r="Q53" i="6"/>
  <c r="Q52" i="6"/>
  <c r="Q51" i="6"/>
  <c r="Q50" i="6"/>
  <c r="Q49" i="6"/>
  <c r="Q48" i="6"/>
  <c r="Q45" i="6"/>
  <c r="Q44" i="6"/>
  <c r="Q43" i="6"/>
  <c r="Q36" i="6"/>
  <c r="Q35" i="6"/>
  <c r="Q34" i="6"/>
  <c r="Q33" i="6"/>
  <c r="Q32" i="6"/>
  <c r="Q25" i="6"/>
  <c r="Q24" i="6"/>
  <c r="Q23" i="6"/>
  <c r="Q22" i="6"/>
  <c r="Q21" i="6"/>
  <c r="Q20" i="6"/>
  <c r="Q19" i="6"/>
  <c r="Q18" i="6"/>
  <c r="Q17" i="6"/>
  <c r="Q12" i="6"/>
  <c r="Q11" i="6"/>
  <c r="Q10" i="6"/>
  <c r="Q9" i="6"/>
  <c r="O36" i="12"/>
  <c r="O35" i="12"/>
  <c r="O34" i="12"/>
  <c r="O20" i="93"/>
  <c r="N31" i="51"/>
  <c r="N61" i="51"/>
  <c r="N56" i="51"/>
  <c r="O12" i="18"/>
  <c r="N14" i="13"/>
  <c r="N19" i="13" s="1"/>
  <c r="N11" i="13"/>
  <c r="O46" i="43"/>
  <c r="O41" i="43"/>
  <c r="O32" i="43"/>
  <c r="O13" i="40"/>
  <c r="O17" i="77"/>
  <c r="U34" i="144"/>
  <c r="O54" i="43" l="1"/>
  <c r="N64" i="51"/>
  <c r="N98" i="66" s="1"/>
  <c r="N109" i="66" s="1"/>
  <c r="N134" i="66" s="1"/>
  <c r="E28" i="2"/>
  <c r="M60" i="169"/>
  <c r="N60" i="169" l="1"/>
  <c r="R209" i="66" l="1"/>
  <c r="T16" i="12" l="1"/>
  <c r="R18" i="53"/>
  <c r="Q15" i="52"/>
  <c r="Q16" i="52" s="1"/>
  <c r="R16" i="52" s="1"/>
  <c r="D40" i="167"/>
  <c r="R163" i="66"/>
  <c r="R25" i="22"/>
  <c r="R13" i="22"/>
  <c r="B86" i="179"/>
  <c r="A89" i="179"/>
  <c r="C88" i="179"/>
  <c r="B88" i="179"/>
  <c r="A88" i="179"/>
  <c r="A84" i="179"/>
  <c r="C82" i="179"/>
  <c r="B82" i="179"/>
  <c r="A82" i="179"/>
  <c r="C81" i="179"/>
  <c r="A81" i="179"/>
  <c r="C80" i="179"/>
  <c r="A80" i="179"/>
  <c r="B79" i="179"/>
  <c r="A79" i="179"/>
  <c r="B78" i="179"/>
  <c r="A78" i="179"/>
  <c r="B77" i="179"/>
  <c r="A77" i="179"/>
  <c r="B76" i="179"/>
  <c r="A76" i="179"/>
  <c r="B75" i="179"/>
  <c r="A75" i="179"/>
  <c r="B74" i="179"/>
  <c r="A74" i="179"/>
  <c r="B73" i="179"/>
  <c r="A73" i="179"/>
  <c r="B72" i="179"/>
  <c r="A72" i="179"/>
  <c r="B71" i="179"/>
  <c r="A71" i="179"/>
  <c r="C70" i="179"/>
  <c r="B70" i="179"/>
  <c r="A70" i="179"/>
  <c r="C69" i="179"/>
  <c r="B69" i="179"/>
  <c r="A69" i="179"/>
  <c r="D63" i="179"/>
  <c r="R27" i="22" l="1"/>
  <c r="B84" i="179"/>
  <c r="B22" i="179"/>
  <c r="B23" i="179" s="1"/>
  <c r="B26" i="179" s="1"/>
  <c r="B41" i="179"/>
  <c r="B47" i="179" s="1"/>
  <c r="B11" i="179"/>
  <c r="B14" i="179" s="1"/>
  <c r="C45" i="179"/>
  <c r="D45" i="179" s="1"/>
  <c r="C44" i="179"/>
  <c r="D44" i="179" s="1"/>
  <c r="C39" i="179"/>
  <c r="D39" i="179" s="1"/>
  <c r="C38" i="179"/>
  <c r="D38" i="179" s="1"/>
  <c r="C37" i="179"/>
  <c r="D37" i="179" s="1"/>
  <c r="C36" i="179"/>
  <c r="D36" i="179" s="1"/>
  <c r="C34" i="179"/>
  <c r="D34" i="179" s="1"/>
  <c r="C33" i="179"/>
  <c r="D33" i="179" s="1"/>
  <c r="C32" i="179"/>
  <c r="D32" i="179" s="1"/>
  <c r="C31" i="179"/>
  <c r="D31" i="179" s="1"/>
  <c r="C30" i="179"/>
  <c r="D30" i="179" s="1"/>
  <c r="C29" i="179"/>
  <c r="D29" i="179" s="1"/>
  <c r="C25" i="179"/>
  <c r="D25" i="179" s="1"/>
  <c r="C20" i="179"/>
  <c r="D20" i="179" s="1"/>
  <c r="C19" i="179"/>
  <c r="D19" i="179" s="1"/>
  <c r="C18" i="179"/>
  <c r="D18" i="179" s="1"/>
  <c r="C17" i="179"/>
  <c r="D17" i="179" s="1"/>
  <c r="C16" i="179"/>
  <c r="C13" i="179"/>
  <c r="D13" i="179" s="1"/>
  <c r="C10" i="179"/>
  <c r="D10" i="179" s="1"/>
  <c r="C8" i="179"/>
  <c r="D8" i="179" s="1"/>
  <c r="D35" i="167" l="1"/>
  <c r="B49" i="179"/>
  <c r="B19" i="167" l="1"/>
  <c r="S147" i="66"/>
  <c r="R147" i="66"/>
  <c r="T39" i="87" l="1"/>
  <c r="Q155" i="66" l="1"/>
  <c r="M31" i="143"/>
  <c r="M30" i="143"/>
  <c r="C34" i="143" l="1"/>
  <c r="Q189" i="66" l="1"/>
  <c r="R189" i="66" s="1"/>
  <c r="S189" i="66" s="1"/>
  <c r="R92" i="66" l="1"/>
  <c r="R65" i="66"/>
  <c r="Q65" i="66"/>
  <c r="R62" i="66"/>
  <c r="Q44" i="66"/>
  <c r="R61" i="12"/>
  <c r="R39" i="8"/>
  <c r="R53" i="15"/>
  <c r="R52" i="15"/>
  <c r="R51" i="15"/>
  <c r="R50" i="15"/>
  <c r="R49" i="15"/>
  <c r="R48" i="15"/>
  <c r="R47" i="15"/>
  <c r="R46" i="15"/>
  <c r="R45" i="15"/>
  <c r="R44" i="15"/>
  <c r="R43" i="15"/>
  <c r="R42" i="15"/>
  <c r="R41" i="15"/>
  <c r="R40" i="15"/>
  <c r="R39" i="15"/>
  <c r="R38" i="15"/>
  <c r="R37" i="15"/>
  <c r="R36" i="15"/>
  <c r="R35" i="15"/>
  <c r="R34" i="15"/>
  <c r="R33" i="15"/>
  <c r="R32" i="15"/>
  <c r="R31" i="15"/>
  <c r="R30" i="15"/>
  <c r="R29" i="15"/>
  <c r="R28" i="15"/>
  <c r="R27" i="15"/>
  <c r="R26" i="15"/>
  <c r="R25" i="15"/>
  <c r="R24" i="15"/>
  <c r="R23" i="15"/>
  <c r="R22" i="15"/>
  <c r="R21" i="15"/>
  <c r="R20" i="15"/>
  <c r="R19" i="15"/>
  <c r="R16" i="15"/>
  <c r="R15" i="15"/>
  <c r="R14" i="15"/>
  <c r="R13" i="15"/>
  <c r="R12" i="15"/>
  <c r="R11" i="15"/>
  <c r="R18" i="23"/>
  <c r="R10" i="15"/>
  <c r="R53" i="17"/>
  <c r="R50" i="17"/>
  <c r="R19" i="30"/>
  <c r="Q23" i="66"/>
  <c r="Q10" i="66"/>
  <c r="Q113" i="66" l="1"/>
  <c r="I30" i="178" l="1"/>
  <c r="G30" i="178"/>
  <c r="J24" i="178"/>
  <c r="K24" i="178" s="1"/>
  <c r="I24" i="178"/>
  <c r="J23" i="178"/>
  <c r="K23" i="178" s="1"/>
  <c r="J30" i="178" s="1"/>
  <c r="J18" i="178"/>
  <c r="I18" i="178"/>
  <c r="K17" i="178"/>
  <c r="C13" i="178"/>
  <c r="D13" i="178" s="1"/>
  <c r="J12" i="178"/>
  <c r="C12" i="178"/>
  <c r="J11" i="178"/>
  <c r="C11" i="178"/>
  <c r="C10" i="178"/>
  <c r="C9" i="178"/>
  <c r="D10" i="178" l="1"/>
  <c r="D12" i="178"/>
  <c r="K18" i="178"/>
  <c r="D11" i="178"/>
  <c r="K30" i="178"/>
  <c r="Q69" i="12" l="1"/>
  <c r="I3" i="167" l="1"/>
  <c r="I13" i="167" s="1"/>
  <c r="N78" i="38" l="1"/>
  <c r="M78" i="38"/>
  <c r="N25" i="7"/>
  <c r="O78" i="38" l="1"/>
  <c r="P78" i="38" s="1"/>
  <c r="C40" i="179"/>
  <c r="D40" i="179" s="1"/>
  <c r="M42" i="169"/>
  <c r="M28" i="169"/>
  <c r="L17" i="169"/>
  <c r="O12" i="169"/>
  <c r="M112" i="12" l="1"/>
  <c r="M111" i="12"/>
  <c r="M110" i="12"/>
  <c r="P13" i="40"/>
  <c r="P26" i="33"/>
  <c r="K103" i="129"/>
  <c r="B30" i="167" l="1"/>
  <c r="A30" i="167"/>
  <c r="Q34" i="12" l="1"/>
  <c r="Q35" i="12"/>
  <c r="Q36" i="12"/>
  <c r="N133" i="12"/>
  <c r="M133" i="12"/>
  <c r="B133" i="12"/>
  <c r="A133" i="12"/>
  <c r="N132" i="12"/>
  <c r="M132" i="12"/>
  <c r="B132" i="12"/>
  <c r="A132" i="12"/>
  <c r="N131" i="12"/>
  <c r="M131" i="12"/>
  <c r="B131" i="12"/>
  <c r="A131" i="12"/>
  <c r="N130" i="12"/>
  <c r="M130" i="12"/>
  <c r="B130" i="12"/>
  <c r="A130" i="12"/>
  <c r="M129" i="12"/>
  <c r="B129" i="12"/>
  <c r="A129" i="12"/>
  <c r="N128" i="12"/>
  <c r="M128" i="12"/>
  <c r="B128" i="12"/>
  <c r="A128" i="12"/>
  <c r="N127" i="12"/>
  <c r="M127" i="12"/>
  <c r="B127" i="12"/>
  <c r="A127" i="12"/>
  <c r="N126" i="12"/>
  <c r="M126" i="12"/>
  <c r="B126" i="12"/>
  <c r="A126" i="12"/>
  <c r="N125" i="12"/>
  <c r="M125" i="12"/>
  <c r="B125" i="12"/>
  <c r="A125" i="12"/>
  <c r="N124" i="12"/>
  <c r="M124" i="12"/>
  <c r="B124" i="12"/>
  <c r="A124" i="12"/>
  <c r="N123" i="12"/>
  <c r="M123" i="12"/>
  <c r="B123" i="12"/>
  <c r="A123" i="12"/>
  <c r="N122" i="12"/>
  <c r="M122" i="12"/>
  <c r="B122" i="12"/>
  <c r="A122" i="12"/>
  <c r="N121" i="12"/>
  <c r="B121" i="12"/>
  <c r="A121" i="12"/>
  <c r="N120" i="12"/>
  <c r="B120" i="12"/>
  <c r="A120" i="12"/>
  <c r="N119" i="12"/>
  <c r="M119" i="12"/>
  <c r="B119" i="12"/>
  <c r="A119" i="12"/>
  <c r="N118" i="12"/>
  <c r="M118" i="12"/>
  <c r="B118" i="12"/>
  <c r="A118" i="12"/>
  <c r="N117" i="12"/>
  <c r="M117" i="12"/>
  <c r="B117" i="12"/>
  <c r="A117" i="12"/>
  <c r="N116" i="12"/>
  <c r="M116" i="12"/>
  <c r="B116" i="12"/>
  <c r="A116" i="12"/>
  <c r="N115" i="12"/>
  <c r="B115" i="12"/>
  <c r="A115" i="12"/>
  <c r="N114" i="12"/>
  <c r="M114" i="12"/>
  <c r="B114" i="12"/>
  <c r="A114" i="12"/>
  <c r="N113" i="12"/>
  <c r="M113" i="12"/>
  <c r="B113" i="12"/>
  <c r="A113" i="12"/>
  <c r="N112" i="12"/>
  <c r="B112" i="12"/>
  <c r="A112" i="12"/>
  <c r="N111" i="12"/>
  <c r="B111" i="12"/>
  <c r="A111" i="12"/>
  <c r="N110" i="12"/>
  <c r="B110" i="12"/>
  <c r="A110" i="12"/>
  <c r="N109" i="12"/>
  <c r="M109" i="12"/>
  <c r="B109" i="12"/>
  <c r="A109" i="12"/>
  <c r="N108" i="12"/>
  <c r="M108" i="12"/>
  <c r="B108" i="12"/>
  <c r="A108" i="12"/>
  <c r="N107" i="12"/>
  <c r="M107" i="12"/>
  <c r="B107" i="12"/>
  <c r="A107" i="12"/>
  <c r="N106" i="12"/>
  <c r="M106" i="12"/>
  <c r="B106" i="12"/>
  <c r="A106" i="12"/>
  <c r="N105" i="12"/>
  <c r="M105" i="12"/>
  <c r="B105" i="12"/>
  <c r="A105" i="12"/>
  <c r="N104" i="12"/>
  <c r="M104" i="12"/>
  <c r="B104" i="12"/>
  <c r="A104" i="12"/>
  <c r="N103" i="12"/>
  <c r="M103" i="12"/>
  <c r="B103" i="12"/>
  <c r="A103" i="12"/>
  <c r="N102" i="12"/>
  <c r="M102" i="12"/>
  <c r="B102" i="12"/>
  <c r="A102" i="12"/>
  <c r="N101" i="12"/>
  <c r="M101" i="12"/>
  <c r="B101" i="12"/>
  <c r="A101" i="12"/>
  <c r="N100" i="12"/>
  <c r="M100" i="12"/>
  <c r="B100" i="12"/>
  <c r="A100" i="12"/>
  <c r="N99" i="12"/>
  <c r="M99" i="12"/>
  <c r="B99" i="12"/>
  <c r="A99" i="12"/>
  <c r="N98" i="12"/>
  <c r="M98" i="12"/>
  <c r="B98" i="12"/>
  <c r="A98" i="12"/>
  <c r="N97" i="12"/>
  <c r="M97" i="12"/>
  <c r="B97" i="12"/>
  <c r="A97" i="12"/>
  <c r="N96" i="12"/>
  <c r="M96" i="12"/>
  <c r="B96" i="12"/>
  <c r="A96" i="12"/>
  <c r="N95" i="12"/>
  <c r="M95" i="12"/>
  <c r="B95" i="12"/>
  <c r="A95" i="12"/>
  <c r="O117" i="12" l="1"/>
  <c r="O125" i="12"/>
  <c r="P125" i="12" s="1"/>
  <c r="O130" i="12"/>
  <c r="P130" i="12" s="1"/>
  <c r="O132" i="12"/>
  <c r="P132" i="12" s="1"/>
  <c r="O95" i="12"/>
  <c r="P95" i="12" s="1"/>
  <c r="O108" i="12"/>
  <c r="P108" i="12" s="1"/>
  <c r="O113" i="12"/>
  <c r="O97" i="12"/>
  <c r="P97" i="12" s="1"/>
  <c r="O99" i="12"/>
  <c r="P99" i="12" s="1"/>
  <c r="O96" i="12"/>
  <c r="P96" i="12" s="1"/>
  <c r="O100" i="12"/>
  <c r="P100" i="12" s="1"/>
  <c r="O104" i="12"/>
  <c r="P104" i="12" s="1"/>
  <c r="O112" i="12"/>
  <c r="P112" i="12" s="1"/>
  <c r="P117" i="12"/>
  <c r="P113" i="12"/>
  <c r="O103" i="12"/>
  <c r="P103" i="12" s="1"/>
  <c r="O127" i="12"/>
  <c r="P127" i="12" s="1"/>
  <c r="O131" i="12"/>
  <c r="P131" i="12" s="1"/>
  <c r="O109" i="12"/>
  <c r="P109" i="12" s="1"/>
  <c r="O101" i="12"/>
  <c r="P101" i="12" s="1"/>
  <c r="O110" i="12"/>
  <c r="P110" i="12" s="1"/>
  <c r="O105" i="12"/>
  <c r="P105" i="12" s="1"/>
  <c r="O107" i="12"/>
  <c r="P107" i="12" s="1"/>
  <c r="O102" i="12"/>
  <c r="P102" i="12" s="1"/>
  <c r="O111" i="12"/>
  <c r="P111" i="12" s="1"/>
  <c r="O122" i="12"/>
  <c r="P122" i="12" s="1"/>
  <c r="O106" i="12"/>
  <c r="P106" i="12" s="1"/>
  <c r="O119" i="12"/>
  <c r="P119" i="12" s="1"/>
  <c r="O126" i="12"/>
  <c r="P126" i="12" s="1"/>
  <c r="O128" i="12"/>
  <c r="P128" i="12" s="1"/>
  <c r="O114" i="12"/>
  <c r="P114" i="12" s="1"/>
  <c r="O123" i="12"/>
  <c r="P123" i="12" s="1"/>
  <c r="O118" i="12"/>
  <c r="P118" i="12" s="1"/>
  <c r="O98" i="12"/>
  <c r="P98" i="12" s="1"/>
  <c r="O133" i="12"/>
  <c r="P133" i="12" s="1"/>
  <c r="O116" i="12"/>
  <c r="P116" i="12" s="1"/>
  <c r="O124" i="12"/>
  <c r="P124" i="12" s="1"/>
  <c r="N30" i="31" l="1"/>
  <c r="M30" i="31"/>
  <c r="N73" i="34"/>
  <c r="M73" i="34"/>
  <c r="O73" i="34" l="1"/>
  <c r="P73" i="34" s="1"/>
  <c r="O30" i="31"/>
  <c r="P30" i="31" s="1"/>
  <c r="R235" i="66" l="1"/>
  <c r="T235" i="66" l="1"/>
  <c r="N88" i="11" l="1"/>
  <c r="M88" i="11"/>
  <c r="N87" i="11"/>
  <c r="M87" i="11"/>
  <c r="N49" i="40"/>
  <c r="M49" i="40"/>
  <c r="O49" i="40" l="1"/>
  <c r="P49" i="40" s="1"/>
  <c r="O87" i="11"/>
  <c r="P87" i="11" s="1"/>
  <c r="B9" i="173" l="1"/>
  <c r="B8" i="173"/>
  <c r="B7" i="173"/>
  <c r="B6" i="173"/>
  <c r="B5" i="173"/>
  <c r="B4" i="173"/>
  <c r="C8" i="173"/>
  <c r="C6" i="173"/>
  <c r="C5" i="173"/>
  <c r="C4" i="173"/>
  <c r="B32" i="136"/>
  <c r="B15" i="136"/>
  <c r="K30" i="104"/>
  <c r="O46" i="104"/>
  <c r="K47" i="104"/>
  <c r="K46" i="104"/>
  <c r="C12" i="104"/>
  <c r="C4" i="104"/>
  <c r="B10" i="173" l="1"/>
  <c r="M51" i="169"/>
  <c r="M50" i="169"/>
  <c r="M49" i="169"/>
  <c r="M47" i="169"/>
  <c r="M46" i="169"/>
  <c r="M45" i="169"/>
  <c r="M44" i="169"/>
  <c r="M43" i="169"/>
  <c r="N52" i="169"/>
  <c r="N51" i="169"/>
  <c r="N50" i="169"/>
  <c r="N49" i="169"/>
  <c r="N47" i="169"/>
  <c r="N46" i="169"/>
  <c r="N45" i="169"/>
  <c r="N44" i="169"/>
  <c r="N43" i="169"/>
  <c r="N28" i="169"/>
  <c r="M30" i="169"/>
  <c r="M55" i="169"/>
  <c r="M52" i="169"/>
  <c r="M36" i="169"/>
  <c r="M33" i="169"/>
  <c r="M32" i="169"/>
  <c r="M31" i="169"/>
  <c r="M29" i="169"/>
  <c r="M64" i="129" l="1"/>
  <c r="M31" i="129"/>
  <c r="J103" i="129"/>
  <c r="J64" i="129"/>
  <c r="C38" i="170"/>
  <c r="S12" i="167"/>
  <c r="S21" i="167" s="1"/>
  <c r="A27" i="167"/>
  <c r="S46" i="167" l="1"/>
  <c r="S47" i="167" s="1"/>
  <c r="S22" i="167"/>
  <c r="S13" i="167"/>
  <c r="R156" i="66"/>
  <c r="R155" i="66"/>
  <c r="R224" i="66"/>
  <c r="R171" i="66"/>
  <c r="S171" i="66" s="1"/>
  <c r="Y244" i="66" l="1"/>
  <c r="V223" i="66"/>
  <c r="B27" i="167"/>
  <c r="S224" i="66"/>
  <c r="P34" i="167"/>
  <c r="P21" i="66"/>
  <c r="V155" i="66"/>
  <c r="T156" i="66"/>
  <c r="M84" i="26"/>
  <c r="M33" i="144"/>
  <c r="V257" i="66" l="1"/>
  <c r="Y21" i="66"/>
  <c r="Q21" i="66"/>
  <c r="D32" i="167"/>
  <c r="K16" i="144" l="1"/>
  <c r="D32" i="133" l="1"/>
  <c r="AV18" i="172"/>
  <c r="AU18" i="172"/>
  <c r="AT18" i="172"/>
  <c r="AS18" i="172"/>
  <c r="AR18" i="172"/>
  <c r="AQ18" i="172"/>
  <c r="AP18" i="172"/>
  <c r="AO18" i="172"/>
  <c r="AN18" i="172"/>
  <c r="AM18" i="172"/>
  <c r="AL18" i="172"/>
  <c r="AK18" i="172"/>
  <c r="AJ18" i="172"/>
  <c r="AI18" i="172"/>
  <c r="AH18" i="172"/>
  <c r="AG18" i="172"/>
  <c r="AF18" i="172"/>
  <c r="AE18" i="172"/>
  <c r="AD18" i="172"/>
  <c r="AC18" i="172"/>
  <c r="AB18" i="172"/>
  <c r="AA18" i="172"/>
  <c r="Z18" i="172"/>
  <c r="Y18" i="172"/>
  <c r="X18" i="172"/>
  <c r="W18" i="172"/>
  <c r="V18" i="172"/>
  <c r="U18" i="172"/>
  <c r="AV12" i="172"/>
  <c r="AV21" i="172" s="1"/>
  <c r="AU12" i="172"/>
  <c r="AT12" i="172"/>
  <c r="AS12" i="172"/>
  <c r="AR12" i="172"/>
  <c r="AQ12" i="172"/>
  <c r="AP12" i="172"/>
  <c r="AO12" i="172"/>
  <c r="AN12" i="172"/>
  <c r="AN21" i="172" s="1"/>
  <c r="AM12" i="172"/>
  <c r="AL12" i="172"/>
  <c r="AK12" i="172"/>
  <c r="AJ12" i="172"/>
  <c r="AI12" i="172"/>
  <c r="AH12" i="172"/>
  <c r="AG12" i="172"/>
  <c r="AG21" i="172" s="1"/>
  <c r="AF12" i="172"/>
  <c r="AE12" i="172"/>
  <c r="AD12" i="172"/>
  <c r="AC12" i="172"/>
  <c r="AB12" i="172"/>
  <c r="AA12" i="172"/>
  <c r="Z12" i="172"/>
  <c r="Y12" i="172"/>
  <c r="X12" i="172"/>
  <c r="W12" i="172"/>
  <c r="V12" i="172"/>
  <c r="U12" i="172"/>
  <c r="AY54" i="51"/>
  <c r="AY29" i="51"/>
  <c r="AY28" i="51"/>
  <c r="AY53" i="51"/>
  <c r="G20" i="2"/>
  <c r="I20" i="2" s="1"/>
  <c r="AL21" i="172" l="1"/>
  <c r="AT21" i="172"/>
  <c r="AA21" i="172"/>
  <c r="AI21" i="172"/>
  <c r="AQ21" i="172"/>
  <c r="AM21" i="172"/>
  <c r="AU21" i="172"/>
  <c r="AO21" i="172"/>
  <c r="AP21" i="172"/>
  <c r="AJ21" i="172"/>
  <c r="AR21" i="172"/>
  <c r="AK21" i="172"/>
  <c r="AS21" i="172"/>
  <c r="Y21" i="172"/>
  <c r="AE21" i="172"/>
  <c r="AD21" i="172"/>
  <c r="W21" i="172"/>
  <c r="AF21" i="172"/>
  <c r="X21" i="172"/>
  <c r="AH21" i="172"/>
  <c r="AC21" i="172"/>
  <c r="AB21" i="172"/>
  <c r="Z21" i="172"/>
  <c r="V21" i="172"/>
  <c r="U21" i="172"/>
  <c r="N42" i="33" l="1"/>
  <c r="M42" i="33"/>
  <c r="N101" i="17"/>
  <c r="M32" i="4"/>
  <c r="M31" i="4"/>
  <c r="M30" i="4"/>
  <c r="M29" i="4"/>
  <c r="M28" i="4"/>
  <c r="M49" i="5"/>
  <c r="M48" i="5"/>
  <c r="M47" i="5"/>
  <c r="M45" i="5"/>
  <c r="M44" i="5"/>
  <c r="M43" i="5"/>
  <c r="M42" i="5"/>
  <c r="M41" i="5"/>
  <c r="M40" i="5"/>
  <c r="M39" i="5"/>
  <c r="M38" i="5"/>
  <c r="M37" i="5"/>
  <c r="N94" i="12"/>
  <c r="N93" i="12"/>
  <c r="M94" i="12"/>
  <c r="M93" i="12"/>
  <c r="M91" i="12"/>
  <c r="M32" i="171"/>
  <c r="M31" i="171"/>
  <c r="M30" i="171"/>
  <c r="M29" i="171"/>
  <c r="M28" i="171"/>
  <c r="M76" i="24"/>
  <c r="M48" i="93"/>
  <c r="M47" i="93"/>
  <c r="M46" i="93"/>
  <c r="M45" i="93"/>
  <c r="M44" i="93"/>
  <c r="M43" i="93"/>
  <c r="M42" i="93"/>
  <c r="M41" i="93"/>
  <c r="M40" i="93"/>
  <c r="M39" i="93"/>
  <c r="M38" i="93"/>
  <c r="M37" i="93"/>
  <c r="M36" i="93"/>
  <c r="J31" i="54"/>
  <c r="M34" i="53"/>
  <c r="M33" i="53"/>
  <c r="M32" i="53"/>
  <c r="M31" i="53"/>
  <c r="M30" i="53"/>
  <c r="M29" i="53"/>
  <c r="M28" i="53"/>
  <c r="M29" i="52"/>
  <c r="M28" i="52"/>
  <c r="M27" i="52"/>
  <c r="M25" i="52"/>
  <c r="M21" i="50"/>
  <c r="M20" i="50"/>
  <c r="M21" i="135"/>
  <c r="M51" i="49"/>
  <c r="M53" i="49"/>
  <c r="M52" i="49"/>
  <c r="M54" i="49"/>
  <c r="M55" i="49"/>
  <c r="M57" i="49"/>
  <c r="M56" i="49"/>
  <c r="M49" i="49"/>
  <c r="M48" i="49"/>
  <c r="M47" i="49"/>
  <c r="M46" i="49"/>
  <c r="M104" i="11"/>
  <c r="M103" i="11"/>
  <c r="M102" i="11"/>
  <c r="M101" i="11"/>
  <c r="M100" i="11"/>
  <c r="M99" i="11"/>
  <c r="M98" i="11"/>
  <c r="M97" i="11"/>
  <c r="M96" i="11"/>
  <c r="M95" i="11"/>
  <c r="M94" i="11"/>
  <c r="M93" i="11"/>
  <c r="M92" i="11"/>
  <c r="M91" i="11"/>
  <c r="M90" i="11"/>
  <c r="M89" i="11"/>
  <c r="M86" i="11"/>
  <c r="M85" i="11"/>
  <c r="M84" i="11"/>
  <c r="M83" i="11"/>
  <c r="M82" i="11"/>
  <c r="M81" i="11"/>
  <c r="M80" i="11"/>
  <c r="M79" i="11"/>
  <c r="M77" i="11"/>
  <c r="M76" i="11"/>
  <c r="J24" i="10"/>
  <c r="J23" i="10"/>
  <c r="J22" i="10"/>
  <c r="M50" i="9"/>
  <c r="M49" i="9"/>
  <c r="M48" i="9"/>
  <c r="M47" i="9"/>
  <c r="M46" i="9"/>
  <c r="M45" i="9"/>
  <c r="M44" i="9"/>
  <c r="M43" i="9"/>
  <c r="M42" i="9"/>
  <c r="M41" i="9"/>
  <c r="M40" i="9"/>
  <c r="M39" i="9"/>
  <c r="M38" i="9"/>
  <c r="M83" i="8"/>
  <c r="M82" i="8"/>
  <c r="M81" i="8"/>
  <c r="M79" i="8"/>
  <c r="M78" i="8"/>
  <c r="M77" i="8"/>
  <c r="M76" i="8"/>
  <c r="M75" i="8"/>
  <c r="M74" i="8"/>
  <c r="M73" i="8"/>
  <c r="M72" i="8"/>
  <c r="M71" i="8"/>
  <c r="M68" i="8"/>
  <c r="M67" i="8"/>
  <c r="M66" i="8"/>
  <c r="M65" i="8"/>
  <c r="M64" i="8"/>
  <c r="M63" i="8"/>
  <c r="M62" i="8"/>
  <c r="M61" i="8"/>
  <c r="M60" i="8"/>
  <c r="M59" i="8"/>
  <c r="M25" i="7"/>
  <c r="O25" i="7" s="1"/>
  <c r="P25" i="7" s="1"/>
  <c r="M24" i="7"/>
  <c r="M24" i="165"/>
  <c r="M23" i="165"/>
  <c r="M22" i="165"/>
  <c r="M21" i="165"/>
  <c r="M35" i="22"/>
  <c r="M47" i="22"/>
  <c r="M46" i="22"/>
  <c r="M45" i="22"/>
  <c r="M44" i="22"/>
  <c r="M43" i="22"/>
  <c r="M42" i="22"/>
  <c r="M41" i="22"/>
  <c r="M40" i="22"/>
  <c r="M39" i="22"/>
  <c r="M38" i="22"/>
  <c r="M37" i="22"/>
  <c r="M36" i="22"/>
  <c r="M32" i="18"/>
  <c r="M31" i="18"/>
  <c r="M30" i="18"/>
  <c r="M29" i="18"/>
  <c r="M27" i="18"/>
  <c r="M26" i="18"/>
  <c r="M31" i="23"/>
  <c r="M30" i="23"/>
  <c r="M29" i="23"/>
  <c r="M28" i="23"/>
  <c r="M27" i="23"/>
  <c r="M26" i="23"/>
  <c r="O50" i="17"/>
  <c r="M101" i="17"/>
  <c r="M100" i="17"/>
  <c r="M99" i="17"/>
  <c r="M98" i="17"/>
  <c r="M97" i="17"/>
  <c r="M96" i="17"/>
  <c r="M95" i="17"/>
  <c r="M94" i="17"/>
  <c r="M93" i="17"/>
  <c r="M92" i="17"/>
  <c r="M91" i="17"/>
  <c r="M90" i="17"/>
  <c r="M89" i="17"/>
  <c r="M88" i="17"/>
  <c r="M87" i="17"/>
  <c r="M86" i="17"/>
  <c r="M85" i="17"/>
  <c r="M84" i="17"/>
  <c r="M83" i="17"/>
  <c r="M82" i="17"/>
  <c r="M81" i="17"/>
  <c r="M80" i="17"/>
  <c r="M79" i="17"/>
  <c r="M78" i="17"/>
  <c r="M77" i="17"/>
  <c r="M76" i="17"/>
  <c r="M75" i="17"/>
  <c r="M74" i="17"/>
  <c r="M73" i="17"/>
  <c r="M72" i="17"/>
  <c r="M71" i="17"/>
  <c r="M70" i="17"/>
  <c r="M69" i="17"/>
  <c r="M68" i="17"/>
  <c r="M67" i="17"/>
  <c r="M66" i="17"/>
  <c r="M65" i="17"/>
  <c r="M64" i="17"/>
  <c r="M41" i="56"/>
  <c r="M40" i="56"/>
  <c r="M39" i="56"/>
  <c r="M38" i="56"/>
  <c r="M37" i="56"/>
  <c r="M36" i="56"/>
  <c r="M35" i="56"/>
  <c r="M34" i="56"/>
  <c r="M33" i="56"/>
  <c r="M30" i="86"/>
  <c r="M29" i="86"/>
  <c r="M28" i="86"/>
  <c r="M27" i="86"/>
  <c r="M26" i="86"/>
  <c r="M25" i="86"/>
  <c r="M18" i="48"/>
  <c r="M35" i="47"/>
  <c r="M34" i="47"/>
  <c r="M33" i="47"/>
  <c r="M32" i="47"/>
  <c r="M31" i="47"/>
  <c r="M30" i="47"/>
  <c r="M29" i="47"/>
  <c r="N26" i="46"/>
  <c r="M26" i="46"/>
  <c r="M67" i="44"/>
  <c r="M66" i="44"/>
  <c r="M65" i="44"/>
  <c r="M64" i="44"/>
  <c r="M63" i="44"/>
  <c r="M62" i="44"/>
  <c r="M61" i="44"/>
  <c r="M60" i="44"/>
  <c r="M59" i="44"/>
  <c r="M58" i="44"/>
  <c r="M56" i="44"/>
  <c r="M55" i="44"/>
  <c r="M54" i="44"/>
  <c r="M53" i="44"/>
  <c r="M52" i="44"/>
  <c r="M51" i="44"/>
  <c r="M50" i="44"/>
  <c r="M49" i="44"/>
  <c r="M59" i="60"/>
  <c r="M58" i="60"/>
  <c r="M57" i="60"/>
  <c r="M56" i="60"/>
  <c r="M55" i="60"/>
  <c r="M54" i="60"/>
  <c r="M53" i="60"/>
  <c r="M52" i="60"/>
  <c r="M51" i="60"/>
  <c r="M50" i="60"/>
  <c r="M48" i="60"/>
  <c r="M47" i="60"/>
  <c r="M46" i="60"/>
  <c r="N104" i="43"/>
  <c r="N103" i="43"/>
  <c r="M110" i="43"/>
  <c r="M109" i="43"/>
  <c r="M108" i="43"/>
  <c r="M107" i="43"/>
  <c r="M106" i="43"/>
  <c r="M105" i="43"/>
  <c r="M104" i="43"/>
  <c r="M103" i="43"/>
  <c r="M136" i="43"/>
  <c r="M135" i="43"/>
  <c r="M121" i="43"/>
  <c r="M120" i="43"/>
  <c r="M119" i="43"/>
  <c r="M118" i="43"/>
  <c r="M117" i="43"/>
  <c r="M116" i="43"/>
  <c r="M115" i="43"/>
  <c r="M114" i="43"/>
  <c r="M113" i="43"/>
  <c r="M112" i="43"/>
  <c r="M111" i="43"/>
  <c r="M134" i="43"/>
  <c r="M133" i="43"/>
  <c r="M132" i="43"/>
  <c r="M130" i="43"/>
  <c r="M129" i="43"/>
  <c r="M128" i="43"/>
  <c r="M127" i="43"/>
  <c r="M126" i="43"/>
  <c r="M125" i="43"/>
  <c r="M124" i="43"/>
  <c r="M102" i="43"/>
  <c r="M101" i="43"/>
  <c r="M100" i="43"/>
  <c r="M99" i="43"/>
  <c r="M98" i="43"/>
  <c r="M97" i="43"/>
  <c r="M96" i="43"/>
  <c r="M95" i="43"/>
  <c r="M94" i="43"/>
  <c r="M93" i="43"/>
  <c r="M73" i="87"/>
  <c r="M72" i="87"/>
  <c r="M71" i="87"/>
  <c r="M70" i="87"/>
  <c r="M69" i="87"/>
  <c r="M68" i="87"/>
  <c r="M67" i="87"/>
  <c r="M66" i="87"/>
  <c r="M65" i="87"/>
  <c r="M64" i="87"/>
  <c r="M63" i="87"/>
  <c r="M62" i="87"/>
  <c r="M61" i="87"/>
  <c r="M60" i="87"/>
  <c r="M59" i="87"/>
  <c r="M58" i="87"/>
  <c r="M57" i="87"/>
  <c r="M56" i="87"/>
  <c r="M55" i="87"/>
  <c r="M54" i="87"/>
  <c r="M53" i="87"/>
  <c r="M52" i="87"/>
  <c r="M51" i="87"/>
  <c r="M50" i="87"/>
  <c r="M49" i="87"/>
  <c r="K28" i="139"/>
  <c r="K26" i="139"/>
  <c r="M29" i="41"/>
  <c r="M28" i="41"/>
  <c r="M27" i="41"/>
  <c r="M26" i="41"/>
  <c r="M25" i="41"/>
  <c r="M24" i="41"/>
  <c r="M50" i="40"/>
  <c r="M63" i="40"/>
  <c r="M62" i="40"/>
  <c r="M61" i="40"/>
  <c r="M60" i="40"/>
  <c r="M59" i="40"/>
  <c r="M58" i="40"/>
  <c r="M57" i="40"/>
  <c r="M56" i="40"/>
  <c r="M55" i="40"/>
  <c r="M54" i="40"/>
  <c r="M52" i="40"/>
  <c r="M51" i="40"/>
  <c r="M48" i="40"/>
  <c r="M47" i="40"/>
  <c r="M83" i="38"/>
  <c r="M82" i="38"/>
  <c r="M81" i="38"/>
  <c r="M80" i="38"/>
  <c r="M79" i="38"/>
  <c r="M77" i="38"/>
  <c r="M76" i="38"/>
  <c r="M75" i="38"/>
  <c r="M74" i="38"/>
  <c r="M73" i="38"/>
  <c r="M72" i="38"/>
  <c r="M71" i="38"/>
  <c r="M70" i="38"/>
  <c r="M69" i="38"/>
  <c r="M67" i="38"/>
  <c r="M68" i="38"/>
  <c r="M65" i="38"/>
  <c r="M64" i="38"/>
  <c r="M63" i="38"/>
  <c r="M62" i="38"/>
  <c r="M39" i="77"/>
  <c r="M38" i="77"/>
  <c r="M36" i="77"/>
  <c r="M35" i="77"/>
  <c r="M34" i="77"/>
  <c r="M33" i="77"/>
  <c r="M32" i="77"/>
  <c r="M31" i="77"/>
  <c r="M30" i="77"/>
  <c r="M29" i="77"/>
  <c r="M42" i="149"/>
  <c r="M22" i="36"/>
  <c r="M73" i="35"/>
  <c r="M72" i="35"/>
  <c r="M71" i="35"/>
  <c r="M70" i="35"/>
  <c r="M69" i="35"/>
  <c r="M68" i="35"/>
  <c r="M67" i="35"/>
  <c r="M66" i="35"/>
  <c r="M65" i="35"/>
  <c r="M64" i="35"/>
  <c r="M63" i="35"/>
  <c r="M62" i="35"/>
  <c r="M60" i="35"/>
  <c r="M59" i="35"/>
  <c r="M58" i="35"/>
  <c r="M57" i="35"/>
  <c r="M56" i="35"/>
  <c r="M55" i="35"/>
  <c r="M54" i="35"/>
  <c r="M81" i="34"/>
  <c r="M80" i="34"/>
  <c r="M79" i="34"/>
  <c r="M78" i="34"/>
  <c r="M77" i="34"/>
  <c r="M76" i="34"/>
  <c r="M75" i="34"/>
  <c r="M74" i="34"/>
  <c r="M72" i="34"/>
  <c r="M71" i="34"/>
  <c r="M70" i="34"/>
  <c r="M69" i="34"/>
  <c r="M68" i="34"/>
  <c r="M67" i="34"/>
  <c r="M66" i="34"/>
  <c r="M65" i="34"/>
  <c r="M64" i="34"/>
  <c r="M63" i="34"/>
  <c r="M62" i="34"/>
  <c r="M61" i="34"/>
  <c r="M60" i="34"/>
  <c r="M59" i="34"/>
  <c r="M58" i="34"/>
  <c r="M57" i="34"/>
  <c r="M52" i="33"/>
  <c r="M51" i="33"/>
  <c r="M50" i="33"/>
  <c r="M49" i="33"/>
  <c r="M48" i="33"/>
  <c r="M47" i="33"/>
  <c r="M46" i="33"/>
  <c r="M44" i="33"/>
  <c r="M43" i="33"/>
  <c r="M41" i="33"/>
  <c r="M40" i="33"/>
  <c r="M38" i="33"/>
  <c r="M33" i="31"/>
  <c r="M32" i="31"/>
  <c r="M31" i="31"/>
  <c r="M28" i="31"/>
  <c r="M27" i="31"/>
  <c r="M26" i="31"/>
  <c r="M69" i="30"/>
  <c r="M68" i="30"/>
  <c r="M67" i="30"/>
  <c r="M66" i="30"/>
  <c r="M65" i="30"/>
  <c r="M64" i="30"/>
  <c r="M63" i="30"/>
  <c r="M62" i="30"/>
  <c r="M61" i="30"/>
  <c r="M60" i="30"/>
  <c r="M59" i="30"/>
  <c r="M58" i="30"/>
  <c r="M57" i="30"/>
  <c r="M55" i="30"/>
  <c r="M54" i="30"/>
  <c r="M53" i="30"/>
  <c r="M52" i="30"/>
  <c r="M38" i="29"/>
  <c r="M37" i="29"/>
  <c r="M36" i="29"/>
  <c r="M35" i="29"/>
  <c r="M34" i="29"/>
  <c r="M33" i="29"/>
  <c r="M32" i="29"/>
  <c r="M31" i="29"/>
  <c r="M30" i="29"/>
  <c r="M29" i="29"/>
  <c r="M31" i="41" l="1"/>
  <c r="K30" i="139"/>
  <c r="O42" i="33"/>
  <c r="P42" i="33" s="1"/>
  <c r="M103" i="17"/>
  <c r="M32" i="86"/>
  <c r="Q49" i="34" l="1"/>
  <c r="N36" i="169" l="1"/>
  <c r="N31" i="169"/>
  <c r="N30" i="169"/>
  <c r="N29" i="169"/>
  <c r="N32" i="169" l="1"/>
  <c r="C21" i="179"/>
  <c r="C22" i="179"/>
  <c r="D22" i="179" s="1"/>
  <c r="M26" i="26" l="1"/>
  <c r="M29" i="26" s="1"/>
  <c r="O29" i="26" s="1"/>
  <c r="D21" i="179"/>
  <c r="D23" i="179" s="1"/>
  <c r="D26" i="179" s="1"/>
  <c r="C23" i="179"/>
  <c r="C26" i="179" s="1"/>
  <c r="K21" i="169"/>
  <c r="K83" i="169"/>
  <c r="K78" i="169"/>
  <c r="K48" i="169"/>
  <c r="K57" i="169" s="1"/>
  <c r="K55" i="169"/>
  <c r="L62" i="169"/>
  <c r="L103" i="169"/>
  <c r="L106" i="169" s="1"/>
  <c r="K103" i="169"/>
  <c r="K106" i="169" s="1"/>
  <c r="K33" i="169"/>
  <c r="K34" i="169" s="1"/>
  <c r="K37" i="169" s="1"/>
  <c r="K14" i="169"/>
  <c r="K13" i="169"/>
  <c r="L48" i="169" l="1"/>
  <c r="K62" i="169"/>
  <c r="K63" i="169" s="1"/>
  <c r="L109" i="169"/>
  <c r="K109" i="169"/>
  <c r="K107" i="169"/>
  <c r="K110" i="169" s="1"/>
  <c r="K104" i="169"/>
  <c r="L104" i="169"/>
  <c r="L107" i="169"/>
  <c r="L110" i="169" s="1"/>
  <c r="L11" i="12"/>
  <c r="L28" i="12"/>
  <c r="M58" i="8"/>
  <c r="L54" i="15"/>
  <c r="L26" i="43"/>
  <c r="L11" i="149"/>
  <c r="L16" i="34"/>
  <c r="R146" i="66"/>
  <c r="O12" i="66"/>
  <c r="O20" i="66"/>
  <c r="O26" i="66"/>
  <c r="O28" i="66"/>
  <c r="O27" i="66"/>
  <c r="O25" i="66"/>
  <c r="O24" i="66"/>
  <c r="O19" i="66"/>
  <c r="O18" i="66"/>
  <c r="O11" i="66"/>
  <c r="O9" i="66"/>
  <c r="L97" i="26"/>
  <c r="L100" i="26" s="1"/>
  <c r="L85" i="26"/>
  <c r="L77" i="26"/>
  <c r="L29" i="26"/>
  <c r="O7" i="66" l="1"/>
  <c r="O16" i="66"/>
  <c r="L98" i="26"/>
  <c r="L48" i="26"/>
  <c r="K112" i="169"/>
  <c r="L112" i="169"/>
  <c r="L101" i="26"/>
  <c r="L104" i="26" s="1"/>
  <c r="L103" i="26"/>
  <c r="C9" i="173" l="1"/>
  <c r="C7" i="173"/>
  <c r="L106" i="26"/>
  <c r="C10" i="173" l="1"/>
  <c r="L54" i="26"/>
  <c r="L15" i="4"/>
  <c r="L18" i="4" s="1"/>
  <c r="Q54" i="6"/>
  <c r="Q27" i="6"/>
  <c r="Q26" i="6"/>
  <c r="O59" i="6"/>
  <c r="L59" i="6"/>
  <c r="O56" i="6"/>
  <c r="L56" i="6"/>
  <c r="O29" i="6"/>
  <c r="L29" i="6"/>
  <c r="O12" i="5"/>
  <c r="O26" i="5"/>
  <c r="L26" i="5"/>
  <c r="O23" i="5"/>
  <c r="L23" i="5"/>
  <c r="L12" i="5"/>
  <c r="P59" i="12"/>
  <c r="K59" i="12"/>
  <c r="J59" i="12"/>
  <c r="M121" i="12"/>
  <c r="M120" i="12"/>
  <c r="M115" i="12"/>
  <c r="L59" i="12"/>
  <c r="O14" i="12"/>
  <c r="C50" i="104" s="1"/>
  <c r="L14" i="12"/>
  <c r="L15" i="171"/>
  <c r="L18" i="171" s="1"/>
  <c r="O12" i="172"/>
  <c r="O18" i="172"/>
  <c r="L18" i="172"/>
  <c r="L21" i="172" s="1"/>
  <c r="L12" i="172"/>
  <c r="O16" i="24"/>
  <c r="M83" i="24" s="1"/>
  <c r="M114" i="24" s="1"/>
  <c r="L47" i="24"/>
  <c r="L16" i="24"/>
  <c r="Q22" i="93"/>
  <c r="L26" i="93"/>
  <c r="L20" i="93"/>
  <c r="O21" i="54"/>
  <c r="D42" i="104" s="1"/>
  <c r="L21" i="54"/>
  <c r="O18" i="53"/>
  <c r="O20" i="53" s="1"/>
  <c r="L18" i="53"/>
  <c r="L20" i="53" s="1"/>
  <c r="M26" i="52"/>
  <c r="L15" i="52"/>
  <c r="Q59" i="51"/>
  <c r="O61" i="51"/>
  <c r="L61" i="51"/>
  <c r="O56" i="51"/>
  <c r="L56" i="51"/>
  <c r="O31" i="51"/>
  <c r="L31" i="51"/>
  <c r="O11" i="50"/>
  <c r="L11" i="50"/>
  <c r="L14" i="50" s="1"/>
  <c r="O12" i="135"/>
  <c r="O15" i="135" s="1"/>
  <c r="L12" i="135"/>
  <c r="L15" i="135" s="1"/>
  <c r="L92" i="66" s="1"/>
  <c r="O15" i="49"/>
  <c r="M50" i="49" s="1"/>
  <c r="L27" i="49"/>
  <c r="O13" i="49"/>
  <c r="C36" i="104" s="1"/>
  <c r="L13" i="49"/>
  <c r="O44" i="11"/>
  <c r="L44" i="11"/>
  <c r="O41" i="11"/>
  <c r="L41" i="11"/>
  <c r="O16" i="11"/>
  <c r="C35" i="104" s="1"/>
  <c r="L16" i="11"/>
  <c r="O12" i="10"/>
  <c r="D34" i="104" s="1"/>
  <c r="L12" i="10"/>
  <c r="L15" i="10" s="1"/>
  <c r="O24" i="9"/>
  <c r="D33" i="104" s="1"/>
  <c r="L24" i="9"/>
  <c r="O11" i="9"/>
  <c r="C33" i="104" s="1"/>
  <c r="L11" i="9"/>
  <c r="O22" i="8"/>
  <c r="C32" i="104" s="1"/>
  <c r="L22" i="8"/>
  <c r="D32" i="104"/>
  <c r="L39" i="8"/>
  <c r="O16" i="7"/>
  <c r="M26" i="7" s="1"/>
  <c r="L16" i="7"/>
  <c r="O13" i="7"/>
  <c r="D31" i="104" s="1"/>
  <c r="L13" i="7"/>
  <c r="O13" i="165"/>
  <c r="L13" i="165"/>
  <c r="L15" i="165" s="1"/>
  <c r="O25" i="22"/>
  <c r="D29" i="104" s="1"/>
  <c r="L25" i="22"/>
  <c r="Q12" i="18"/>
  <c r="O13" i="22"/>
  <c r="L13" i="22"/>
  <c r="O18" i="18"/>
  <c r="D28" i="104" s="1"/>
  <c r="L18" i="18"/>
  <c r="L12" i="18"/>
  <c r="O8" i="66" l="1"/>
  <c r="C45" i="104"/>
  <c r="C48" i="104" s="1"/>
  <c r="O14" i="171"/>
  <c r="O15" i="10"/>
  <c r="D35" i="104"/>
  <c r="O28" i="5"/>
  <c r="D51" i="104"/>
  <c r="O27" i="22"/>
  <c r="C29" i="104"/>
  <c r="O92" i="66"/>
  <c r="K64" i="129"/>
  <c r="N64" i="129" s="1"/>
  <c r="O64" i="129" s="1"/>
  <c r="D37" i="104"/>
  <c r="L93" i="66"/>
  <c r="J65" i="129"/>
  <c r="L101" i="66"/>
  <c r="J72" i="129"/>
  <c r="K102" i="129"/>
  <c r="K104" i="129" s="1"/>
  <c r="C51" i="104"/>
  <c r="J102" i="129"/>
  <c r="L85" i="66"/>
  <c r="J58" i="129"/>
  <c r="O14" i="50"/>
  <c r="D38" i="104"/>
  <c r="O15" i="52"/>
  <c r="L76" i="66"/>
  <c r="J43" i="129"/>
  <c r="O85" i="66"/>
  <c r="K58" i="129"/>
  <c r="O15" i="165"/>
  <c r="D30" i="104"/>
  <c r="F30" i="104" s="1"/>
  <c r="L116" i="66"/>
  <c r="J94" i="129"/>
  <c r="M135" i="12"/>
  <c r="L104" i="66"/>
  <c r="J75" i="129"/>
  <c r="O104" i="66"/>
  <c r="K75" i="129"/>
  <c r="E41" i="104"/>
  <c r="O115" i="12"/>
  <c r="P115" i="12" s="1"/>
  <c r="O120" i="12"/>
  <c r="P120" i="12" s="1"/>
  <c r="O121" i="12"/>
  <c r="P121" i="12" s="1"/>
  <c r="M33" i="4"/>
  <c r="L28" i="5"/>
  <c r="L114" i="66" s="1"/>
  <c r="O23" i="54"/>
  <c r="K76" i="129" s="1"/>
  <c r="O105" i="66"/>
  <c r="O107" i="66" s="1"/>
  <c r="B59" i="179" s="1"/>
  <c r="O21" i="172"/>
  <c r="O59" i="12"/>
  <c r="M28" i="18"/>
  <c r="O27" i="49"/>
  <c r="D36" i="104" s="1"/>
  <c r="O47" i="24"/>
  <c r="D45" i="104" s="1"/>
  <c r="O61" i="6"/>
  <c r="L61" i="6"/>
  <c r="L54" i="24"/>
  <c r="L121" i="66" s="1"/>
  <c r="L30" i="93"/>
  <c r="L23" i="54"/>
  <c r="J76" i="129" s="1"/>
  <c r="L105" i="66"/>
  <c r="L29" i="49"/>
  <c r="L46" i="11"/>
  <c r="L26" i="9"/>
  <c r="L41" i="8"/>
  <c r="L18" i="7"/>
  <c r="L27" i="22"/>
  <c r="L20" i="18"/>
  <c r="L64" i="12"/>
  <c r="L64" i="51"/>
  <c r="O64" i="51"/>
  <c r="O46" i="11"/>
  <c r="O26" i="9"/>
  <c r="O41" i="8"/>
  <c r="O18" i="7"/>
  <c r="L18" i="23"/>
  <c r="L13" i="23"/>
  <c r="O18" i="23"/>
  <c r="O13" i="23"/>
  <c r="O16" i="17"/>
  <c r="O53" i="17"/>
  <c r="L53" i="17"/>
  <c r="L50" i="17"/>
  <c r="L16" i="17"/>
  <c r="O22" i="56"/>
  <c r="L22" i="56"/>
  <c r="O12" i="56"/>
  <c r="L12" i="56"/>
  <c r="O57" i="15"/>
  <c r="L57" i="15"/>
  <c r="O53" i="15"/>
  <c r="L53" i="15"/>
  <c r="O52" i="15"/>
  <c r="L52" i="15"/>
  <c r="O51" i="15"/>
  <c r="L51" i="15"/>
  <c r="O50" i="15"/>
  <c r="L50" i="15"/>
  <c r="O49" i="15"/>
  <c r="L49" i="15"/>
  <c r="O48" i="15"/>
  <c r="L48" i="15"/>
  <c r="O47" i="15"/>
  <c r="L47" i="15"/>
  <c r="O46" i="15"/>
  <c r="L46" i="15"/>
  <c r="O45" i="15"/>
  <c r="L45" i="15"/>
  <c r="O44" i="15"/>
  <c r="L44" i="15"/>
  <c r="O43" i="15"/>
  <c r="L43" i="15"/>
  <c r="O42" i="15"/>
  <c r="L42" i="15"/>
  <c r="O41" i="15"/>
  <c r="L41" i="15"/>
  <c r="O40" i="15"/>
  <c r="L40" i="15"/>
  <c r="O39" i="15"/>
  <c r="L39" i="15"/>
  <c r="O38" i="15"/>
  <c r="L38" i="15"/>
  <c r="O37" i="15"/>
  <c r="L37" i="15"/>
  <c r="O36" i="15"/>
  <c r="L36" i="15"/>
  <c r="O35" i="15"/>
  <c r="L35" i="15"/>
  <c r="O34" i="15"/>
  <c r="L34" i="15"/>
  <c r="O33" i="15"/>
  <c r="L33" i="15"/>
  <c r="O32" i="15"/>
  <c r="L32" i="15"/>
  <c r="O31" i="15"/>
  <c r="L31" i="15"/>
  <c r="O30" i="15"/>
  <c r="L30" i="15"/>
  <c r="O29" i="15"/>
  <c r="L29" i="15"/>
  <c r="O28" i="15"/>
  <c r="L28" i="15"/>
  <c r="O27" i="15"/>
  <c r="L27" i="15"/>
  <c r="O26" i="15"/>
  <c r="L26" i="15"/>
  <c r="O25" i="15"/>
  <c r="L25" i="15"/>
  <c r="O24" i="15"/>
  <c r="L24" i="15"/>
  <c r="O23" i="15"/>
  <c r="L23" i="15"/>
  <c r="O22" i="15"/>
  <c r="L22" i="15"/>
  <c r="O21" i="15"/>
  <c r="L21" i="15"/>
  <c r="O20" i="15"/>
  <c r="L20" i="15"/>
  <c r="O19" i="15"/>
  <c r="L19" i="15"/>
  <c r="O16" i="15"/>
  <c r="L16" i="15"/>
  <c r="O15" i="15"/>
  <c r="L15" i="15"/>
  <c r="O14" i="15"/>
  <c r="L14" i="15"/>
  <c r="O13" i="15"/>
  <c r="L13" i="15"/>
  <c r="O12" i="15"/>
  <c r="L12" i="15"/>
  <c r="O11" i="15"/>
  <c r="L11" i="15"/>
  <c r="O10" i="15"/>
  <c r="L10" i="15"/>
  <c r="O9" i="15"/>
  <c r="L9" i="15"/>
  <c r="O11" i="13"/>
  <c r="O128" i="66" s="1"/>
  <c r="O14" i="13"/>
  <c r="O129" i="66" s="1"/>
  <c r="B64" i="179" s="1"/>
  <c r="L14" i="13"/>
  <c r="L129" i="66" s="1"/>
  <c r="L11" i="13"/>
  <c r="L128" i="66" s="1"/>
  <c r="O10" i="86"/>
  <c r="C26" i="104" s="1"/>
  <c r="O17" i="86"/>
  <c r="L17" i="86"/>
  <c r="L10" i="86"/>
  <c r="O10" i="48"/>
  <c r="L10" i="48"/>
  <c r="L12" i="48" s="1"/>
  <c r="O19" i="47"/>
  <c r="O65" i="66" s="1"/>
  <c r="L19" i="47"/>
  <c r="L65" i="66" s="1"/>
  <c r="O16" i="47"/>
  <c r="L16" i="47"/>
  <c r="L64" i="66" s="1"/>
  <c r="O14" i="46"/>
  <c r="D23" i="104" s="1"/>
  <c r="L14" i="46"/>
  <c r="O10" i="46"/>
  <c r="C23" i="104" s="1"/>
  <c r="L10" i="46"/>
  <c r="O10" i="45"/>
  <c r="L10" i="45"/>
  <c r="L12" i="45" s="1"/>
  <c r="O33" i="44"/>
  <c r="D21" i="104" s="1"/>
  <c r="L33" i="44"/>
  <c r="O20" i="44"/>
  <c r="C21" i="104" s="1"/>
  <c r="L20" i="44"/>
  <c r="M49" i="60"/>
  <c r="O24" i="60"/>
  <c r="D20" i="104" s="1"/>
  <c r="L24" i="60"/>
  <c r="O19" i="60"/>
  <c r="C20" i="104" s="1"/>
  <c r="L19" i="60"/>
  <c r="O57" i="43"/>
  <c r="L57" i="43"/>
  <c r="L54" i="43"/>
  <c r="O28" i="43"/>
  <c r="C19" i="104" s="1"/>
  <c r="L28" i="43"/>
  <c r="O39" i="87"/>
  <c r="L39" i="87"/>
  <c r="L41" i="87" s="1"/>
  <c r="P10" i="139"/>
  <c r="O14" i="139"/>
  <c r="O10" i="139"/>
  <c r="C17" i="104" s="1"/>
  <c r="O15" i="41"/>
  <c r="L15" i="41"/>
  <c r="L18" i="41" s="1"/>
  <c r="O30" i="40"/>
  <c r="D15" i="104" s="1"/>
  <c r="L30" i="40"/>
  <c r="C15" i="104"/>
  <c r="L13" i="40"/>
  <c r="O36" i="38"/>
  <c r="D14" i="104" s="1"/>
  <c r="L36" i="38"/>
  <c r="L18" i="38"/>
  <c r="M37" i="77"/>
  <c r="L21" i="77"/>
  <c r="O27" i="149"/>
  <c r="D12" i="104" s="1"/>
  <c r="L27" i="149"/>
  <c r="O11" i="149"/>
  <c r="O13" i="36"/>
  <c r="L13" i="36"/>
  <c r="L16" i="36" s="1"/>
  <c r="O16" i="35"/>
  <c r="C10" i="104" s="1"/>
  <c r="L16" i="35"/>
  <c r="O31" i="35"/>
  <c r="D10" i="104" s="1"/>
  <c r="L31" i="35"/>
  <c r="O40" i="34"/>
  <c r="O44" i="66" s="1"/>
  <c r="L40" i="34"/>
  <c r="L44" i="66" s="1"/>
  <c r="O37" i="34"/>
  <c r="D9" i="104" s="1"/>
  <c r="L37" i="34"/>
  <c r="O16" i="34"/>
  <c r="C9" i="104" s="1"/>
  <c r="O26" i="33"/>
  <c r="D8" i="104" s="1"/>
  <c r="L26" i="33"/>
  <c r="O11" i="33"/>
  <c r="C8" i="104" s="1"/>
  <c r="L11" i="33"/>
  <c r="O11" i="32"/>
  <c r="L11" i="32"/>
  <c r="L14" i="32" s="1"/>
  <c r="O17" i="31"/>
  <c r="L17" i="31"/>
  <c r="L20" i="31" s="1"/>
  <c r="J11" i="129" s="1"/>
  <c r="O19" i="30"/>
  <c r="C5" i="104" s="1"/>
  <c r="O34" i="30"/>
  <c r="D5" i="104" s="1"/>
  <c r="L34" i="30"/>
  <c r="L19" i="30"/>
  <c r="O21" i="29"/>
  <c r="D4" i="104" s="1"/>
  <c r="L21" i="29"/>
  <c r="O10" i="29"/>
  <c r="L10" i="29"/>
  <c r="C40" i="143"/>
  <c r="K33" i="143"/>
  <c r="E24" i="112"/>
  <c r="O84" i="15" s="1"/>
  <c r="P84" i="15" s="1"/>
  <c r="E22" i="112"/>
  <c r="L24" i="56" l="1"/>
  <c r="L19" i="86"/>
  <c r="M33" i="171"/>
  <c r="O15" i="171"/>
  <c r="O18" i="171" s="1"/>
  <c r="O123" i="66" s="1"/>
  <c r="O54" i="24"/>
  <c r="K116" i="129" s="1"/>
  <c r="O21" i="77"/>
  <c r="O20" i="23"/>
  <c r="L107" i="66"/>
  <c r="L23" i="77"/>
  <c r="L48" i="66" s="1"/>
  <c r="J18" i="129"/>
  <c r="O17" i="139"/>
  <c r="D17" i="104"/>
  <c r="L67" i="66"/>
  <c r="J35" i="129"/>
  <c r="O98" i="66"/>
  <c r="B57" i="179" s="1"/>
  <c r="K69" i="129"/>
  <c r="D39" i="104"/>
  <c r="L115" i="66"/>
  <c r="J93" i="129"/>
  <c r="K118" i="129"/>
  <c r="D46" i="104"/>
  <c r="F46" i="104" s="1"/>
  <c r="J118" i="129"/>
  <c r="O23" i="77"/>
  <c r="K18" i="129"/>
  <c r="O19" i="86"/>
  <c r="D26" i="104"/>
  <c r="L98" i="66"/>
  <c r="J69" i="129"/>
  <c r="O115" i="66"/>
  <c r="K93" i="129"/>
  <c r="D52" i="104"/>
  <c r="M27" i="144"/>
  <c r="L52" i="66"/>
  <c r="J22" i="129"/>
  <c r="O64" i="66"/>
  <c r="D24" i="104"/>
  <c r="L46" i="66"/>
  <c r="J16" i="129"/>
  <c r="L51" i="66"/>
  <c r="J21" i="129"/>
  <c r="O41" i="87"/>
  <c r="D18" i="104"/>
  <c r="L62" i="66"/>
  <c r="J31" i="129"/>
  <c r="L41" i="66"/>
  <c r="J12" i="129"/>
  <c r="O16" i="36"/>
  <c r="D11" i="104"/>
  <c r="O18" i="41"/>
  <c r="D16" i="104"/>
  <c r="O12" i="45"/>
  <c r="D22" i="104"/>
  <c r="O77" i="66"/>
  <c r="K44" i="129"/>
  <c r="L74" i="66"/>
  <c r="J41" i="129"/>
  <c r="K77" i="129"/>
  <c r="O76" i="66"/>
  <c r="K43" i="129"/>
  <c r="O101" i="66"/>
  <c r="B58" i="179" s="1"/>
  <c r="K72" i="129"/>
  <c r="D40" i="104"/>
  <c r="O75" i="66"/>
  <c r="K42" i="129"/>
  <c r="O14" i="32"/>
  <c r="D7" i="104"/>
  <c r="L66" i="66"/>
  <c r="J34" i="129"/>
  <c r="L58" i="15"/>
  <c r="L73" i="66" s="1"/>
  <c r="J40" i="129"/>
  <c r="L75" i="66"/>
  <c r="J42" i="129"/>
  <c r="O12" i="48"/>
  <c r="C25" i="104"/>
  <c r="O58" i="15"/>
  <c r="O73" i="66" s="1"/>
  <c r="K40" i="129"/>
  <c r="L77" i="66"/>
  <c r="J44" i="129"/>
  <c r="O20" i="18"/>
  <c r="C28" i="104"/>
  <c r="O93" i="66"/>
  <c r="K65" i="129"/>
  <c r="O114" i="66"/>
  <c r="M26" i="144"/>
  <c r="O59" i="66"/>
  <c r="K28" i="129"/>
  <c r="O29" i="49"/>
  <c r="L91" i="66"/>
  <c r="J63" i="129"/>
  <c r="O90" i="66"/>
  <c r="K62" i="129"/>
  <c r="O84" i="66"/>
  <c r="K57" i="129"/>
  <c r="L84" i="66"/>
  <c r="J57" i="129"/>
  <c r="O83" i="66"/>
  <c r="K56" i="129"/>
  <c r="O81" i="12"/>
  <c r="O15" i="4"/>
  <c r="O18" i="4" s="1"/>
  <c r="K94" i="129" s="1"/>
  <c r="O64" i="12"/>
  <c r="K91" i="129" s="1"/>
  <c r="D50" i="104"/>
  <c r="L112" i="66"/>
  <c r="J91" i="129"/>
  <c r="L59" i="66"/>
  <c r="J28" i="129"/>
  <c r="L83" i="66"/>
  <c r="J56" i="129"/>
  <c r="L90" i="66"/>
  <c r="J62" i="129"/>
  <c r="L40" i="66"/>
  <c r="O20" i="31"/>
  <c r="D6" i="104"/>
  <c r="O130" i="66"/>
  <c r="O23" i="29"/>
  <c r="O18" i="38"/>
  <c r="C14" i="104" s="1"/>
  <c r="M66" i="38"/>
  <c r="M131" i="43"/>
  <c r="L20" i="23"/>
  <c r="L55" i="17"/>
  <c r="L55" i="15"/>
  <c r="L17" i="15"/>
  <c r="L130" i="66"/>
  <c r="L19" i="13"/>
  <c r="L21" i="47"/>
  <c r="J33" i="129" s="1"/>
  <c r="L16" i="46"/>
  <c r="L35" i="44"/>
  <c r="L26" i="60"/>
  <c r="L32" i="40"/>
  <c r="L38" i="38"/>
  <c r="L29" i="149"/>
  <c r="L33" i="35"/>
  <c r="L42" i="34"/>
  <c r="L28" i="33"/>
  <c r="L36" i="30"/>
  <c r="J10" i="129" s="1"/>
  <c r="L23" i="29"/>
  <c r="O55" i="15"/>
  <c r="O55" i="17"/>
  <c r="O17" i="15"/>
  <c r="C27" i="104" s="1"/>
  <c r="O24" i="56"/>
  <c r="O19" i="13"/>
  <c r="O21" i="47"/>
  <c r="K33" i="129" s="1"/>
  <c r="O16" i="46"/>
  <c r="O35" i="44"/>
  <c r="O26" i="60"/>
  <c r="L59" i="43"/>
  <c r="L58" i="66" s="1"/>
  <c r="O32" i="40"/>
  <c r="O29" i="149"/>
  <c r="O33" i="35"/>
  <c r="O42" i="34"/>
  <c r="O28" i="33"/>
  <c r="O36" i="30"/>
  <c r="J116" i="129" l="1"/>
  <c r="O121" i="66"/>
  <c r="O125" i="66" s="1"/>
  <c r="L95" i="66"/>
  <c r="E47" i="104"/>
  <c r="J119" i="129"/>
  <c r="K119" i="129"/>
  <c r="K120" i="129" s="1"/>
  <c r="M28" i="144"/>
  <c r="D48" i="104"/>
  <c r="L118" i="66"/>
  <c r="K59" i="129"/>
  <c r="K95" i="129"/>
  <c r="K106" i="129" s="1"/>
  <c r="O47" i="66"/>
  <c r="K17" i="129"/>
  <c r="L45" i="66"/>
  <c r="J15" i="129"/>
  <c r="O62" i="66"/>
  <c r="K31" i="129"/>
  <c r="N31" i="129" s="1"/>
  <c r="O31" i="129" s="1"/>
  <c r="L53" i="66"/>
  <c r="J23" i="129"/>
  <c r="O48" i="66"/>
  <c r="D13" i="104"/>
  <c r="O66" i="66"/>
  <c r="K34" i="129"/>
  <c r="O41" i="66"/>
  <c r="K12" i="129"/>
  <c r="O51" i="66"/>
  <c r="K21" i="129"/>
  <c r="O60" i="66"/>
  <c r="K29" i="129"/>
  <c r="J39" i="129"/>
  <c r="O42" i="66"/>
  <c r="K13" i="129"/>
  <c r="O61" i="66"/>
  <c r="K30" i="129"/>
  <c r="L38" i="66"/>
  <c r="J9" i="129"/>
  <c r="L60" i="66"/>
  <c r="J29" i="129"/>
  <c r="O38" i="66"/>
  <c r="K9" i="129"/>
  <c r="O116" i="66"/>
  <c r="O74" i="66"/>
  <c r="K41" i="129"/>
  <c r="O46" i="66"/>
  <c r="K16" i="129"/>
  <c r="O52" i="66"/>
  <c r="K22" i="129"/>
  <c r="O39" i="66"/>
  <c r="K10" i="129"/>
  <c r="O43" i="66"/>
  <c r="K14" i="129"/>
  <c r="O63" i="66"/>
  <c r="K32" i="129"/>
  <c r="L61" i="66"/>
  <c r="J30" i="129"/>
  <c r="O53" i="66"/>
  <c r="K23" i="129"/>
  <c r="O45" i="66"/>
  <c r="K15" i="129"/>
  <c r="L42" i="66"/>
  <c r="J13" i="129"/>
  <c r="L63" i="66"/>
  <c r="J32" i="129"/>
  <c r="O40" i="66"/>
  <c r="K11" i="129"/>
  <c r="O67" i="66"/>
  <c r="K35" i="129"/>
  <c r="L87" i="66"/>
  <c r="O87" i="66"/>
  <c r="B55" i="179" s="1"/>
  <c r="O38" i="38"/>
  <c r="O49" i="66" s="1"/>
  <c r="O91" i="66"/>
  <c r="O95" i="66" s="1"/>
  <c r="B56" i="179" s="1"/>
  <c r="K63" i="129"/>
  <c r="K66" i="129" s="1"/>
  <c r="K39" i="129"/>
  <c r="D27" i="104"/>
  <c r="O50" i="66"/>
  <c r="K20" i="129"/>
  <c r="L49" i="66"/>
  <c r="J19" i="129"/>
  <c r="L39" i="66"/>
  <c r="O112" i="66"/>
  <c r="M25" i="144"/>
  <c r="J27" i="129"/>
  <c r="O59" i="43"/>
  <c r="D19" i="104"/>
  <c r="L50" i="66"/>
  <c r="J20" i="129"/>
  <c r="L47" i="66"/>
  <c r="J17" i="129"/>
  <c r="L43" i="66"/>
  <c r="J14" i="129"/>
  <c r="L60" i="15"/>
  <c r="O72" i="66"/>
  <c r="L72" i="66"/>
  <c r="L79" i="66" s="1"/>
  <c r="O60" i="15"/>
  <c r="M31" i="144" l="1"/>
  <c r="M34" i="144" s="1"/>
  <c r="M35" i="144" s="1"/>
  <c r="M36" i="144" s="1"/>
  <c r="M37" i="144" s="1"/>
  <c r="O118" i="66"/>
  <c r="M6" i="144" s="1"/>
  <c r="L69" i="66"/>
  <c r="F47" i="104"/>
  <c r="E48" i="104"/>
  <c r="K19" i="129"/>
  <c r="K24" i="129" s="1"/>
  <c r="O79" i="66"/>
  <c r="B54" i="179" s="1"/>
  <c r="K45" i="129"/>
  <c r="O55" i="66"/>
  <c r="B52" i="179" s="1"/>
  <c r="L55" i="66"/>
  <c r="O58" i="66"/>
  <c r="O69" i="66" s="1"/>
  <c r="K27" i="129"/>
  <c r="K36" i="129" s="1"/>
  <c r="L109" i="66" l="1"/>
  <c r="L134" i="66" s="1"/>
  <c r="K79" i="129"/>
  <c r="O109" i="66"/>
  <c r="O134" i="66" s="1"/>
  <c r="B53" i="179"/>
  <c r="B60" i="179" s="1"/>
  <c r="B87" i="179" s="1"/>
  <c r="B89" i="179" s="1"/>
  <c r="T225" i="66"/>
  <c r="D6" i="173" l="1"/>
  <c r="D5" i="173"/>
  <c r="D4" i="173"/>
  <c r="J257" i="66" l="1"/>
  <c r="P113" i="66" l="1"/>
  <c r="L12" i="167" l="1"/>
  <c r="L21" i="167" s="1"/>
  <c r="P22" i="66"/>
  <c r="P20" i="66"/>
  <c r="X20" i="66" l="1"/>
  <c r="Q20" i="66"/>
  <c r="R22" i="66"/>
  <c r="Q22" i="66"/>
  <c r="L22" i="167"/>
  <c r="L13" i="167"/>
  <c r="U22" i="66"/>
  <c r="L63" i="26"/>
  <c r="R20" i="66"/>
  <c r="L72" i="26" l="1"/>
  <c r="L46" i="167" l="1"/>
  <c r="L47" i="167" s="1"/>
  <c r="D19" i="167"/>
  <c r="P26" i="66"/>
  <c r="R26" i="66" l="1"/>
  <c r="Y26" i="66" s="1"/>
  <c r="Q26" i="66"/>
  <c r="S142" i="66"/>
  <c r="S39" i="8"/>
  <c r="A33" i="167" l="1"/>
  <c r="R12" i="167"/>
  <c r="R21" i="167" s="1"/>
  <c r="Q12" i="167"/>
  <c r="Q21" i="167" s="1"/>
  <c r="Q46" i="167" s="1"/>
  <c r="P12" i="167"/>
  <c r="P21" i="167" s="1"/>
  <c r="O12" i="167"/>
  <c r="O21" i="167" s="1"/>
  <c r="O46" i="167" s="1"/>
  <c r="N12" i="167"/>
  <c r="N21" i="167" s="1"/>
  <c r="R46" i="167" l="1"/>
  <c r="R22" i="167"/>
  <c r="N46" i="167"/>
  <c r="N22" i="167"/>
  <c r="P46" i="167"/>
  <c r="P22" i="167"/>
  <c r="I21" i="167"/>
  <c r="O22" i="167"/>
  <c r="Q22" i="167"/>
  <c r="N13" i="167"/>
  <c r="O13" i="167"/>
  <c r="P13" i="167"/>
  <c r="Q13" i="167"/>
  <c r="R13" i="167"/>
  <c r="I22" i="167" l="1"/>
  <c r="R47" i="167"/>
  <c r="Q47" i="167"/>
  <c r="P47" i="167"/>
  <c r="O47" i="167" l="1"/>
  <c r="N47" i="167"/>
  <c r="T222" i="66" l="1"/>
  <c r="T221" i="66"/>
  <c r="C12" i="172" l="1"/>
  <c r="D12" i="172"/>
  <c r="E12" i="172"/>
  <c r="E21" i="172" s="1"/>
  <c r="F12" i="172"/>
  <c r="G12" i="172"/>
  <c r="H12" i="172"/>
  <c r="C18" i="172"/>
  <c r="C21" i="172" s="1"/>
  <c r="D18" i="172"/>
  <c r="D21" i="172" s="1"/>
  <c r="E18" i="172"/>
  <c r="F18" i="172"/>
  <c r="G18" i="172"/>
  <c r="H18" i="172"/>
  <c r="P18" i="172"/>
  <c r="K18" i="172"/>
  <c r="J18" i="172"/>
  <c r="I18" i="172"/>
  <c r="Q18" i="172"/>
  <c r="S18" i="172" s="1"/>
  <c r="P12" i="172"/>
  <c r="K12" i="172"/>
  <c r="J12" i="172"/>
  <c r="Q12" i="172"/>
  <c r="S12" i="172" s="1"/>
  <c r="I12" i="172"/>
  <c r="N32" i="171"/>
  <c r="N31" i="171"/>
  <c r="N30" i="171"/>
  <c r="N29" i="171"/>
  <c r="N28" i="171"/>
  <c r="S15" i="171"/>
  <c r="P15" i="171"/>
  <c r="P18" i="171" s="1"/>
  <c r="K15" i="171"/>
  <c r="K18" i="171" s="1"/>
  <c r="J15" i="171"/>
  <c r="J18" i="171" s="1"/>
  <c r="I15" i="171"/>
  <c r="I18" i="171" s="1"/>
  <c r="H15" i="171"/>
  <c r="H18" i="171" s="1"/>
  <c r="G15" i="171"/>
  <c r="G18" i="171" s="1"/>
  <c r="F15" i="171"/>
  <c r="F18" i="171" s="1"/>
  <c r="E15" i="171"/>
  <c r="E18" i="171" s="1"/>
  <c r="D15" i="171"/>
  <c r="D18" i="171" s="1"/>
  <c r="C15" i="171"/>
  <c r="C18" i="171" s="1"/>
  <c r="I21" i="172" l="1"/>
  <c r="O28" i="171"/>
  <c r="P28" i="171" s="1"/>
  <c r="O32" i="171"/>
  <c r="P32" i="171" s="1"/>
  <c r="P30" i="171"/>
  <c r="H21" i="172"/>
  <c r="G21" i="172"/>
  <c r="F21" i="172"/>
  <c r="J21" i="172"/>
  <c r="S21" i="172"/>
  <c r="M118" i="129" s="1"/>
  <c r="N118" i="129" s="1"/>
  <c r="O118" i="129" s="1"/>
  <c r="K21" i="172"/>
  <c r="P21" i="172"/>
  <c r="Q21" i="172"/>
  <c r="O30" i="171"/>
  <c r="O29" i="171"/>
  <c r="P29" i="171" s="1"/>
  <c r="O31" i="171"/>
  <c r="P31" i="171" s="1"/>
  <c r="M36" i="171"/>
  <c r="C27" i="170"/>
  <c r="C26" i="170"/>
  <c r="C25" i="170"/>
  <c r="C24" i="170"/>
  <c r="C10" i="170"/>
  <c r="C47" i="170"/>
  <c r="C35" i="170"/>
  <c r="C36" i="170" s="1"/>
  <c r="H46" i="104" l="1"/>
  <c r="R21" i="172"/>
  <c r="Q122" i="66" s="1"/>
  <c r="J46" i="104"/>
  <c r="Q46" i="104" s="1"/>
  <c r="R46" i="104" s="1"/>
  <c r="M46" i="104"/>
  <c r="N46" i="104" s="1"/>
  <c r="R122" i="66"/>
  <c r="P122" i="66"/>
  <c r="L118" i="129"/>
  <c r="C53" i="170"/>
  <c r="C55" i="170" s="1"/>
  <c r="C5" i="170" s="1"/>
  <c r="C7" i="170" s="1"/>
  <c r="C49" i="170"/>
  <c r="C19" i="170" s="1"/>
  <c r="C16" i="170" l="1"/>
  <c r="C12" i="170"/>
  <c r="C13" i="170" s="1"/>
  <c r="E44" i="24" l="1"/>
  <c r="K24" i="149"/>
  <c r="K13" i="149"/>
  <c r="K27" i="149" l="1"/>
  <c r="D31" i="167"/>
  <c r="Q17" i="77" l="1"/>
  <c r="P16" i="11" l="1"/>
  <c r="K9" i="8"/>
  <c r="N29" i="23"/>
  <c r="O29" i="23" s="1"/>
  <c r="P29" i="23"/>
  <c r="Q18" i="23"/>
  <c r="K18" i="23"/>
  <c r="P18" i="23"/>
  <c r="J18" i="23"/>
  <c r="I18" i="23"/>
  <c r="L92" i="129" l="1"/>
  <c r="S61" i="12"/>
  <c r="R113" i="66" l="1"/>
  <c r="M92" i="129"/>
  <c r="N92" i="129" s="1"/>
  <c r="R232" i="66" l="1"/>
  <c r="S232" i="66" s="1"/>
  <c r="N55" i="30" l="1"/>
  <c r="O55" i="30" l="1"/>
  <c r="P55" i="30" s="1"/>
  <c r="N92" i="11" l="1"/>
  <c r="N63" i="34"/>
  <c r="N65" i="34"/>
  <c r="N66" i="34"/>
  <c r="N68" i="34"/>
  <c r="N69" i="34"/>
  <c r="O92" i="11" l="1"/>
  <c r="P92" i="11" s="1"/>
  <c r="S160" i="66"/>
  <c r="J16" i="144"/>
  <c r="J6" i="144"/>
  <c r="K22" i="144"/>
  <c r="N103" i="169" l="1"/>
  <c r="N93" i="169"/>
  <c r="N90" i="169"/>
  <c r="N83" i="169"/>
  <c r="N33" i="169"/>
  <c r="N34" i="169" s="1"/>
  <c r="N37" i="169" s="1"/>
  <c r="N21" i="169"/>
  <c r="B13" i="169"/>
  <c r="C13" i="169"/>
  <c r="D13" i="169"/>
  <c r="D14" i="169" s="1"/>
  <c r="E13" i="169"/>
  <c r="E14" i="169" s="1"/>
  <c r="F13" i="169"/>
  <c r="F14" i="169" s="1"/>
  <c r="G13" i="169"/>
  <c r="G14" i="169" s="1"/>
  <c r="I14" i="169"/>
  <c r="C14" i="169"/>
  <c r="H13" i="169"/>
  <c r="H14" i="169" s="1"/>
  <c r="I13" i="169"/>
  <c r="J13" i="169"/>
  <c r="J14" i="169" s="1"/>
  <c r="L14" i="169"/>
  <c r="O13" i="169" l="1"/>
  <c r="P13" i="169"/>
  <c r="M13" i="169" s="1"/>
  <c r="B14" i="169"/>
  <c r="N104" i="169"/>
  <c r="N106" i="169"/>
  <c r="M103" i="169"/>
  <c r="J103" i="169"/>
  <c r="J104" i="169" s="1"/>
  <c r="M90" i="169"/>
  <c r="L90" i="169"/>
  <c r="J90" i="169"/>
  <c r="I90" i="169"/>
  <c r="H90" i="169"/>
  <c r="F90" i="169"/>
  <c r="E90" i="169"/>
  <c r="D90" i="169"/>
  <c r="C90" i="169"/>
  <c r="G90" i="169"/>
  <c r="C84" i="169"/>
  <c r="D84" i="169" s="1"/>
  <c r="E84" i="169" s="1"/>
  <c r="M83" i="169"/>
  <c r="J83" i="169"/>
  <c r="I83" i="169"/>
  <c r="H83" i="169"/>
  <c r="G83" i="169"/>
  <c r="F83" i="169"/>
  <c r="E83" i="169"/>
  <c r="D83" i="169"/>
  <c r="C83" i="169"/>
  <c r="L83" i="169"/>
  <c r="L78" i="169"/>
  <c r="J78" i="169"/>
  <c r="H78" i="169"/>
  <c r="F78" i="169"/>
  <c r="C78" i="169"/>
  <c r="M61" i="169"/>
  <c r="L57" i="169"/>
  <c r="L63" i="169" s="1"/>
  <c r="E57" i="169"/>
  <c r="D57" i="169"/>
  <c r="J55" i="169"/>
  <c r="J57" i="169" s="1"/>
  <c r="J63" i="169" s="1"/>
  <c r="I55" i="169"/>
  <c r="I57" i="169" s="1"/>
  <c r="I63" i="169" s="1"/>
  <c r="H55" i="169"/>
  <c r="H57" i="169" s="1"/>
  <c r="H63" i="169" s="1"/>
  <c r="G55" i="169"/>
  <c r="F55" i="169"/>
  <c r="F57" i="169" s="1"/>
  <c r="E55" i="169"/>
  <c r="C55" i="169"/>
  <c r="C57" i="169" s="1"/>
  <c r="I34" i="169"/>
  <c r="I37" i="169" s="1"/>
  <c r="G34" i="169"/>
  <c r="G37" i="169" s="1"/>
  <c r="M34" i="169"/>
  <c r="M37" i="169" s="1"/>
  <c r="L33" i="169"/>
  <c r="L34" i="169" s="1"/>
  <c r="L37" i="169" s="1"/>
  <c r="J33" i="169"/>
  <c r="J34" i="169" s="1"/>
  <c r="J37" i="169" s="1"/>
  <c r="H33" i="169"/>
  <c r="H34" i="169" s="1"/>
  <c r="H37" i="169" s="1"/>
  <c r="G33" i="169"/>
  <c r="F33" i="169"/>
  <c r="F34" i="169" s="1"/>
  <c r="F37" i="169" s="1"/>
  <c r="E33" i="169"/>
  <c r="E34" i="169" s="1"/>
  <c r="E37" i="169" s="1"/>
  <c r="D33" i="169"/>
  <c r="D34" i="169" s="1"/>
  <c r="D37" i="169" s="1"/>
  <c r="C33" i="169"/>
  <c r="C34" i="169" s="1"/>
  <c r="C37" i="169" s="1"/>
  <c r="C22" i="169"/>
  <c r="C25" i="169" s="1"/>
  <c r="J18" i="169"/>
  <c r="H18" i="169"/>
  <c r="H22" i="169" s="1"/>
  <c r="H25" i="169" s="1"/>
  <c r="D17" i="169"/>
  <c r="I17" i="169" l="1"/>
  <c r="I18" i="169" s="1"/>
  <c r="I22" i="169" s="1"/>
  <c r="I25" i="169" s="1"/>
  <c r="M106" i="169"/>
  <c r="M109" i="169" s="1"/>
  <c r="M62" i="169"/>
  <c r="G57" i="169"/>
  <c r="M57" i="169"/>
  <c r="N109" i="169"/>
  <c r="N107" i="169"/>
  <c r="N110" i="169" s="1"/>
  <c r="M104" i="169"/>
  <c r="H85" i="169"/>
  <c r="H95" i="169" s="1"/>
  <c r="C85" i="169"/>
  <c r="C95" i="169" s="1"/>
  <c r="G84" i="169"/>
  <c r="L84" i="169" s="1"/>
  <c r="F84" i="169"/>
  <c r="D18" i="169"/>
  <c r="D22" i="169" s="1"/>
  <c r="D25" i="169" s="1"/>
  <c r="J106" i="169"/>
  <c r="J17" i="169"/>
  <c r="K17" i="169" s="1"/>
  <c r="K18" i="169" l="1"/>
  <c r="M107" i="169"/>
  <c r="M110" i="169" s="1"/>
  <c r="N112" i="169"/>
  <c r="J109" i="169"/>
  <c r="J22" i="169"/>
  <c r="J25" i="169" s="1"/>
  <c r="J85" i="169" s="1"/>
  <c r="J95" i="169" s="1"/>
  <c r="J107" i="169"/>
  <c r="J110" i="169" s="1"/>
  <c r="I84" i="169"/>
  <c r="N84" i="169" s="1"/>
  <c r="H84" i="169"/>
  <c r="M84" i="169" s="1"/>
  <c r="E17" i="169"/>
  <c r="M112" i="169" l="1"/>
  <c r="K22" i="169"/>
  <c r="K25" i="169" s="1"/>
  <c r="K85" i="169" s="1"/>
  <c r="E18" i="169"/>
  <c r="F17" i="169" s="1"/>
  <c r="J112" i="169"/>
  <c r="L18" i="169"/>
  <c r="M17" i="169" s="1"/>
  <c r="N17" i="169" s="1"/>
  <c r="P16" i="24"/>
  <c r="J16" i="24"/>
  <c r="I16" i="24"/>
  <c r="K16" i="24"/>
  <c r="E22" i="169" l="1"/>
  <c r="E25" i="169" s="1"/>
  <c r="M18" i="169"/>
  <c r="N18" i="169" s="1"/>
  <c r="F18" i="169"/>
  <c r="G17" i="169" s="1"/>
  <c r="L22" i="169"/>
  <c r="L25" i="169" s="1"/>
  <c r="L85" i="169" l="1"/>
  <c r="L95" i="169" s="1"/>
  <c r="G18" i="169"/>
  <c r="G22" i="169" s="1"/>
  <c r="G25" i="169" s="1"/>
  <c r="F22" i="169"/>
  <c r="F25" i="169" s="1"/>
  <c r="F85" i="169" s="1"/>
  <c r="F95" i="169" s="1"/>
  <c r="B22" i="133"/>
  <c r="B33" i="167" l="1"/>
  <c r="S209" i="66"/>
  <c r="I46" i="26"/>
  <c r="D33" i="167" l="1"/>
  <c r="S161" i="66" l="1"/>
  <c r="S162" i="66"/>
  <c r="S163" i="66"/>
  <c r="I46" i="167" l="1"/>
  <c r="S177" i="66"/>
  <c r="U109" i="66" l="1"/>
  <c r="S47" i="24"/>
  <c r="K47" i="24"/>
  <c r="K54" i="24" s="1"/>
  <c r="K121" i="66" s="1"/>
  <c r="P47" i="24"/>
  <c r="P54" i="24" s="1"/>
  <c r="J47" i="24"/>
  <c r="I47" i="24"/>
  <c r="I54" i="24" s="1"/>
  <c r="Q11" i="60"/>
  <c r="Q16" i="43"/>
  <c r="Q21" i="29"/>
  <c r="J54" i="24" l="1"/>
  <c r="H116" i="129" s="1"/>
  <c r="H120" i="129" s="1"/>
  <c r="J120" i="129"/>
  <c r="I116" i="129"/>
  <c r="I120" i="129" s="1"/>
  <c r="Q11" i="149"/>
  <c r="C7" i="107"/>
  <c r="D7" i="107" s="1"/>
  <c r="J97" i="26" l="1"/>
  <c r="J98" i="26" s="1"/>
  <c r="I97" i="26"/>
  <c r="I100" i="26" s="1"/>
  <c r="J100" i="26" l="1"/>
  <c r="I103" i="26"/>
  <c r="I101" i="26"/>
  <c r="I104" i="26" s="1"/>
  <c r="I98" i="26"/>
  <c r="I106" i="26" l="1"/>
  <c r="J103" i="26"/>
  <c r="J101" i="26"/>
  <c r="J104" i="26" s="1"/>
  <c r="J106" i="26" l="1"/>
  <c r="I85" i="26"/>
  <c r="J75" i="26"/>
  <c r="J25" i="66"/>
  <c r="J24" i="66"/>
  <c r="J19" i="66"/>
  <c r="J18" i="66"/>
  <c r="J16" i="66"/>
  <c r="J15" i="66"/>
  <c r="J11" i="66"/>
  <c r="J9" i="66"/>
  <c r="J73" i="66"/>
  <c r="K13" i="53"/>
  <c r="U23" i="24" l="1"/>
  <c r="U34" i="24"/>
  <c r="U35" i="24"/>
  <c r="U20" i="24"/>
  <c r="U30" i="24"/>
  <c r="U18" i="24"/>
  <c r="U10" i="24"/>
  <c r="J15" i="4" l="1"/>
  <c r="J18" i="4" s="1"/>
  <c r="J29" i="6"/>
  <c r="J59" i="6"/>
  <c r="J56" i="6"/>
  <c r="J12" i="5"/>
  <c r="J26" i="5"/>
  <c r="I103" i="129" s="1"/>
  <c r="J23" i="5"/>
  <c r="J14" i="12"/>
  <c r="N92" i="12"/>
  <c r="N91" i="12"/>
  <c r="U47" i="24"/>
  <c r="U16" i="24"/>
  <c r="J26" i="93"/>
  <c r="J20" i="93"/>
  <c r="J21" i="54"/>
  <c r="J18" i="53"/>
  <c r="J20" i="53" s="1"/>
  <c r="J9" i="52"/>
  <c r="J15" i="52"/>
  <c r="J31" i="51"/>
  <c r="J61" i="51"/>
  <c r="J56" i="51"/>
  <c r="J11" i="50"/>
  <c r="J14" i="50" s="1"/>
  <c r="J12" i="135"/>
  <c r="J15" i="135" s="1"/>
  <c r="J27" i="49"/>
  <c r="J13" i="49"/>
  <c r="J16" i="11"/>
  <c r="J44" i="11"/>
  <c r="J41" i="11"/>
  <c r="J12" i="10"/>
  <c r="J15" i="10" s="1"/>
  <c r="J24" i="9"/>
  <c r="J11" i="9"/>
  <c r="J22" i="8"/>
  <c r="J39" i="8"/>
  <c r="J16" i="7"/>
  <c r="J13" i="7"/>
  <c r="J13" i="165"/>
  <c r="J15" i="165" s="1"/>
  <c r="J13" i="22"/>
  <c r="J25" i="22"/>
  <c r="J18" i="18"/>
  <c r="J12" i="18"/>
  <c r="J57" i="15"/>
  <c r="J58" i="15" s="1"/>
  <c r="J53" i="15"/>
  <c r="J52" i="15"/>
  <c r="J51" i="15"/>
  <c r="J50" i="15"/>
  <c r="J49" i="15"/>
  <c r="J48" i="15"/>
  <c r="J47" i="15"/>
  <c r="J46" i="15"/>
  <c r="J45" i="15"/>
  <c r="J44" i="15"/>
  <c r="J43" i="15"/>
  <c r="J42" i="15"/>
  <c r="J41" i="15"/>
  <c r="J40" i="15"/>
  <c r="J39" i="15"/>
  <c r="J38" i="15"/>
  <c r="J37" i="15"/>
  <c r="J36" i="15"/>
  <c r="J35" i="15"/>
  <c r="J34" i="15"/>
  <c r="J33" i="15"/>
  <c r="J32" i="15"/>
  <c r="J31" i="15"/>
  <c r="J30" i="15"/>
  <c r="J29" i="15"/>
  <c r="J28" i="15"/>
  <c r="J27" i="15"/>
  <c r="J26" i="15"/>
  <c r="J25" i="15"/>
  <c r="J24" i="15"/>
  <c r="J23" i="15"/>
  <c r="J22" i="15"/>
  <c r="J21" i="15"/>
  <c r="J20" i="15"/>
  <c r="J19" i="15"/>
  <c r="J16" i="15"/>
  <c r="J15" i="15"/>
  <c r="J14" i="15"/>
  <c r="J13" i="15"/>
  <c r="J12" i="15"/>
  <c r="J11" i="15"/>
  <c r="J10" i="15"/>
  <c r="J9" i="15"/>
  <c r="J53" i="17"/>
  <c r="J50" i="17"/>
  <c r="J16" i="17"/>
  <c r="J13" i="23"/>
  <c r="J22" i="56"/>
  <c r="J12" i="56"/>
  <c r="J14" i="13"/>
  <c r="J129" i="66" s="1"/>
  <c r="J11" i="13"/>
  <c r="J128" i="66" s="1"/>
  <c r="J10" i="86"/>
  <c r="J17" i="86"/>
  <c r="J10" i="48"/>
  <c r="J12" i="48" s="1"/>
  <c r="J16" i="47"/>
  <c r="J64" i="66" s="1"/>
  <c r="J19" i="47"/>
  <c r="J65" i="66" s="1"/>
  <c r="J14" i="46"/>
  <c r="J10" i="46"/>
  <c r="J10" i="45"/>
  <c r="J12" i="45" s="1"/>
  <c r="J33" i="44"/>
  <c r="J20" i="44"/>
  <c r="J24" i="60"/>
  <c r="J19" i="60"/>
  <c r="J57" i="43"/>
  <c r="J54" i="43"/>
  <c r="J28" i="43"/>
  <c r="J39" i="87"/>
  <c r="J41" i="87" s="1"/>
  <c r="J15" i="41"/>
  <c r="J18" i="41" s="1"/>
  <c r="J30" i="40"/>
  <c r="J13" i="40"/>
  <c r="J36" i="38"/>
  <c r="J18" i="38"/>
  <c r="J21" i="77"/>
  <c r="J11" i="149"/>
  <c r="J27" i="149"/>
  <c r="J13" i="36"/>
  <c r="J16" i="36" s="1"/>
  <c r="J31" i="35"/>
  <c r="J16" i="35"/>
  <c r="J130" i="66" l="1"/>
  <c r="I23" i="129"/>
  <c r="J53" i="66"/>
  <c r="I58" i="129"/>
  <c r="J85" i="66"/>
  <c r="I31" i="129"/>
  <c r="J62" i="66"/>
  <c r="J23" i="77"/>
  <c r="J48" i="66" s="1"/>
  <c r="I18" i="129"/>
  <c r="I72" i="129"/>
  <c r="J101" i="66"/>
  <c r="J59" i="66"/>
  <c r="I28" i="129"/>
  <c r="I75" i="129"/>
  <c r="J104" i="66"/>
  <c r="I34" i="129"/>
  <c r="J66" i="66"/>
  <c r="I64" i="129"/>
  <c r="J92" i="66"/>
  <c r="J23" i="54"/>
  <c r="I76" i="129" s="1"/>
  <c r="J105" i="66"/>
  <c r="I16" i="129"/>
  <c r="J46" i="66"/>
  <c r="I21" i="129"/>
  <c r="J51" i="66"/>
  <c r="J93" i="66"/>
  <c r="I65" i="129"/>
  <c r="I94" i="129"/>
  <c r="J116" i="66"/>
  <c r="I22" i="129"/>
  <c r="J52" i="66"/>
  <c r="J64" i="12"/>
  <c r="I91" i="129" s="1"/>
  <c r="J17" i="15"/>
  <c r="J33" i="35"/>
  <c r="U54" i="24"/>
  <c r="J35" i="44"/>
  <c r="J26" i="9"/>
  <c r="J21" i="47"/>
  <c r="I33" i="129" s="1"/>
  <c r="J55" i="15"/>
  <c r="J61" i="6"/>
  <c r="J28" i="5"/>
  <c r="J114" i="66" s="1"/>
  <c r="J30" i="93"/>
  <c r="J64" i="51"/>
  <c r="J29" i="49"/>
  <c r="J46" i="11"/>
  <c r="J41" i="8"/>
  <c r="J18" i="7"/>
  <c r="J27" i="22"/>
  <c r="J20" i="18"/>
  <c r="J55" i="17"/>
  <c r="J20" i="23"/>
  <c r="J24" i="56"/>
  <c r="J19" i="13"/>
  <c r="J19" i="86"/>
  <c r="J16" i="46"/>
  <c r="J26" i="60"/>
  <c r="J59" i="43"/>
  <c r="J32" i="40"/>
  <c r="J38" i="38"/>
  <c r="J29" i="149"/>
  <c r="J40" i="34"/>
  <c r="J44" i="66" s="1"/>
  <c r="J37" i="34"/>
  <c r="J16" i="34"/>
  <c r="J26" i="33"/>
  <c r="J11" i="33"/>
  <c r="J11" i="32"/>
  <c r="J14" i="32" s="1"/>
  <c r="J17" i="31"/>
  <c r="J20" i="31" s="1"/>
  <c r="J19" i="30"/>
  <c r="J34" i="30"/>
  <c r="J21" i="29"/>
  <c r="I21" i="29"/>
  <c r="J10" i="29"/>
  <c r="K39" i="87"/>
  <c r="K41" i="87" s="1"/>
  <c r="K48" i="43"/>
  <c r="K11" i="18"/>
  <c r="K12" i="18" s="1"/>
  <c r="Q34" i="51"/>
  <c r="Q10" i="51"/>
  <c r="J23" i="29" l="1"/>
  <c r="J107" i="66"/>
  <c r="I77" i="129"/>
  <c r="I29" i="129"/>
  <c r="J60" i="66"/>
  <c r="I42" i="129"/>
  <c r="J75" i="66"/>
  <c r="I102" i="129"/>
  <c r="I104" i="129" s="1"/>
  <c r="J63" i="66"/>
  <c r="I32" i="129"/>
  <c r="I44" i="129"/>
  <c r="J77" i="66"/>
  <c r="I93" i="129"/>
  <c r="I95" i="129" s="1"/>
  <c r="J115" i="66"/>
  <c r="I9" i="129"/>
  <c r="J38" i="66"/>
  <c r="I35" i="129"/>
  <c r="J67" i="66"/>
  <c r="I56" i="129"/>
  <c r="J83" i="66"/>
  <c r="J90" i="66"/>
  <c r="I62" i="129"/>
  <c r="J47" i="66"/>
  <c r="I17" i="129"/>
  <c r="I63" i="129"/>
  <c r="J91" i="66"/>
  <c r="I57" i="129"/>
  <c r="I59" i="129" s="1"/>
  <c r="J84" i="66"/>
  <c r="I11" i="129"/>
  <c r="J40" i="66"/>
  <c r="J49" i="66"/>
  <c r="I19" i="129"/>
  <c r="I69" i="129"/>
  <c r="J98" i="66"/>
  <c r="I30" i="129"/>
  <c r="J61" i="66"/>
  <c r="I12" i="129"/>
  <c r="J41" i="66"/>
  <c r="I20" i="129"/>
  <c r="J50" i="66"/>
  <c r="J58" i="66"/>
  <c r="I27" i="129"/>
  <c r="I41" i="129"/>
  <c r="J74" i="66"/>
  <c r="J112" i="66"/>
  <c r="J45" i="66"/>
  <c r="I15" i="129"/>
  <c r="J60" i="15"/>
  <c r="I39" i="129" s="1"/>
  <c r="J72" i="66"/>
  <c r="J121" i="66"/>
  <c r="U55" i="24"/>
  <c r="J42" i="34"/>
  <c r="J28" i="33"/>
  <c r="J36" i="30"/>
  <c r="I66" i="129" l="1"/>
  <c r="I45" i="129"/>
  <c r="J95" i="66"/>
  <c r="J118" i="66"/>
  <c r="J69" i="66"/>
  <c r="I13" i="129"/>
  <c r="J42" i="66"/>
  <c r="I106" i="129"/>
  <c r="I10" i="129"/>
  <c r="J39" i="66"/>
  <c r="J87" i="66"/>
  <c r="J43" i="66"/>
  <c r="I14" i="129"/>
  <c r="I36" i="129"/>
  <c r="J79" i="66"/>
  <c r="J55" i="66" l="1"/>
  <c r="J109" i="66" s="1"/>
  <c r="J134" i="66" s="1"/>
  <c r="J259" i="66" s="1"/>
  <c r="J264" i="66" s="1"/>
  <c r="I24" i="129"/>
  <c r="I79" i="129" s="1"/>
  <c r="I22" i="168"/>
  <c r="I21" i="168"/>
  <c r="H25" i="168"/>
  <c r="H17" i="168"/>
  <c r="I24" i="168" s="1"/>
  <c r="I20" i="168" l="1"/>
  <c r="I25" i="168" s="1"/>
  <c r="I23" i="168"/>
  <c r="V47" i="6"/>
  <c r="V46" i="6"/>
  <c r="D34" i="168"/>
  <c r="D28" i="168"/>
  <c r="D27" i="168"/>
  <c r="D18" i="168"/>
  <c r="D12" i="168"/>
  <c r="D11" i="168"/>
  <c r="C39" i="168"/>
  <c r="D32" i="168" s="1"/>
  <c r="D17" i="168" l="1"/>
  <c r="D33" i="168"/>
  <c r="D19" i="168"/>
  <c r="D20" i="168"/>
  <c r="D9" i="168"/>
  <c r="D25" i="168"/>
  <c r="D10" i="168"/>
  <c r="D26" i="168"/>
  <c r="D21" i="168"/>
  <c r="D29" i="168"/>
  <c r="D13" i="168"/>
  <c r="D30" i="168"/>
  <c r="D14" i="168"/>
  <c r="D22" i="168"/>
  <c r="D31" i="168"/>
  <c r="D15" i="168"/>
  <c r="D23" i="168"/>
  <c r="D8" i="168"/>
  <c r="D16" i="168"/>
  <c r="D24" i="168"/>
  <c r="T143" i="66"/>
  <c r="T151" i="66"/>
  <c r="D39" i="168" l="1"/>
  <c r="D27" i="167"/>
  <c r="D26" i="167"/>
  <c r="D34" i="167"/>
  <c r="D30" i="167"/>
  <c r="D24" i="167" l="1"/>
  <c r="I47" i="167"/>
  <c r="P13" i="66" l="1"/>
  <c r="R13" i="66" l="1"/>
  <c r="Q13" i="66"/>
  <c r="U13" i="66"/>
  <c r="T230" i="66"/>
  <c r="Y236" i="66" l="1"/>
  <c r="T231" i="66"/>
  <c r="T229" i="66"/>
  <c r="B4" i="160" l="1"/>
  <c r="N33" i="31"/>
  <c r="N32" i="31"/>
  <c r="N31" i="31"/>
  <c r="N28" i="31"/>
  <c r="N27" i="31"/>
  <c r="N26" i="31"/>
  <c r="P28" i="31" l="1"/>
  <c r="O26" i="31"/>
  <c r="P26" i="31" s="1"/>
  <c r="O27" i="31"/>
  <c r="P27" i="31" s="1"/>
  <c r="O28" i="31"/>
  <c r="O31" i="31"/>
  <c r="P31" i="31" s="1"/>
  <c r="O32" i="31"/>
  <c r="P32" i="31" s="1"/>
  <c r="O33" i="31"/>
  <c r="P33" i="31" s="1"/>
  <c r="O50" i="8" l="1"/>
  <c r="O89" i="15"/>
  <c r="O88" i="15"/>
  <c r="O87" i="15"/>
  <c r="O86" i="15"/>
  <c r="O85" i="15"/>
  <c r="O83" i="15"/>
  <c r="O82" i="15"/>
  <c r="O81" i="15"/>
  <c r="O79" i="15"/>
  <c r="O78" i="15"/>
  <c r="O77" i="15"/>
  <c r="O76" i="15"/>
  <c r="O75" i="15"/>
  <c r="O74" i="15"/>
  <c r="O73" i="15"/>
  <c r="O72" i="15"/>
  <c r="O71" i="15"/>
  <c r="O70" i="15"/>
  <c r="O43" i="44"/>
  <c r="O44" i="35"/>
  <c r="O49" i="34"/>
  <c r="O44" i="30"/>
  <c r="M23" i="135" l="1"/>
  <c r="M22" i="45"/>
  <c r="N38" i="29" l="1"/>
  <c r="N37" i="29"/>
  <c r="N36" i="29"/>
  <c r="N35" i="29"/>
  <c r="N34" i="29"/>
  <c r="N33" i="29"/>
  <c r="N32" i="29"/>
  <c r="P31" i="29"/>
  <c r="N31" i="29"/>
  <c r="O31" i="29" s="1"/>
  <c r="N30" i="29"/>
  <c r="O37" i="29" l="1"/>
  <c r="M40" i="29"/>
  <c r="O34" i="29"/>
  <c r="P34" i="29" s="1"/>
  <c r="O36" i="29"/>
  <c r="O38" i="29"/>
  <c r="P38" i="29" s="1"/>
  <c r="P37" i="29"/>
  <c r="O32" i="29"/>
  <c r="P32" i="29" s="1"/>
  <c r="P36" i="29"/>
  <c r="O33" i="29"/>
  <c r="P33" i="29" s="1"/>
  <c r="O35" i="29"/>
  <c r="P35" i="29" s="1"/>
  <c r="I55" i="12"/>
  <c r="L26" i="139"/>
  <c r="Q10" i="139"/>
  <c r="G17" i="104" s="1"/>
  <c r="O26" i="139" l="1"/>
  <c r="P26" i="139"/>
  <c r="N60" i="35" l="1"/>
  <c r="N59" i="35"/>
  <c r="N58" i="35"/>
  <c r="O58" i="35" l="1"/>
  <c r="O60" i="35"/>
  <c r="O59" i="35"/>
  <c r="Q18" i="8"/>
  <c r="M83" i="34" l="1"/>
  <c r="C99" i="143"/>
  <c r="N22" i="165" l="1"/>
  <c r="N24" i="165"/>
  <c r="O24" i="165" s="1"/>
  <c r="N23" i="165"/>
  <c r="P23" i="165" s="1"/>
  <c r="N21" i="165"/>
  <c r="Q13" i="165"/>
  <c r="P13" i="165"/>
  <c r="P15" i="165" s="1"/>
  <c r="K13" i="165"/>
  <c r="K15" i="165" s="1"/>
  <c r="I13" i="165"/>
  <c r="I15" i="165" s="1"/>
  <c r="H13" i="165"/>
  <c r="H15" i="165" s="1"/>
  <c r="G13" i="165"/>
  <c r="G15" i="165" s="1"/>
  <c r="F13" i="165"/>
  <c r="F15" i="165" s="1"/>
  <c r="E13" i="165"/>
  <c r="D13" i="165"/>
  <c r="C13" i="165"/>
  <c r="Q15" i="165" l="1"/>
  <c r="L43" i="129"/>
  <c r="O21" i="165"/>
  <c r="P21" i="165" s="1"/>
  <c r="M26" i="165"/>
  <c r="O22" i="165"/>
  <c r="N26" i="165"/>
  <c r="S13" i="165"/>
  <c r="M43" i="129" s="1"/>
  <c r="N43" i="129" s="1"/>
  <c r="O43" i="129" s="1"/>
  <c r="P22" i="165"/>
  <c r="P24" i="165"/>
  <c r="O23" i="165"/>
  <c r="E15" i="165"/>
  <c r="D15" i="165"/>
  <c r="C15" i="165"/>
  <c r="R15" i="165" l="1"/>
  <c r="Q76" i="66" s="1"/>
  <c r="Q16" i="165"/>
  <c r="R16" i="165" s="1"/>
  <c r="P76" i="66"/>
  <c r="H30" i="104"/>
  <c r="O26" i="165"/>
  <c r="P26" i="165"/>
  <c r="S15" i="165"/>
  <c r="R76" i="66" s="1"/>
  <c r="I72" i="26"/>
  <c r="I77" i="26"/>
  <c r="I48" i="26"/>
  <c r="I54" i="26" s="1"/>
  <c r="I25" i="26"/>
  <c r="I26" i="26" s="1"/>
  <c r="I29" i="26" s="1"/>
  <c r="J7" i="66" s="1"/>
  <c r="I9" i="26"/>
  <c r="J30" i="104" l="1"/>
  <c r="Q30" i="104" s="1"/>
  <c r="R30" i="104" s="1"/>
  <c r="M30" i="104"/>
  <c r="N30" i="104" s="1"/>
  <c r="J8" i="66"/>
  <c r="I16" i="144" l="1"/>
  <c r="G19" i="2" l="1"/>
  <c r="I19" i="2" l="1"/>
  <c r="I47" i="12"/>
  <c r="I20" i="12"/>
  <c r="I59" i="12" s="1"/>
  <c r="I21" i="17"/>
  <c r="I39" i="17"/>
  <c r="I43" i="43"/>
  <c r="I14" i="44"/>
  <c r="K12" i="60" l="1"/>
  <c r="K11" i="60"/>
  <c r="K10" i="60"/>
  <c r="K16" i="43"/>
  <c r="K15" i="43"/>
  <c r="P12" i="66" l="1"/>
  <c r="R12" i="66" l="1"/>
  <c r="U12" i="66" s="1"/>
  <c r="Q12" i="66"/>
  <c r="H46" i="26"/>
  <c r="I11" i="12" l="1"/>
  <c r="I9" i="12"/>
  <c r="I10" i="11"/>
  <c r="I9" i="11"/>
  <c r="N95" i="17"/>
  <c r="Q48" i="15"/>
  <c r="P48" i="15"/>
  <c r="K48" i="15"/>
  <c r="I48" i="15"/>
  <c r="H48" i="15"/>
  <c r="I9" i="43"/>
  <c r="O95" i="17" l="1"/>
  <c r="N76" i="38"/>
  <c r="O76" i="38" l="1"/>
  <c r="I16" i="35"/>
  <c r="M97" i="26" l="1"/>
  <c r="M85" i="26"/>
  <c r="P16" i="66"/>
  <c r="Q16" i="66" s="1"/>
  <c r="P25" i="66"/>
  <c r="Q25" i="66" s="1"/>
  <c r="P24" i="66"/>
  <c r="Q24" i="66" s="1"/>
  <c r="P19" i="66"/>
  <c r="P11" i="66"/>
  <c r="Q11" i="66" s="1"/>
  <c r="P9" i="66"/>
  <c r="Q9" i="66" s="1"/>
  <c r="L25" i="66"/>
  <c r="L24" i="66"/>
  <c r="L19" i="66"/>
  <c r="L18" i="66"/>
  <c r="L11" i="66"/>
  <c r="L9" i="66"/>
  <c r="R19" i="66" l="1"/>
  <c r="Q19" i="66"/>
  <c r="M38" i="26"/>
  <c r="M53" i="26"/>
  <c r="C46" i="179" s="1"/>
  <c r="D46" i="179" s="1"/>
  <c r="D7" i="173"/>
  <c r="M77" i="26"/>
  <c r="M98" i="26"/>
  <c r="M100" i="26"/>
  <c r="M101" i="26" s="1"/>
  <c r="R149" i="66" s="1"/>
  <c r="N48" i="169" l="1"/>
  <c r="N62" i="169" s="1"/>
  <c r="C35" i="179"/>
  <c r="P149" i="66"/>
  <c r="C74" i="179" s="1"/>
  <c r="Q149" i="66"/>
  <c r="M104" i="26"/>
  <c r="R150" i="66" s="1"/>
  <c r="M103" i="26"/>
  <c r="R148" i="66" s="1"/>
  <c r="D35" i="179" l="1"/>
  <c r="D41" i="179" s="1"/>
  <c r="D47" i="179" s="1"/>
  <c r="C41" i="179"/>
  <c r="C47" i="179" s="1"/>
  <c r="Q148" i="66"/>
  <c r="P148" i="66"/>
  <c r="C73" i="179" s="1"/>
  <c r="P150" i="66"/>
  <c r="C75" i="179" s="1"/>
  <c r="Q150" i="66"/>
  <c r="M106" i="26"/>
  <c r="G50" i="138" l="1"/>
  <c r="G40" i="138" s="1"/>
  <c r="F50" i="138"/>
  <c r="F40" i="138" s="1"/>
  <c r="E47" i="138"/>
  <c r="E37" i="138" s="1"/>
  <c r="C47" i="138"/>
  <c r="C37" i="138" s="1"/>
  <c r="G46" i="138"/>
  <c r="G36" i="138" s="1"/>
  <c r="E46" i="138"/>
  <c r="E36" i="138" s="1"/>
  <c r="C46" i="138"/>
  <c r="C36" i="138" s="1"/>
  <c r="H9" i="43"/>
  <c r="K16" i="35"/>
  <c r="G26" i="138" l="1"/>
  <c r="C27" i="138"/>
  <c r="E27" i="138"/>
  <c r="F30" i="138"/>
  <c r="G30" i="138"/>
  <c r="E26" i="138"/>
  <c r="C26" i="138"/>
  <c r="G22" i="2"/>
  <c r="I22" i="2" s="1"/>
  <c r="G18" i="2"/>
  <c r="G16" i="2"/>
  <c r="K15" i="4"/>
  <c r="K18" i="4" s="1"/>
  <c r="K59" i="6"/>
  <c r="K56" i="6"/>
  <c r="K29" i="6"/>
  <c r="Q59" i="6"/>
  <c r="S29" i="6"/>
  <c r="S59" i="6"/>
  <c r="K26" i="5"/>
  <c r="K23" i="5"/>
  <c r="K12" i="5"/>
  <c r="M50" i="5"/>
  <c r="K14" i="12"/>
  <c r="O92" i="12"/>
  <c r="P92" i="12" s="1"/>
  <c r="O91" i="12"/>
  <c r="P91" i="12" s="1"/>
  <c r="N48" i="93"/>
  <c r="N47" i="93"/>
  <c r="N45" i="93"/>
  <c r="N44" i="93"/>
  <c r="N43" i="93"/>
  <c r="N42" i="93"/>
  <c r="N41" i="93"/>
  <c r="N40" i="93"/>
  <c r="N39" i="93"/>
  <c r="N38" i="93"/>
  <c r="N37" i="93"/>
  <c r="N36" i="93"/>
  <c r="N46" i="93"/>
  <c r="Q20" i="93"/>
  <c r="K26" i="93"/>
  <c r="K20" i="93"/>
  <c r="J33" i="54"/>
  <c r="K21" i="54"/>
  <c r="K105" i="66" s="1"/>
  <c r="K107" i="66" s="1"/>
  <c r="K18" i="53"/>
  <c r="K20" i="53" s="1"/>
  <c r="K15" i="52"/>
  <c r="Q61" i="51"/>
  <c r="S31" i="51"/>
  <c r="S56" i="51"/>
  <c r="S61" i="51"/>
  <c r="K61" i="51"/>
  <c r="K56" i="51"/>
  <c r="K31" i="51"/>
  <c r="K11" i="50"/>
  <c r="K14" i="50" s="1"/>
  <c r="K12" i="135"/>
  <c r="K15" i="135" s="1"/>
  <c r="K15" i="49"/>
  <c r="K27" i="49" s="1"/>
  <c r="K44" i="11"/>
  <c r="K41" i="11"/>
  <c r="K16" i="11"/>
  <c r="K12" i="10"/>
  <c r="K15" i="10" s="1"/>
  <c r="K85" i="66" s="1"/>
  <c r="K24" i="9"/>
  <c r="K11" i="9"/>
  <c r="K39" i="8"/>
  <c r="K22" i="8"/>
  <c r="M29" i="7"/>
  <c r="K16" i="7"/>
  <c r="K13" i="7"/>
  <c r="K25" i="22"/>
  <c r="K13" i="22"/>
  <c r="K18" i="18"/>
  <c r="K57" i="15"/>
  <c r="K53" i="15"/>
  <c r="K52" i="15"/>
  <c r="K51" i="15"/>
  <c r="K50" i="15"/>
  <c r="K49" i="15"/>
  <c r="K47" i="15"/>
  <c r="K46" i="15"/>
  <c r="K45" i="15"/>
  <c r="K44" i="15"/>
  <c r="K43" i="15"/>
  <c r="K42" i="15"/>
  <c r="K41" i="15"/>
  <c r="K40" i="15"/>
  <c r="K39" i="15"/>
  <c r="K38" i="15"/>
  <c r="K37" i="15"/>
  <c r="K36" i="15"/>
  <c r="K35" i="15"/>
  <c r="K34" i="15"/>
  <c r="K33" i="15"/>
  <c r="K32" i="15"/>
  <c r="K31" i="15"/>
  <c r="K30" i="15"/>
  <c r="K29" i="15"/>
  <c r="K28" i="15"/>
  <c r="K27" i="15"/>
  <c r="K26" i="15"/>
  <c r="K25" i="15"/>
  <c r="K24" i="15"/>
  <c r="K23" i="15"/>
  <c r="K22" i="15"/>
  <c r="K21" i="15"/>
  <c r="K20" i="15"/>
  <c r="K19" i="15"/>
  <c r="K16" i="15"/>
  <c r="K15" i="15"/>
  <c r="K14" i="15"/>
  <c r="K13" i="15"/>
  <c r="K12" i="15"/>
  <c r="K11" i="15"/>
  <c r="K10" i="15"/>
  <c r="K9" i="15"/>
  <c r="K13" i="23"/>
  <c r="K53" i="17"/>
  <c r="K50" i="17"/>
  <c r="K16" i="17"/>
  <c r="K22" i="56"/>
  <c r="K12" i="56"/>
  <c r="K14" i="13"/>
  <c r="K11" i="13"/>
  <c r="K17" i="86"/>
  <c r="K19" i="86" s="1"/>
  <c r="K10" i="86"/>
  <c r="K10" i="48"/>
  <c r="K12" i="48" s="1"/>
  <c r="M20" i="48"/>
  <c r="K19" i="47"/>
  <c r="K16" i="47"/>
  <c r="M23" i="46"/>
  <c r="M28" i="46" s="1"/>
  <c r="K14" i="46"/>
  <c r="K10" i="46"/>
  <c r="K10" i="45"/>
  <c r="K12" i="45" s="1"/>
  <c r="K62" i="66" s="1"/>
  <c r="K33" i="44"/>
  <c r="K20" i="44"/>
  <c r="K24" i="60"/>
  <c r="K19" i="60"/>
  <c r="K57" i="43"/>
  <c r="K59" i="66" s="1"/>
  <c r="K28" i="43"/>
  <c r="K15" i="41"/>
  <c r="K18" i="41" s="1"/>
  <c r="N63" i="40"/>
  <c r="N62" i="40"/>
  <c r="N61" i="40"/>
  <c r="N60" i="40"/>
  <c r="N59" i="40"/>
  <c r="N58" i="40"/>
  <c r="N57" i="40"/>
  <c r="N56" i="40"/>
  <c r="M53" i="40"/>
  <c r="M65" i="40" s="1"/>
  <c r="K30" i="40"/>
  <c r="K13" i="40"/>
  <c r="K36" i="38"/>
  <c r="K18" i="38"/>
  <c r="K21" i="77"/>
  <c r="K11" i="149"/>
  <c r="K13" i="36"/>
  <c r="K16" i="36" s="1"/>
  <c r="K46" i="66" s="1"/>
  <c r="M26" i="36"/>
  <c r="M61" i="35"/>
  <c r="K31" i="35"/>
  <c r="K40" i="34"/>
  <c r="K37" i="34"/>
  <c r="K16" i="34"/>
  <c r="K16" i="46" l="1"/>
  <c r="K63" i="66" s="1"/>
  <c r="M43" i="56"/>
  <c r="M41" i="77"/>
  <c r="K18" i="7"/>
  <c r="K77" i="66" s="1"/>
  <c r="J26" i="10"/>
  <c r="M23" i="50"/>
  <c r="K64" i="12"/>
  <c r="K112" i="66" s="1"/>
  <c r="M36" i="53"/>
  <c r="P94" i="12"/>
  <c r="O94" i="12"/>
  <c r="P93" i="12"/>
  <c r="O93" i="12"/>
  <c r="M55" i="149"/>
  <c r="M85" i="38"/>
  <c r="M52" i="5"/>
  <c r="K29" i="149"/>
  <c r="K47" i="66" s="1"/>
  <c r="K28" i="5"/>
  <c r="K114" i="66" s="1"/>
  <c r="M69" i="44"/>
  <c r="M52" i="9"/>
  <c r="K23" i="77"/>
  <c r="M75" i="87"/>
  <c r="M138" i="43"/>
  <c r="M61" i="60"/>
  <c r="K21" i="47"/>
  <c r="K20" i="23"/>
  <c r="M33" i="23"/>
  <c r="M34" i="18"/>
  <c r="M49" i="22"/>
  <c r="M85" i="8"/>
  <c r="I106" i="11"/>
  <c r="M59" i="49"/>
  <c r="K23" i="54"/>
  <c r="M36" i="4"/>
  <c r="K58" i="15"/>
  <c r="K41" i="8"/>
  <c r="K83" i="66" s="1"/>
  <c r="K87" i="66" s="1"/>
  <c r="M75" i="35"/>
  <c r="K46" i="11"/>
  <c r="K90" i="66" s="1"/>
  <c r="K20" i="18"/>
  <c r="K55" i="17"/>
  <c r="K17" i="15"/>
  <c r="K55" i="15"/>
  <c r="K54" i="43"/>
  <c r="K59" i="43" s="1"/>
  <c r="K58" i="66" s="1"/>
  <c r="K19" i="13"/>
  <c r="K61" i="6"/>
  <c r="K30" i="93"/>
  <c r="L248" i="66" s="1"/>
  <c r="L257" i="66" s="1"/>
  <c r="L259" i="66" s="1"/>
  <c r="K64" i="51"/>
  <c r="K98" i="66" s="1"/>
  <c r="K13" i="49"/>
  <c r="K29" i="49" s="1"/>
  <c r="K91" i="66" s="1"/>
  <c r="K26" i="9"/>
  <c r="K27" i="22"/>
  <c r="K24" i="56"/>
  <c r="K35" i="44"/>
  <c r="K61" i="66" s="1"/>
  <c r="K26" i="60"/>
  <c r="K32" i="40"/>
  <c r="K50" i="66" s="1"/>
  <c r="K38" i="38"/>
  <c r="K49" i="66" s="1"/>
  <c r="K33" i="35"/>
  <c r="K45" i="66" s="1"/>
  <c r="K42" i="34"/>
  <c r="K26" i="33"/>
  <c r="K11" i="33"/>
  <c r="K11" i="32"/>
  <c r="K14" i="32" s="1"/>
  <c r="K17" i="31"/>
  <c r="K20" i="31" s="1"/>
  <c r="K34" i="30"/>
  <c r="K19" i="30"/>
  <c r="K21" i="29"/>
  <c r="K10" i="29"/>
  <c r="O80" i="12"/>
  <c r="P80" i="12" s="1"/>
  <c r="D123" i="137" s="1"/>
  <c r="K95" i="66" l="1"/>
  <c r="K72" i="66"/>
  <c r="K118" i="66"/>
  <c r="K69" i="66"/>
  <c r="K79" i="66"/>
  <c r="I136" i="12"/>
  <c r="K23" i="29"/>
  <c r="M54" i="33"/>
  <c r="O58" i="11"/>
  <c r="O56" i="11"/>
  <c r="O76" i="12"/>
  <c r="P76" i="12" s="1"/>
  <c r="O36" i="60"/>
  <c r="O79" i="12"/>
  <c r="P79" i="12" s="1"/>
  <c r="O75" i="12"/>
  <c r="P75" i="12" s="1"/>
  <c r="O78" i="12"/>
  <c r="P78" i="12" s="1"/>
  <c r="O77" i="12"/>
  <c r="P77" i="12" s="1"/>
  <c r="M71" i="30"/>
  <c r="K28" i="33"/>
  <c r="K60" i="15"/>
  <c r="K36" i="30"/>
  <c r="K39" i="66" s="1"/>
  <c r="K55" i="66" s="1"/>
  <c r="K109" i="66" l="1"/>
  <c r="K134" i="66" s="1"/>
  <c r="J59" i="129"/>
  <c r="J45" i="129"/>
  <c r="J36" i="129"/>
  <c r="I27" i="66"/>
  <c r="I28" i="66"/>
  <c r="L16" i="66" l="1"/>
  <c r="L264" i="66"/>
  <c r="T194" i="66" l="1"/>
  <c r="T193" i="66"/>
  <c r="T192" i="66"/>
  <c r="T197" i="66" l="1"/>
  <c r="T198" i="66"/>
  <c r="N76" i="34" l="1"/>
  <c r="O76" i="34" l="1"/>
  <c r="P76" i="34" s="1"/>
  <c r="P7" i="66" l="1"/>
  <c r="Q7" i="66" s="1"/>
  <c r="B18" i="133"/>
  <c r="I30" i="15"/>
  <c r="U47" i="6" l="1"/>
  <c r="W47" i="6"/>
  <c r="X47" i="6"/>
  <c r="Q47" i="6" s="1"/>
  <c r="Y47" i="6"/>
  <c r="Z47" i="6"/>
  <c r="AA47" i="6"/>
  <c r="AB47" i="6"/>
  <c r="AC47" i="6"/>
  <c r="AD47" i="6"/>
  <c r="AE47" i="6"/>
  <c r="AF47" i="6"/>
  <c r="AG47" i="6"/>
  <c r="AH47" i="6"/>
  <c r="AI47" i="6"/>
  <c r="AJ47" i="6"/>
  <c r="AK47" i="6"/>
  <c r="AL47" i="6"/>
  <c r="AL46" i="6"/>
  <c r="AK46" i="6"/>
  <c r="AJ46" i="6"/>
  <c r="AI46" i="6"/>
  <c r="AH46" i="6"/>
  <c r="AG46" i="6"/>
  <c r="AF46" i="6"/>
  <c r="AE46" i="6"/>
  <c r="AD46" i="6"/>
  <c r="AC46" i="6"/>
  <c r="AB46" i="6"/>
  <c r="AA46" i="6"/>
  <c r="Z46" i="6"/>
  <c r="Y46" i="6"/>
  <c r="X46" i="6"/>
  <c r="Q46" i="6" s="1"/>
  <c r="W46" i="6"/>
  <c r="U46" i="6"/>
  <c r="P69" i="8" l="1"/>
  <c r="N68" i="8"/>
  <c r="P22" i="8"/>
  <c r="I22" i="8"/>
  <c r="H22" i="8"/>
  <c r="G22" i="8"/>
  <c r="N50" i="87"/>
  <c r="N51" i="87"/>
  <c r="O51" i="87" s="1"/>
  <c r="P51" i="87" s="1"/>
  <c r="N52" i="87"/>
  <c r="N53" i="87"/>
  <c r="O53" i="87" s="1"/>
  <c r="P53" i="87" s="1"/>
  <c r="N54" i="87"/>
  <c r="N55" i="87"/>
  <c r="O55" i="87" s="1"/>
  <c r="P55" i="87" s="1"/>
  <c r="N56" i="87"/>
  <c r="N57" i="87"/>
  <c r="O57" i="87" s="1"/>
  <c r="P57" i="87" s="1"/>
  <c r="N58" i="87"/>
  <c r="N59" i="87"/>
  <c r="O59" i="87" s="1"/>
  <c r="P59" i="87" s="1"/>
  <c r="N60" i="87"/>
  <c r="N61" i="87"/>
  <c r="O61" i="87" s="1"/>
  <c r="P61" i="87" s="1"/>
  <c r="N62" i="87"/>
  <c r="N63" i="87"/>
  <c r="N64" i="87"/>
  <c r="N65" i="87"/>
  <c r="O65" i="87" s="1"/>
  <c r="P65" i="87" s="1"/>
  <c r="N66" i="87"/>
  <c r="O66" i="87" s="1"/>
  <c r="P66" i="87" s="1"/>
  <c r="N67" i="87"/>
  <c r="O67" i="87" s="1"/>
  <c r="P67" i="87" s="1"/>
  <c r="N68" i="87"/>
  <c r="N69" i="87"/>
  <c r="O69" i="87" s="1"/>
  <c r="P69" i="87" s="1"/>
  <c r="N70" i="87"/>
  <c r="O70" i="87" s="1"/>
  <c r="P70" i="87" s="1"/>
  <c r="N71" i="87"/>
  <c r="O71" i="87" s="1"/>
  <c r="P71" i="87" s="1"/>
  <c r="N72" i="87"/>
  <c r="N73" i="87"/>
  <c r="O73" i="87" s="1"/>
  <c r="P73" i="87" s="1"/>
  <c r="O68" i="8" l="1"/>
  <c r="P68" i="8"/>
  <c r="O63" i="87"/>
  <c r="P63" i="87"/>
  <c r="O62" i="87"/>
  <c r="P62" i="87" s="1"/>
  <c r="O58" i="87"/>
  <c r="P58" i="87" s="1"/>
  <c r="O64" i="87"/>
  <c r="P64" i="87" s="1"/>
  <c r="O60" i="87"/>
  <c r="P60" i="87" s="1"/>
  <c r="O72" i="87"/>
  <c r="P72" i="87"/>
  <c r="O68" i="87"/>
  <c r="P68" i="87" s="1"/>
  <c r="O56" i="87"/>
  <c r="P56" i="87" s="1"/>
  <c r="O54" i="87"/>
  <c r="P54" i="87" s="1"/>
  <c r="O52" i="87"/>
  <c r="P52" i="87" s="1"/>
  <c r="O50" i="87"/>
  <c r="P50" i="87" s="1"/>
  <c r="O69" i="8"/>
  <c r="N36" i="47" l="1"/>
  <c r="G23" i="129"/>
  <c r="H23" i="129"/>
  <c r="P14" i="139"/>
  <c r="Q14" i="139"/>
  <c r="S14" i="139"/>
  <c r="P17" i="139"/>
  <c r="L28" i="139"/>
  <c r="O28" i="139" l="1"/>
  <c r="L30" i="139"/>
  <c r="O30" i="139" s="1"/>
  <c r="P30" i="139" s="1"/>
  <c r="Q17" i="139"/>
  <c r="R17" i="139" s="1"/>
  <c r="Q53" i="66" s="1"/>
  <c r="H17" i="104"/>
  <c r="P28" i="139"/>
  <c r="P53" i="66" l="1"/>
  <c r="L23" i="129"/>
  <c r="S17" i="139"/>
  <c r="T199" i="66"/>
  <c r="T257" i="66" s="1"/>
  <c r="M23" i="129" l="1"/>
  <c r="N23" i="129" s="1"/>
  <c r="O23" i="129" s="1"/>
  <c r="R53" i="66"/>
  <c r="N96" i="11"/>
  <c r="O88" i="11"/>
  <c r="N115" i="43"/>
  <c r="P88" i="11" l="1"/>
  <c r="N76" i="8" l="1"/>
  <c r="I18" i="38"/>
  <c r="H18" i="38"/>
  <c r="G18" i="38"/>
  <c r="P18" i="38"/>
  <c r="P16" i="35"/>
  <c r="O76" i="8" l="1"/>
  <c r="P76" i="8" s="1"/>
  <c r="N57" i="49"/>
  <c r="N56" i="49"/>
  <c r="N55" i="49"/>
  <c r="P55" i="49" s="1"/>
  <c r="N54" i="49"/>
  <c r="N53" i="49"/>
  <c r="N52" i="49"/>
  <c r="N51" i="49"/>
  <c r="N44" i="22" l="1"/>
  <c r="Q50" i="17"/>
  <c r="O101" i="17" l="1"/>
  <c r="P101" i="17" s="1"/>
  <c r="O44" i="22"/>
  <c r="P44" i="22" s="1"/>
  <c r="G71" i="33" l="1"/>
  <c r="H26" i="17" l="1"/>
  <c r="G26" i="17"/>
  <c r="N79" i="17"/>
  <c r="P30" i="15"/>
  <c r="Q30" i="15"/>
  <c r="O79" i="17" l="1"/>
  <c r="P79" i="17" s="1"/>
  <c r="G46" i="26" l="1"/>
  <c r="I73" i="66"/>
  <c r="Q23" i="5" l="1"/>
  <c r="Q12" i="5"/>
  <c r="B15" i="167" l="1"/>
  <c r="D15" i="167" l="1"/>
  <c r="I257" i="66"/>
  <c r="B108" i="141" l="1"/>
  <c r="B107" i="141"/>
  <c r="B106" i="141"/>
  <c r="M31" i="52"/>
  <c r="N30" i="86"/>
  <c r="N29" i="86"/>
  <c r="N28" i="86"/>
  <c r="N27" i="86"/>
  <c r="N26" i="86"/>
  <c r="O32" i="86" s="1"/>
  <c r="P32" i="86" s="1"/>
  <c r="N25" i="86"/>
  <c r="N35" i="47"/>
  <c r="N34" i="47"/>
  <c r="N33" i="47"/>
  <c r="N32" i="47"/>
  <c r="O32" i="47" s="1"/>
  <c r="N31" i="47"/>
  <c r="N30" i="47"/>
  <c r="M38" i="47"/>
  <c r="N29" i="47"/>
  <c r="N67" i="44"/>
  <c r="N66" i="44"/>
  <c r="N65" i="44"/>
  <c r="N64" i="44"/>
  <c r="N63" i="44"/>
  <c r="N62" i="44"/>
  <c r="N61" i="44"/>
  <c r="N60" i="44"/>
  <c r="N59" i="44"/>
  <c r="N58" i="44"/>
  <c r="N29" i="29"/>
  <c r="N40" i="29" s="1"/>
  <c r="O40" i="29" s="1"/>
  <c r="P40" i="29" s="1"/>
  <c r="R23" i="66"/>
  <c r="R10" i="66"/>
  <c r="H28" i="66"/>
  <c r="G28" i="66"/>
  <c r="F28" i="66"/>
  <c r="E28" i="66"/>
  <c r="D28" i="66"/>
  <c r="H27" i="66"/>
  <c r="G27" i="66"/>
  <c r="F27" i="66"/>
  <c r="E27" i="66"/>
  <c r="D27" i="66"/>
  <c r="C28" i="66"/>
  <c r="C27" i="66"/>
  <c r="I25" i="66"/>
  <c r="H25" i="66"/>
  <c r="F25" i="66"/>
  <c r="E25" i="66"/>
  <c r="D25" i="66"/>
  <c r="C25" i="66"/>
  <c r="I24" i="66"/>
  <c r="F24" i="66"/>
  <c r="E24" i="66"/>
  <c r="D24" i="66"/>
  <c r="C24" i="66"/>
  <c r="H19" i="66"/>
  <c r="G19" i="66"/>
  <c r="F19" i="66"/>
  <c r="E19" i="66"/>
  <c r="D19" i="66"/>
  <c r="C19" i="66"/>
  <c r="I18" i="66"/>
  <c r="H18" i="66"/>
  <c r="F18" i="66"/>
  <c r="E18" i="66"/>
  <c r="D18" i="66"/>
  <c r="C18" i="66"/>
  <c r="I16" i="66"/>
  <c r="H16" i="66"/>
  <c r="G16" i="66"/>
  <c r="F16" i="66"/>
  <c r="E16" i="66"/>
  <c r="D16" i="66"/>
  <c r="C16" i="66"/>
  <c r="H15" i="66"/>
  <c r="G15" i="66"/>
  <c r="F15" i="66"/>
  <c r="C15" i="66"/>
  <c r="I11" i="66"/>
  <c r="H11" i="66"/>
  <c r="G11" i="66"/>
  <c r="F11" i="66"/>
  <c r="E11" i="66"/>
  <c r="D11" i="66"/>
  <c r="C11" i="66"/>
  <c r="I9" i="66"/>
  <c r="H9" i="66"/>
  <c r="G9" i="66"/>
  <c r="F9" i="66"/>
  <c r="E9" i="66"/>
  <c r="D9" i="66"/>
  <c r="C9" i="66"/>
  <c r="G8" i="66"/>
  <c r="F8" i="66"/>
  <c r="E8" i="66"/>
  <c r="D8" i="66"/>
  <c r="C8" i="66"/>
  <c r="J85" i="26"/>
  <c r="J77" i="26"/>
  <c r="J25" i="26"/>
  <c r="J26" i="26" s="1"/>
  <c r="H26" i="26"/>
  <c r="C8" i="26"/>
  <c r="C9" i="26" s="1"/>
  <c r="B13" i="26"/>
  <c r="B16" i="26" s="1"/>
  <c r="C6" i="66" s="1"/>
  <c r="B25" i="26"/>
  <c r="B26" i="26" s="1"/>
  <c r="B29" i="26" s="1"/>
  <c r="C7" i="66" s="1"/>
  <c r="C25" i="26"/>
  <c r="C26" i="26" s="1"/>
  <c r="C29" i="26" s="1"/>
  <c r="D7" i="66" s="1"/>
  <c r="D25" i="26"/>
  <c r="D26" i="26" s="1"/>
  <c r="D29" i="26" s="1"/>
  <c r="E7" i="66" s="1"/>
  <c r="E25" i="26"/>
  <c r="E26" i="26" s="1"/>
  <c r="E29" i="26" s="1"/>
  <c r="F7" i="66" s="1"/>
  <c r="B46" i="26"/>
  <c r="B48" i="26" s="1"/>
  <c r="D46" i="26"/>
  <c r="D48" i="26" s="1"/>
  <c r="E46" i="26"/>
  <c r="E48" i="26" s="1"/>
  <c r="C48" i="26"/>
  <c r="B72" i="26"/>
  <c r="E72" i="26"/>
  <c r="B77" i="26"/>
  <c r="C77" i="26"/>
  <c r="D77" i="26"/>
  <c r="E77" i="26"/>
  <c r="B78" i="26"/>
  <c r="C78" i="26" s="1"/>
  <c r="D78" i="26" s="1"/>
  <c r="B85" i="26"/>
  <c r="C85" i="26"/>
  <c r="D85" i="26"/>
  <c r="E85" i="26"/>
  <c r="C13" i="26" l="1"/>
  <c r="C16" i="26" s="1"/>
  <c r="D6" i="66" s="1"/>
  <c r="D5" i="26"/>
  <c r="E78" i="26"/>
  <c r="L78" i="26"/>
  <c r="O30" i="47"/>
  <c r="P30" i="47" s="1"/>
  <c r="J29" i="26"/>
  <c r="L7" i="66" s="1"/>
  <c r="O34" i="47"/>
  <c r="P34" i="47" s="1"/>
  <c r="N38" i="47"/>
  <c r="O38" i="47" s="1"/>
  <c r="P38" i="47" s="1"/>
  <c r="D122" i="137"/>
  <c r="O29" i="47"/>
  <c r="P29" i="47" s="1"/>
  <c r="O33" i="47"/>
  <c r="P33" i="47" s="1"/>
  <c r="P32" i="47"/>
  <c r="O31" i="47"/>
  <c r="P31" i="47" s="1"/>
  <c r="O35" i="47"/>
  <c r="P35" i="47" s="1"/>
  <c r="O96" i="11"/>
  <c r="P96" i="11" s="1"/>
  <c r="P61" i="44"/>
  <c r="O115" i="43"/>
  <c r="P115" i="43" s="1"/>
  <c r="O67" i="44"/>
  <c r="P67" i="44" s="1"/>
  <c r="B79" i="26"/>
  <c r="B92" i="26" s="1"/>
  <c r="D8" i="26"/>
  <c r="D9" i="26" l="1"/>
  <c r="E8" i="26" l="1"/>
  <c r="E5" i="26"/>
  <c r="D13" i="26"/>
  <c r="D16" i="26" s="1"/>
  <c r="E6" i="66"/>
  <c r="E9" i="26"/>
  <c r="E13" i="26" l="1"/>
  <c r="E16" i="26" s="1"/>
  <c r="F5" i="26"/>
  <c r="E79" i="26"/>
  <c r="E92" i="26" s="1"/>
  <c r="F6" i="66"/>
  <c r="F46" i="26"/>
  <c r="C29" i="66"/>
  <c r="R25" i="66"/>
  <c r="R24" i="66"/>
  <c r="R16" i="66"/>
  <c r="R11" i="66"/>
  <c r="R9" i="66"/>
  <c r="R7" i="66"/>
  <c r="S7" i="66" s="1"/>
  <c r="H53" i="66"/>
  <c r="H15" i="4" l="1"/>
  <c r="H18" i="4" s="1"/>
  <c r="S56" i="6"/>
  <c r="H59" i="6"/>
  <c r="H56" i="6"/>
  <c r="H29" i="6"/>
  <c r="I23" i="5"/>
  <c r="I12" i="5"/>
  <c r="H26" i="5"/>
  <c r="G103" i="129" s="1"/>
  <c r="H23" i="5"/>
  <c r="H12" i="5"/>
  <c r="H12" i="11"/>
  <c r="H59" i="12"/>
  <c r="H14" i="12"/>
  <c r="H16" i="24"/>
  <c r="H47" i="24"/>
  <c r="I20" i="93"/>
  <c r="H26" i="93"/>
  <c r="H20" i="93"/>
  <c r="H21" i="54"/>
  <c r="H18" i="53"/>
  <c r="H20" i="53" s="1"/>
  <c r="H15" i="52"/>
  <c r="H61" i="51"/>
  <c r="H56" i="51"/>
  <c r="H31" i="51"/>
  <c r="H11" i="50"/>
  <c r="H14" i="50" s="1"/>
  <c r="H12" i="135"/>
  <c r="H15" i="135" s="1"/>
  <c r="H13" i="49"/>
  <c r="H27" i="49"/>
  <c r="H41" i="11"/>
  <c r="H16" i="11"/>
  <c r="H12" i="10"/>
  <c r="H15" i="10" s="1"/>
  <c r="H24" i="9"/>
  <c r="H11" i="9"/>
  <c r="H39" i="8"/>
  <c r="H13" i="7"/>
  <c r="H18" i="7" s="1"/>
  <c r="G44" i="129" s="1"/>
  <c r="H25" i="22"/>
  <c r="H13" i="22"/>
  <c r="H18" i="18"/>
  <c r="H12" i="18"/>
  <c r="I50" i="17"/>
  <c r="I16" i="17"/>
  <c r="H77" i="66" l="1"/>
  <c r="G58" i="129"/>
  <c r="H85" i="66"/>
  <c r="H104" i="66"/>
  <c r="G75" i="129"/>
  <c r="H20" i="18"/>
  <c r="G64" i="129"/>
  <c r="H92" i="66"/>
  <c r="G65" i="129"/>
  <c r="H93" i="66"/>
  <c r="H23" i="54"/>
  <c r="G76" i="129" s="1"/>
  <c r="H105" i="66"/>
  <c r="H116" i="66"/>
  <c r="G94" i="129"/>
  <c r="G72" i="129"/>
  <c r="H101" i="66"/>
  <c r="H27" i="22"/>
  <c r="H61" i="6"/>
  <c r="H28" i="5"/>
  <c r="H114" i="66" s="1"/>
  <c r="H64" i="12"/>
  <c r="H54" i="24"/>
  <c r="H121" i="66" s="1"/>
  <c r="H30" i="93"/>
  <c r="H64" i="51"/>
  <c r="H29" i="49"/>
  <c r="H46" i="11"/>
  <c r="H26" i="9"/>
  <c r="H41" i="8"/>
  <c r="H18" i="23"/>
  <c r="H13" i="23"/>
  <c r="H16" i="17"/>
  <c r="H50" i="17"/>
  <c r="H22" i="56"/>
  <c r="H12" i="56"/>
  <c r="H53" i="15"/>
  <c r="H52" i="15"/>
  <c r="H51" i="15"/>
  <c r="H50" i="15"/>
  <c r="H49" i="15"/>
  <c r="H47" i="15"/>
  <c r="H46" i="15"/>
  <c r="H45" i="15"/>
  <c r="H44" i="15"/>
  <c r="H43" i="15"/>
  <c r="H42" i="15"/>
  <c r="H41" i="15"/>
  <c r="H40" i="15"/>
  <c r="H39" i="15"/>
  <c r="H38" i="15"/>
  <c r="H37" i="15"/>
  <c r="H36" i="15"/>
  <c r="H35" i="15"/>
  <c r="H34" i="15"/>
  <c r="H33" i="15"/>
  <c r="H32" i="15"/>
  <c r="H31" i="15"/>
  <c r="H29" i="15"/>
  <c r="H28" i="15"/>
  <c r="H27" i="15"/>
  <c r="H26" i="15"/>
  <c r="H25" i="15"/>
  <c r="H24" i="15"/>
  <c r="H23" i="15"/>
  <c r="H22" i="15"/>
  <c r="H21" i="15"/>
  <c r="H20" i="15"/>
  <c r="H19" i="15"/>
  <c r="H16" i="15"/>
  <c r="H15" i="15"/>
  <c r="H14" i="15"/>
  <c r="H13" i="15"/>
  <c r="H12" i="15"/>
  <c r="H11" i="15"/>
  <c r="H10" i="15"/>
  <c r="H9" i="15"/>
  <c r="H14" i="13"/>
  <c r="H129" i="66" s="1"/>
  <c r="H11" i="13"/>
  <c r="H17" i="86"/>
  <c r="H10" i="86"/>
  <c r="H10" i="48"/>
  <c r="H12" i="48" s="1"/>
  <c r="H19" i="47"/>
  <c r="H65" i="66" s="1"/>
  <c r="H16" i="47"/>
  <c r="H64" i="66" s="1"/>
  <c r="H14" i="46"/>
  <c r="H10" i="46"/>
  <c r="H10" i="45"/>
  <c r="H12" i="45" s="1"/>
  <c r="H20" i="44"/>
  <c r="G20" i="44"/>
  <c r="F20" i="44"/>
  <c r="H33" i="44"/>
  <c r="H24" i="60"/>
  <c r="H19" i="60"/>
  <c r="H57" i="43"/>
  <c r="H54" i="43"/>
  <c r="H28" i="43"/>
  <c r="H39" i="87"/>
  <c r="H41" i="87" s="1"/>
  <c r="H15" i="41"/>
  <c r="H18" i="41" s="1"/>
  <c r="H30" i="40"/>
  <c r="H13" i="40"/>
  <c r="H36" i="38"/>
  <c r="H21" i="77"/>
  <c r="H27" i="149"/>
  <c r="H11" i="149"/>
  <c r="H13" i="36"/>
  <c r="H16" i="36" s="1"/>
  <c r="H16" i="35"/>
  <c r="H31" i="35"/>
  <c r="H37" i="34"/>
  <c r="H40" i="34"/>
  <c r="H44" i="66" s="1"/>
  <c r="H16" i="34"/>
  <c r="H26" i="33"/>
  <c r="H11" i="33"/>
  <c r="H11" i="32"/>
  <c r="H14" i="32" s="1"/>
  <c r="H17" i="31"/>
  <c r="H20" i="31" s="1"/>
  <c r="H34" i="30"/>
  <c r="H19" i="30"/>
  <c r="H10" i="29"/>
  <c r="H16" i="46" l="1"/>
  <c r="H24" i="56"/>
  <c r="G22" i="129"/>
  <c r="H52" i="66"/>
  <c r="G11" i="129"/>
  <c r="H40" i="66"/>
  <c r="G31" i="129"/>
  <c r="H62" i="66"/>
  <c r="H46" i="66"/>
  <c r="G16" i="129"/>
  <c r="H59" i="66"/>
  <c r="G28" i="129"/>
  <c r="G12" i="129"/>
  <c r="H41" i="66"/>
  <c r="H23" i="77"/>
  <c r="H48" i="66" s="1"/>
  <c r="G18" i="129"/>
  <c r="H59" i="43"/>
  <c r="H58" i="66" s="1"/>
  <c r="H63" i="66"/>
  <c r="G32" i="129"/>
  <c r="G34" i="129"/>
  <c r="H66" i="66"/>
  <c r="H98" i="66"/>
  <c r="G69" i="129"/>
  <c r="G102" i="129"/>
  <c r="G104" i="129" s="1"/>
  <c r="G57" i="129"/>
  <c r="G59" i="129" s="1"/>
  <c r="H84" i="66"/>
  <c r="H74" i="66"/>
  <c r="G41" i="129"/>
  <c r="H28" i="33"/>
  <c r="H42" i="66" s="1"/>
  <c r="G77" i="129"/>
  <c r="G21" i="129"/>
  <c r="H51" i="66"/>
  <c r="H21" i="47"/>
  <c r="G33" i="129" s="1"/>
  <c r="G63" i="129"/>
  <c r="H91" i="66"/>
  <c r="H107" i="66"/>
  <c r="H42" i="34"/>
  <c r="H115" i="66"/>
  <c r="G93" i="129"/>
  <c r="H90" i="66"/>
  <c r="G62" i="129"/>
  <c r="H75" i="66"/>
  <c r="G42" i="129"/>
  <c r="H112" i="66"/>
  <c r="G91" i="129"/>
  <c r="H83" i="66"/>
  <c r="G56" i="129"/>
  <c r="H19" i="13"/>
  <c r="H128" i="66"/>
  <c r="H130" i="66" s="1"/>
  <c r="I54" i="43"/>
  <c r="I20" i="44"/>
  <c r="H20" i="23"/>
  <c r="H55" i="17"/>
  <c r="H55" i="15"/>
  <c r="H17" i="15"/>
  <c r="H19" i="86"/>
  <c r="H35" i="44"/>
  <c r="H26" i="60"/>
  <c r="H32" i="40"/>
  <c r="H38" i="38"/>
  <c r="H29" i="149"/>
  <c r="H33" i="35"/>
  <c r="H36" i="30"/>
  <c r="H21" i="29"/>
  <c r="H23" i="29" s="1"/>
  <c r="I18" i="2"/>
  <c r="G27" i="129" l="1"/>
  <c r="G95" i="129"/>
  <c r="G106" i="129" s="1"/>
  <c r="H87" i="66"/>
  <c r="H118" i="66"/>
  <c r="H95" i="66"/>
  <c r="G13" i="129"/>
  <c r="G66" i="129"/>
  <c r="G15" i="129"/>
  <c r="H45" i="66"/>
  <c r="H38" i="66"/>
  <c r="G9" i="129"/>
  <c r="G35" i="129"/>
  <c r="H67" i="66"/>
  <c r="H49" i="66"/>
  <c r="G19" i="129"/>
  <c r="H60" i="66"/>
  <c r="G29" i="129"/>
  <c r="H61" i="66"/>
  <c r="G30" i="129"/>
  <c r="H47" i="66"/>
  <c r="G17" i="129"/>
  <c r="H39" i="66"/>
  <c r="G10" i="129"/>
  <c r="H50" i="66"/>
  <c r="G20" i="129"/>
  <c r="G14" i="129"/>
  <c r="H43" i="66"/>
  <c r="H60" i="15"/>
  <c r="G36" i="129" l="1"/>
  <c r="H55" i="66"/>
  <c r="H69" i="66"/>
  <c r="G24" i="129"/>
  <c r="H72" i="66"/>
  <c r="H79" i="66" s="1"/>
  <c r="G39" i="129"/>
  <c r="G45" i="129" s="1"/>
  <c r="H109" i="66" l="1"/>
  <c r="H134" i="66" s="1"/>
  <c r="B90" i="129"/>
  <c r="A91" i="129"/>
  <c r="A93" i="129"/>
  <c r="A94" i="129"/>
  <c r="G26" i="43" l="1"/>
  <c r="X208" i="66" l="1"/>
  <c r="I19" i="66" l="1"/>
  <c r="S201" i="66" l="1"/>
  <c r="S200" i="66"/>
  <c r="I22" i="144" l="1"/>
  <c r="H11" i="144"/>
  <c r="H13" i="144"/>
  <c r="H22" i="144" l="1"/>
  <c r="P57" i="15"/>
  <c r="P58" i="15" s="1"/>
  <c r="I57" i="15"/>
  <c r="P53" i="17"/>
  <c r="Q53" i="17"/>
  <c r="Q57" i="15" s="1"/>
  <c r="R57" i="15" s="1"/>
  <c r="R58" i="15" s="1"/>
  <c r="Q73" i="66" s="1"/>
  <c r="I53" i="17"/>
  <c r="S53" i="17" l="1"/>
  <c r="M40" i="129" s="1"/>
  <c r="N40" i="129" s="1"/>
  <c r="O40" i="129" s="1"/>
  <c r="L40" i="129"/>
  <c r="I58" i="15"/>
  <c r="Q58" i="15"/>
  <c r="P73" i="66" s="1"/>
  <c r="C72" i="143"/>
  <c r="S57" i="15"/>
  <c r="S58" i="15" l="1"/>
  <c r="R73" i="66" s="1"/>
  <c r="S56" i="43"/>
  <c r="S57" i="43" l="1"/>
  <c r="R59" i="66" s="1"/>
  <c r="M28" i="129" l="1"/>
  <c r="N28" i="129" s="1"/>
  <c r="O28" i="129" s="1"/>
  <c r="G65" i="66"/>
  <c r="F65" i="66"/>
  <c r="E65" i="66"/>
  <c r="D65" i="66"/>
  <c r="C65" i="66"/>
  <c r="G53" i="66"/>
  <c r="F53" i="66"/>
  <c r="E53" i="66"/>
  <c r="D53" i="66"/>
  <c r="C53" i="66"/>
  <c r="I53" i="66"/>
  <c r="E11" i="50" l="1"/>
  <c r="E14" i="50" s="1"/>
  <c r="E65" i="129" l="1"/>
  <c r="E93" i="66"/>
  <c r="S11" i="50"/>
  <c r="E36" i="38" l="1"/>
  <c r="E18" i="38"/>
  <c r="E21" i="77"/>
  <c r="E23" i="77" s="1"/>
  <c r="E48" i="66" l="1"/>
  <c r="E18" i="129"/>
  <c r="E38" i="38"/>
  <c r="Q15" i="44"/>
  <c r="E49" i="66" l="1"/>
  <c r="E19" i="129"/>
  <c r="O63" i="44" l="1"/>
  <c r="P63" i="44" s="1"/>
  <c r="G13" i="36"/>
  <c r="G16" i="36" s="1"/>
  <c r="G46" i="66" s="1"/>
  <c r="S148" i="66" l="1"/>
  <c r="Q57" i="43"/>
  <c r="R57" i="43" s="1"/>
  <c r="Q59" i="66" s="1"/>
  <c r="Q54" i="43"/>
  <c r="S54" i="43" l="1"/>
  <c r="R54" i="43"/>
  <c r="P59" i="66"/>
  <c r="L28" i="129"/>
  <c r="S149" i="66"/>
  <c r="S150" i="66"/>
  <c r="N43" i="9" l="1"/>
  <c r="O43" i="9" l="1"/>
  <c r="P43" i="9" s="1"/>
  <c r="C71" i="143" l="1"/>
  <c r="AI41" i="159" l="1"/>
  <c r="AH41" i="159"/>
  <c r="AG41" i="159"/>
  <c r="AF41" i="159"/>
  <c r="AE41" i="159"/>
  <c r="AD41" i="159"/>
  <c r="AC41" i="159"/>
  <c r="AB41" i="159"/>
  <c r="AA41" i="159"/>
  <c r="Z41" i="159"/>
  <c r="Y41" i="159"/>
  <c r="X41" i="159"/>
  <c r="W41" i="159"/>
  <c r="V41" i="159"/>
  <c r="U41" i="159"/>
  <c r="T41" i="159"/>
  <c r="S41" i="159"/>
  <c r="R41" i="159"/>
  <c r="Q41" i="159"/>
  <c r="P41" i="159"/>
  <c r="O41" i="159"/>
  <c r="N41" i="159"/>
  <c r="M41" i="159"/>
  <c r="L41" i="159"/>
  <c r="K41" i="159"/>
  <c r="J41" i="159"/>
  <c r="I41" i="159"/>
  <c r="H41" i="159"/>
  <c r="G41" i="159"/>
  <c r="F41" i="159"/>
  <c r="E41" i="159"/>
  <c r="AI40" i="159"/>
  <c r="AH40" i="159"/>
  <c r="AG40" i="159"/>
  <c r="AF40" i="159"/>
  <c r="AE40" i="159"/>
  <c r="AD40" i="159"/>
  <c r="AC40" i="159"/>
  <c r="AB40" i="159"/>
  <c r="AA40" i="159"/>
  <c r="Z40" i="159"/>
  <c r="Y40" i="159"/>
  <c r="X40" i="159"/>
  <c r="W40" i="159"/>
  <c r="V40" i="159"/>
  <c r="U40" i="159"/>
  <c r="T40" i="159"/>
  <c r="S40" i="159"/>
  <c r="R40" i="159"/>
  <c r="Q40" i="159"/>
  <c r="P40" i="159"/>
  <c r="O40" i="159"/>
  <c r="N40" i="159"/>
  <c r="M40" i="159"/>
  <c r="L40" i="159"/>
  <c r="K40" i="159"/>
  <c r="J40" i="159"/>
  <c r="I40" i="159"/>
  <c r="H40" i="159"/>
  <c r="G40" i="159"/>
  <c r="F40" i="159"/>
  <c r="E40" i="159"/>
  <c r="AI39" i="159"/>
  <c r="AH39" i="159"/>
  <c r="AG39" i="159"/>
  <c r="AF39" i="159"/>
  <c r="AE39" i="159"/>
  <c r="AD39" i="159"/>
  <c r="AC39" i="159"/>
  <c r="AB39" i="159"/>
  <c r="AA39" i="159"/>
  <c r="Z39" i="159"/>
  <c r="Y39" i="159"/>
  <c r="X39" i="159"/>
  <c r="W39" i="159"/>
  <c r="V39" i="159"/>
  <c r="U39" i="159"/>
  <c r="T39" i="159"/>
  <c r="S39" i="159"/>
  <c r="R39" i="159"/>
  <c r="Q39" i="159"/>
  <c r="P39" i="159"/>
  <c r="O39" i="159"/>
  <c r="N39" i="159"/>
  <c r="M39" i="159"/>
  <c r="L39" i="159"/>
  <c r="K39" i="159"/>
  <c r="J39" i="159"/>
  <c r="I39" i="159"/>
  <c r="H39" i="159"/>
  <c r="G39" i="159"/>
  <c r="F39" i="159"/>
  <c r="E39" i="159"/>
  <c r="AI38" i="159"/>
  <c r="AH38" i="159"/>
  <c r="AG38" i="159"/>
  <c r="AF38" i="159"/>
  <c r="AE38" i="159"/>
  <c r="AD38" i="159"/>
  <c r="AC38" i="159"/>
  <c r="AB38" i="159"/>
  <c r="AA38" i="159"/>
  <c r="Z38" i="159"/>
  <c r="Y38" i="159"/>
  <c r="X38" i="159"/>
  <c r="W38" i="159"/>
  <c r="V38" i="159"/>
  <c r="U38" i="159"/>
  <c r="T38" i="159"/>
  <c r="S38" i="159"/>
  <c r="R38" i="159"/>
  <c r="Q38" i="159"/>
  <c r="P38" i="159"/>
  <c r="O38" i="159"/>
  <c r="N38" i="159"/>
  <c r="M38" i="159"/>
  <c r="L38" i="159"/>
  <c r="K38" i="159"/>
  <c r="J38" i="159"/>
  <c r="I38" i="159"/>
  <c r="H38" i="159"/>
  <c r="G38" i="159"/>
  <c r="F38" i="159"/>
  <c r="E38" i="159"/>
  <c r="D41" i="159"/>
  <c r="D40" i="159"/>
  <c r="D39" i="159"/>
  <c r="D38" i="159"/>
  <c r="D124" i="159" l="1"/>
  <c r="AI37" i="159"/>
  <c r="AH37" i="159"/>
  <c r="AG37" i="159"/>
  <c r="AF37" i="159"/>
  <c r="AE37" i="159"/>
  <c r="AD37" i="159"/>
  <c r="AC37" i="159"/>
  <c r="AB37" i="159"/>
  <c r="AA37" i="159"/>
  <c r="Z37" i="159"/>
  <c r="Y37" i="159"/>
  <c r="X37" i="159"/>
  <c r="W37" i="159"/>
  <c r="V37" i="159"/>
  <c r="U37" i="159"/>
  <c r="T37" i="159"/>
  <c r="S37" i="159"/>
  <c r="R37" i="159"/>
  <c r="Q37" i="159"/>
  <c r="P37" i="159"/>
  <c r="O37" i="159"/>
  <c r="N37" i="159"/>
  <c r="M37" i="159"/>
  <c r="L37" i="159"/>
  <c r="K37" i="159"/>
  <c r="J37" i="159"/>
  <c r="I37" i="159"/>
  <c r="H37" i="159"/>
  <c r="G37" i="159"/>
  <c r="F37" i="159"/>
  <c r="E37" i="159"/>
  <c r="AI36" i="159"/>
  <c r="AH36" i="159"/>
  <c r="AG36" i="159"/>
  <c r="AF36" i="159"/>
  <c r="AE36" i="159"/>
  <c r="AD36" i="159"/>
  <c r="AC36" i="159"/>
  <c r="AB36" i="159"/>
  <c r="AA36" i="159"/>
  <c r="Z36" i="159"/>
  <c r="Y36" i="159"/>
  <c r="X36" i="159"/>
  <c r="W36" i="159"/>
  <c r="V36" i="159"/>
  <c r="U36" i="159"/>
  <c r="T36" i="159"/>
  <c r="S36" i="159"/>
  <c r="R36" i="159"/>
  <c r="Q36" i="159"/>
  <c r="P36" i="159"/>
  <c r="O36" i="159"/>
  <c r="N36" i="159"/>
  <c r="M36" i="159"/>
  <c r="L36" i="159"/>
  <c r="K36" i="159"/>
  <c r="J36" i="159"/>
  <c r="I36" i="159"/>
  <c r="H36" i="159"/>
  <c r="G36" i="159"/>
  <c r="F36" i="159"/>
  <c r="E36" i="159"/>
  <c r="D36" i="159"/>
  <c r="D37" i="159"/>
  <c r="AI30" i="159" l="1"/>
  <c r="AH30" i="159"/>
  <c r="AG30" i="159"/>
  <c r="AF30" i="159"/>
  <c r="AE30" i="159"/>
  <c r="AD30" i="159"/>
  <c r="AC30" i="159"/>
  <c r="AB30" i="159"/>
  <c r="AA30" i="159"/>
  <c r="Z30" i="159"/>
  <c r="Y30" i="159"/>
  <c r="X30" i="159"/>
  <c r="W30" i="159"/>
  <c r="V30" i="159"/>
  <c r="U30" i="159"/>
  <c r="T30" i="159"/>
  <c r="S30" i="159"/>
  <c r="R30" i="159"/>
  <c r="Q30" i="159"/>
  <c r="P30" i="159"/>
  <c r="O30" i="159"/>
  <c r="N30" i="159"/>
  <c r="M30" i="159"/>
  <c r="L30" i="159"/>
  <c r="K30" i="159"/>
  <c r="J30" i="159"/>
  <c r="I30" i="159"/>
  <c r="H30" i="159"/>
  <c r="G30" i="159"/>
  <c r="F30" i="159"/>
  <c r="E30" i="159"/>
  <c r="AI29" i="159"/>
  <c r="AH29" i="159"/>
  <c r="AG29" i="159"/>
  <c r="AF29" i="159"/>
  <c r="AE29" i="159"/>
  <c r="AD29" i="159"/>
  <c r="AC29" i="159"/>
  <c r="AB29" i="159"/>
  <c r="AA29" i="159"/>
  <c r="Z29" i="159"/>
  <c r="Y29" i="159"/>
  <c r="X29" i="159"/>
  <c r="W29" i="159"/>
  <c r="V29" i="159"/>
  <c r="U29" i="159"/>
  <c r="T29" i="159"/>
  <c r="S29" i="159"/>
  <c r="R29" i="159"/>
  <c r="Q29" i="159"/>
  <c r="P29" i="159"/>
  <c r="O29" i="159"/>
  <c r="N29" i="159"/>
  <c r="M29" i="159"/>
  <c r="L29" i="159"/>
  <c r="K29" i="159"/>
  <c r="J29" i="159"/>
  <c r="I29" i="159"/>
  <c r="H29" i="159"/>
  <c r="G29" i="159"/>
  <c r="F29" i="159"/>
  <c r="E29" i="159"/>
  <c r="AI28" i="159"/>
  <c r="AH28" i="159"/>
  <c r="AG28" i="159"/>
  <c r="AF28" i="159"/>
  <c r="AE28" i="159"/>
  <c r="AD28" i="159"/>
  <c r="AC28" i="159"/>
  <c r="AB28" i="159"/>
  <c r="AA28" i="159"/>
  <c r="Z28" i="159"/>
  <c r="Y28" i="159"/>
  <c r="X28" i="159"/>
  <c r="W28" i="159"/>
  <c r="V28" i="159"/>
  <c r="U28" i="159"/>
  <c r="T28" i="159"/>
  <c r="S28" i="159"/>
  <c r="R28" i="159"/>
  <c r="Q28" i="159"/>
  <c r="P28" i="159"/>
  <c r="O28" i="159"/>
  <c r="N28" i="159"/>
  <c r="M28" i="159"/>
  <c r="L28" i="159"/>
  <c r="K28" i="159"/>
  <c r="J28" i="159"/>
  <c r="I28" i="159"/>
  <c r="AI22" i="159"/>
  <c r="AH22" i="159"/>
  <c r="AG22" i="159"/>
  <c r="AF22" i="159"/>
  <c r="AE22" i="159"/>
  <c r="AD22" i="159"/>
  <c r="AC22" i="159"/>
  <c r="AB22" i="159"/>
  <c r="AA22" i="159"/>
  <c r="Z22" i="159"/>
  <c r="Y22" i="159"/>
  <c r="X22" i="159"/>
  <c r="W22" i="159"/>
  <c r="V22" i="159"/>
  <c r="U22" i="159"/>
  <c r="T22" i="159"/>
  <c r="S22" i="159"/>
  <c r="R22" i="159"/>
  <c r="Q22" i="159"/>
  <c r="P22" i="159"/>
  <c r="O22" i="159"/>
  <c r="N22" i="159"/>
  <c r="M22" i="159"/>
  <c r="L22" i="159"/>
  <c r="K22" i="159"/>
  <c r="J22" i="159"/>
  <c r="I22" i="159"/>
  <c r="H22" i="159"/>
  <c r="G22" i="159"/>
  <c r="F22" i="159"/>
  <c r="E22" i="159"/>
  <c r="AI21" i="159"/>
  <c r="AH21" i="159"/>
  <c r="AG21" i="159"/>
  <c r="AF21" i="159"/>
  <c r="AE21" i="159"/>
  <c r="AD21" i="159"/>
  <c r="AC21" i="159"/>
  <c r="AB21" i="159"/>
  <c r="AA21" i="159"/>
  <c r="Z21" i="159"/>
  <c r="Y21" i="159"/>
  <c r="X21" i="159"/>
  <c r="W21" i="159"/>
  <c r="V21" i="159"/>
  <c r="U21" i="159"/>
  <c r="T21" i="159"/>
  <c r="S21" i="159"/>
  <c r="R21" i="159"/>
  <c r="Q21" i="159"/>
  <c r="P21" i="159"/>
  <c r="O21" i="159"/>
  <c r="N21" i="159"/>
  <c r="M21" i="159"/>
  <c r="L21" i="159"/>
  <c r="D22" i="159"/>
  <c r="K86" i="159"/>
  <c r="J86" i="159"/>
  <c r="I86" i="159"/>
  <c r="H86" i="159"/>
  <c r="G86" i="159"/>
  <c r="F86" i="159"/>
  <c r="E86" i="159"/>
  <c r="D86" i="159"/>
  <c r="K65" i="159"/>
  <c r="K21" i="159" s="1"/>
  <c r="J65" i="159"/>
  <c r="J21" i="159" s="1"/>
  <c r="I65" i="159"/>
  <c r="I21" i="159" s="1"/>
  <c r="H65" i="159"/>
  <c r="H21" i="159" s="1"/>
  <c r="G65" i="159"/>
  <c r="G21" i="159" s="1"/>
  <c r="F65" i="159"/>
  <c r="F21" i="159" s="1"/>
  <c r="E65" i="159"/>
  <c r="E21" i="159" s="1"/>
  <c r="D65" i="159"/>
  <c r="D21" i="159" s="1"/>
  <c r="AI19" i="159"/>
  <c r="AH19" i="159"/>
  <c r="AG19" i="159"/>
  <c r="AF19" i="159"/>
  <c r="AE19" i="159"/>
  <c r="AD19" i="159"/>
  <c r="AC19" i="159"/>
  <c r="AB19" i="159"/>
  <c r="AA19" i="159"/>
  <c r="Z19" i="159"/>
  <c r="Y19" i="159"/>
  <c r="X19" i="159"/>
  <c r="W19" i="159"/>
  <c r="V19" i="159"/>
  <c r="U19" i="159"/>
  <c r="T19" i="159"/>
  <c r="S19" i="159"/>
  <c r="R19" i="159"/>
  <c r="Q19" i="159"/>
  <c r="P19" i="159"/>
  <c r="O19" i="159"/>
  <c r="N19" i="159"/>
  <c r="M19" i="159"/>
  <c r="L19" i="159"/>
  <c r="K19" i="159"/>
  <c r="J19" i="159"/>
  <c r="I19" i="159"/>
  <c r="H19" i="159"/>
  <c r="G19" i="159"/>
  <c r="F19" i="159"/>
  <c r="E19" i="159"/>
  <c r="AI18" i="159"/>
  <c r="AH18" i="159"/>
  <c r="AG18" i="159"/>
  <c r="AF18" i="159"/>
  <c r="AE18" i="159"/>
  <c r="AD18" i="159"/>
  <c r="AC18" i="159"/>
  <c r="AB18" i="159"/>
  <c r="AA18" i="159"/>
  <c r="Z18" i="159"/>
  <c r="Y18" i="159"/>
  <c r="X18" i="159"/>
  <c r="W18" i="159"/>
  <c r="V18" i="159"/>
  <c r="U18" i="159"/>
  <c r="T18" i="159"/>
  <c r="S18" i="159"/>
  <c r="R18" i="159"/>
  <c r="Q18" i="159"/>
  <c r="P18" i="159"/>
  <c r="O18" i="159"/>
  <c r="N18" i="159"/>
  <c r="M18" i="159"/>
  <c r="L18" i="159"/>
  <c r="K18" i="159"/>
  <c r="J18" i="159"/>
  <c r="I18" i="159"/>
  <c r="H18" i="159"/>
  <c r="G18" i="159"/>
  <c r="F18" i="159"/>
  <c r="E18" i="159"/>
  <c r="AI17" i="159"/>
  <c r="AH17" i="159"/>
  <c r="AG17" i="159"/>
  <c r="AF17" i="159"/>
  <c r="AE17" i="159"/>
  <c r="AD17" i="159"/>
  <c r="AC17" i="159"/>
  <c r="AB17" i="159"/>
  <c r="AA17" i="159"/>
  <c r="Z17" i="159"/>
  <c r="Y17" i="159"/>
  <c r="X17" i="159"/>
  <c r="W17" i="159"/>
  <c r="V17" i="159"/>
  <c r="U17" i="159"/>
  <c r="T17" i="159"/>
  <c r="S17" i="159"/>
  <c r="R17" i="159"/>
  <c r="Q17" i="159"/>
  <c r="P17" i="159"/>
  <c r="O17" i="159"/>
  <c r="N17" i="159"/>
  <c r="M17" i="159"/>
  <c r="L17" i="159"/>
  <c r="K17" i="159"/>
  <c r="J17" i="159"/>
  <c r="I17" i="159"/>
  <c r="H17" i="159"/>
  <c r="G17" i="159"/>
  <c r="F17" i="159"/>
  <c r="E17" i="159"/>
  <c r="AI16" i="159"/>
  <c r="AH16" i="159"/>
  <c r="AG16" i="159"/>
  <c r="AF16" i="159"/>
  <c r="AE16" i="159"/>
  <c r="AD16" i="159"/>
  <c r="AC16" i="159"/>
  <c r="AB16" i="159"/>
  <c r="AA16" i="159"/>
  <c r="Z16" i="159"/>
  <c r="Y16" i="159"/>
  <c r="X16" i="159"/>
  <c r="W16" i="159"/>
  <c r="V16" i="159"/>
  <c r="U16" i="159"/>
  <c r="T16" i="159"/>
  <c r="S16" i="159"/>
  <c r="R16" i="159"/>
  <c r="Q16" i="159"/>
  <c r="P16" i="159"/>
  <c r="O16" i="159"/>
  <c r="N16" i="159"/>
  <c r="M16" i="159"/>
  <c r="L16" i="159"/>
  <c r="K16" i="159"/>
  <c r="J16" i="159"/>
  <c r="I16" i="159"/>
  <c r="H16" i="159"/>
  <c r="G16" i="159"/>
  <c r="F16" i="159"/>
  <c r="E16" i="159"/>
  <c r="AI15" i="159"/>
  <c r="AH15" i="159"/>
  <c r="AG15" i="159"/>
  <c r="AF15" i="159"/>
  <c r="AE15" i="159"/>
  <c r="AD15" i="159"/>
  <c r="AC15" i="159"/>
  <c r="AB15" i="159"/>
  <c r="AA15" i="159"/>
  <c r="Z15" i="159"/>
  <c r="Y15" i="159"/>
  <c r="X15" i="159"/>
  <c r="W15" i="159"/>
  <c r="V15" i="159"/>
  <c r="U15" i="159"/>
  <c r="T15" i="159"/>
  <c r="S15" i="159"/>
  <c r="R15" i="159"/>
  <c r="Q15" i="159"/>
  <c r="P15" i="159"/>
  <c r="O15" i="159"/>
  <c r="N15" i="159"/>
  <c r="M15" i="159"/>
  <c r="L15" i="159"/>
  <c r="K15" i="159"/>
  <c r="J15" i="159"/>
  <c r="I15" i="159"/>
  <c r="H15" i="159"/>
  <c r="G15" i="159"/>
  <c r="F15" i="159"/>
  <c r="E15" i="159"/>
  <c r="AI14" i="159"/>
  <c r="AH14" i="159"/>
  <c r="AG14" i="159"/>
  <c r="AF14" i="159"/>
  <c r="AE14" i="159"/>
  <c r="AD14" i="159"/>
  <c r="AC14" i="159"/>
  <c r="AB14" i="159"/>
  <c r="AA14" i="159"/>
  <c r="Z14" i="159"/>
  <c r="Y14" i="159"/>
  <c r="X14" i="159"/>
  <c r="W14" i="159"/>
  <c r="V14" i="159"/>
  <c r="U14" i="159"/>
  <c r="T14" i="159"/>
  <c r="S14" i="159"/>
  <c r="R14" i="159"/>
  <c r="Q14" i="159"/>
  <c r="P14" i="159"/>
  <c r="O14" i="159"/>
  <c r="N14" i="159"/>
  <c r="M14" i="159"/>
  <c r="L14" i="159"/>
  <c r="K14" i="159"/>
  <c r="J14" i="159"/>
  <c r="I14" i="159"/>
  <c r="H14" i="159"/>
  <c r="G14" i="159"/>
  <c r="F14" i="159"/>
  <c r="E14" i="159"/>
  <c r="AI13" i="159"/>
  <c r="AH13" i="159"/>
  <c r="AG13" i="159"/>
  <c r="AF13" i="159"/>
  <c r="AE13" i="159"/>
  <c r="AD13" i="159"/>
  <c r="AC13" i="159"/>
  <c r="AB13" i="159"/>
  <c r="AA13" i="159"/>
  <c r="Z13" i="159"/>
  <c r="Y13" i="159"/>
  <c r="X13" i="159"/>
  <c r="W13" i="159"/>
  <c r="V13" i="159"/>
  <c r="U13" i="159"/>
  <c r="T13" i="159"/>
  <c r="S13" i="159"/>
  <c r="R13" i="159"/>
  <c r="Q13" i="159"/>
  <c r="P13" i="159"/>
  <c r="O13" i="159"/>
  <c r="N13" i="159"/>
  <c r="M13" i="159"/>
  <c r="D18" i="159"/>
  <c r="D17" i="159"/>
  <c r="D16" i="159"/>
  <c r="D15" i="159"/>
  <c r="D14" i="159"/>
  <c r="D19" i="159"/>
  <c r="D29" i="159" l="1"/>
  <c r="AI8" i="159"/>
  <c r="AH8" i="159"/>
  <c r="AG8" i="159"/>
  <c r="AF8" i="159"/>
  <c r="AE8" i="159"/>
  <c r="AD8" i="159"/>
  <c r="AC8" i="159"/>
  <c r="AB8" i="159"/>
  <c r="AA8" i="159"/>
  <c r="Z8" i="159"/>
  <c r="Y8" i="159"/>
  <c r="X8" i="159"/>
  <c r="W8" i="159"/>
  <c r="V8" i="159"/>
  <c r="U8" i="159"/>
  <c r="T8" i="159"/>
  <c r="S8" i="159"/>
  <c r="R8" i="159"/>
  <c r="Q8" i="159"/>
  <c r="P8" i="159"/>
  <c r="O8" i="159"/>
  <c r="N8" i="159"/>
  <c r="M8" i="159"/>
  <c r="AI7" i="159"/>
  <c r="AH7" i="159"/>
  <c r="AG7" i="159"/>
  <c r="AF7" i="159"/>
  <c r="AE7" i="159"/>
  <c r="AD7" i="159"/>
  <c r="AC7" i="159"/>
  <c r="AB7" i="159"/>
  <c r="AA7" i="159"/>
  <c r="Z7" i="159"/>
  <c r="Y7" i="159"/>
  <c r="X7" i="159"/>
  <c r="W7" i="159"/>
  <c r="V7" i="159"/>
  <c r="U7" i="159"/>
  <c r="T7" i="159"/>
  <c r="S7" i="159"/>
  <c r="R7" i="159"/>
  <c r="Q7" i="159"/>
  <c r="P7" i="159"/>
  <c r="O7" i="159"/>
  <c r="N7" i="159"/>
  <c r="M7" i="159"/>
  <c r="AI6" i="159"/>
  <c r="AH6" i="159"/>
  <c r="AG6" i="159"/>
  <c r="AF6" i="159"/>
  <c r="AE6" i="159"/>
  <c r="AD6" i="159"/>
  <c r="AC6" i="159"/>
  <c r="AB6" i="159"/>
  <c r="AA6" i="159"/>
  <c r="Z6" i="159"/>
  <c r="Y6" i="159"/>
  <c r="X6" i="159"/>
  <c r="W6" i="159"/>
  <c r="V6" i="159"/>
  <c r="U6" i="159"/>
  <c r="T6" i="159"/>
  <c r="S6" i="159"/>
  <c r="R6" i="159"/>
  <c r="Q6" i="159"/>
  <c r="P6" i="159"/>
  <c r="O6" i="159"/>
  <c r="N6" i="159"/>
  <c r="M6" i="159"/>
  <c r="L6" i="159"/>
  <c r="K6" i="159"/>
  <c r="J6" i="159"/>
  <c r="I6" i="159"/>
  <c r="H6" i="159"/>
  <c r="G6" i="159"/>
  <c r="F6" i="159"/>
  <c r="E6" i="159"/>
  <c r="D20" i="159"/>
  <c r="AI162" i="159" l="1"/>
  <c r="AH162" i="159"/>
  <c r="AG162" i="159"/>
  <c r="AF162" i="159"/>
  <c r="AE162" i="159"/>
  <c r="AD162" i="159"/>
  <c r="AC162" i="159"/>
  <c r="AB162" i="159"/>
  <c r="AA162" i="159"/>
  <c r="Z162" i="159"/>
  <c r="Y162" i="159"/>
  <c r="X162" i="159"/>
  <c r="W162" i="159"/>
  <c r="V162" i="159"/>
  <c r="U162" i="159"/>
  <c r="T162" i="159"/>
  <c r="S162" i="159"/>
  <c r="R162" i="159"/>
  <c r="Q162" i="159"/>
  <c r="P162" i="159"/>
  <c r="O162" i="159"/>
  <c r="N162" i="159"/>
  <c r="M162" i="159"/>
  <c r="L162" i="159"/>
  <c r="K162" i="159"/>
  <c r="J162" i="159"/>
  <c r="I162" i="159"/>
  <c r="H162" i="159"/>
  <c r="G162" i="159"/>
  <c r="F162" i="159"/>
  <c r="E162" i="159"/>
  <c r="D162" i="159"/>
  <c r="C162" i="159"/>
  <c r="C178" i="159" s="1"/>
  <c r="C119" i="159" s="1"/>
  <c r="AI161" i="159"/>
  <c r="AI177" i="159" s="1"/>
  <c r="AI118" i="159" s="1"/>
  <c r="AH161" i="159"/>
  <c r="AG161" i="159"/>
  <c r="AG177" i="159" s="1"/>
  <c r="AG118" i="159" s="1"/>
  <c r="AF161" i="159"/>
  <c r="AE161" i="159"/>
  <c r="AE177" i="159" s="1"/>
  <c r="AE118" i="159" s="1"/>
  <c r="AD161" i="159"/>
  <c r="AC161" i="159"/>
  <c r="AC177" i="159" s="1"/>
  <c r="AC118" i="159" s="1"/>
  <c r="AB161" i="159"/>
  <c r="AA161" i="159"/>
  <c r="AA177" i="159" s="1"/>
  <c r="AA118" i="159" s="1"/>
  <c r="Z161" i="159"/>
  <c r="Y161" i="159"/>
  <c r="Y177" i="159" s="1"/>
  <c r="Y118" i="159" s="1"/>
  <c r="X161" i="159"/>
  <c r="W161" i="159"/>
  <c r="W177" i="159" s="1"/>
  <c r="W118" i="159" s="1"/>
  <c r="V161" i="159"/>
  <c r="U161" i="159"/>
  <c r="U177" i="159" s="1"/>
  <c r="U118" i="159" s="1"/>
  <c r="T161" i="159"/>
  <c r="S161" i="159"/>
  <c r="S177" i="159" s="1"/>
  <c r="S118" i="159" s="1"/>
  <c r="R161" i="159"/>
  <c r="Q161" i="159"/>
  <c r="Q177" i="159" s="1"/>
  <c r="Q118" i="159" s="1"/>
  <c r="P161" i="159"/>
  <c r="O161" i="159"/>
  <c r="O177" i="159" s="1"/>
  <c r="O118" i="159" s="1"/>
  <c r="N161" i="159"/>
  <c r="M161" i="159"/>
  <c r="M177" i="159" s="1"/>
  <c r="M118" i="159" s="1"/>
  <c r="L161" i="159"/>
  <c r="K161" i="159"/>
  <c r="K177" i="159" s="1"/>
  <c r="K118" i="159" s="1"/>
  <c r="J161" i="159"/>
  <c r="I161" i="159"/>
  <c r="I177" i="159" s="1"/>
  <c r="I118" i="159" s="1"/>
  <c r="H161" i="159"/>
  <c r="G161" i="159"/>
  <c r="G177" i="159" s="1"/>
  <c r="G118" i="159" s="1"/>
  <c r="F161" i="159"/>
  <c r="E161" i="159"/>
  <c r="E177" i="159" s="1"/>
  <c r="E118" i="159" s="1"/>
  <c r="D161" i="159"/>
  <c r="C161" i="159"/>
  <c r="C177" i="159" s="1"/>
  <c r="C118" i="159" s="1"/>
  <c r="AI160" i="159"/>
  <c r="AH160" i="159"/>
  <c r="AG160" i="159"/>
  <c r="AG176" i="159" s="1"/>
  <c r="AG117" i="159" s="1"/>
  <c r="AF160" i="159"/>
  <c r="AF176" i="159" s="1"/>
  <c r="AF117" i="159" s="1"/>
  <c r="AE160" i="159"/>
  <c r="AD160" i="159"/>
  <c r="AC160" i="159"/>
  <c r="AC176" i="159" s="1"/>
  <c r="AC117" i="159" s="1"/>
  <c r="AB160" i="159"/>
  <c r="AB176" i="159" s="1"/>
  <c r="AB117" i="159" s="1"/>
  <c r="AA160" i="159"/>
  <c r="Z160" i="159"/>
  <c r="Y160" i="159"/>
  <c r="Y176" i="159" s="1"/>
  <c r="Y117" i="159" s="1"/>
  <c r="X160" i="159"/>
  <c r="X176" i="159" s="1"/>
  <c r="X117" i="159" s="1"/>
  <c r="W160" i="159"/>
  <c r="V160" i="159"/>
  <c r="U160" i="159"/>
  <c r="U176" i="159" s="1"/>
  <c r="U117" i="159" s="1"/>
  <c r="T160" i="159"/>
  <c r="T176" i="159" s="1"/>
  <c r="T117" i="159" s="1"/>
  <c r="S160" i="159"/>
  <c r="R160" i="159"/>
  <c r="Q160" i="159"/>
  <c r="Q176" i="159" s="1"/>
  <c r="Q117" i="159" s="1"/>
  <c r="P160" i="159"/>
  <c r="P176" i="159" s="1"/>
  <c r="P117" i="159" s="1"/>
  <c r="O160" i="159"/>
  <c r="N160" i="159"/>
  <c r="M160" i="159"/>
  <c r="M176" i="159" s="1"/>
  <c r="M117" i="159" s="1"/>
  <c r="L160" i="159"/>
  <c r="L176" i="159" s="1"/>
  <c r="L117" i="159" s="1"/>
  <c r="K160" i="159"/>
  <c r="J160" i="159"/>
  <c r="I160" i="159"/>
  <c r="I176" i="159" s="1"/>
  <c r="I117" i="159" s="1"/>
  <c r="H160" i="159"/>
  <c r="H176" i="159" s="1"/>
  <c r="H117" i="159" s="1"/>
  <c r="G160" i="159"/>
  <c r="G176" i="159" s="1"/>
  <c r="G117" i="159" s="1"/>
  <c r="F160" i="159"/>
  <c r="E160" i="159"/>
  <c r="E176" i="159" s="1"/>
  <c r="E117" i="159" s="1"/>
  <c r="D160" i="159"/>
  <c r="D176" i="159" s="1"/>
  <c r="D117" i="159" s="1"/>
  <c r="C160" i="159"/>
  <c r="C176" i="159" s="1"/>
  <c r="C117" i="159" s="1"/>
  <c r="AI159" i="159"/>
  <c r="AI175" i="159" s="1"/>
  <c r="AI116" i="159" s="1"/>
  <c r="AH159" i="159"/>
  <c r="AG159" i="159"/>
  <c r="AG175" i="159" s="1"/>
  <c r="AG116" i="159" s="1"/>
  <c r="AF159" i="159"/>
  <c r="AE159" i="159"/>
  <c r="AE175" i="159" s="1"/>
  <c r="AE116" i="159" s="1"/>
  <c r="AD159" i="159"/>
  <c r="AC159" i="159"/>
  <c r="AC175" i="159" s="1"/>
  <c r="AC116" i="159" s="1"/>
  <c r="AB159" i="159"/>
  <c r="AA159" i="159"/>
  <c r="AA175" i="159" s="1"/>
  <c r="AA116" i="159" s="1"/>
  <c r="Z159" i="159"/>
  <c r="Y159" i="159"/>
  <c r="Y175" i="159" s="1"/>
  <c r="Y116" i="159" s="1"/>
  <c r="X159" i="159"/>
  <c r="W159" i="159"/>
  <c r="W175" i="159" s="1"/>
  <c r="W116" i="159" s="1"/>
  <c r="V159" i="159"/>
  <c r="U159" i="159"/>
  <c r="U175" i="159" s="1"/>
  <c r="U116" i="159" s="1"/>
  <c r="T159" i="159"/>
  <c r="S159" i="159"/>
  <c r="S175" i="159" s="1"/>
  <c r="S116" i="159" s="1"/>
  <c r="R159" i="159"/>
  <c r="Q159" i="159"/>
  <c r="Q175" i="159" s="1"/>
  <c r="Q116" i="159" s="1"/>
  <c r="P159" i="159"/>
  <c r="O159" i="159"/>
  <c r="O175" i="159" s="1"/>
  <c r="O116" i="159" s="1"/>
  <c r="N159" i="159"/>
  <c r="M159" i="159"/>
  <c r="M175" i="159" s="1"/>
  <c r="M116" i="159" s="1"/>
  <c r="L159" i="159"/>
  <c r="K159" i="159"/>
  <c r="K175" i="159" s="1"/>
  <c r="K116" i="159" s="1"/>
  <c r="J159" i="159"/>
  <c r="I159" i="159"/>
  <c r="I175" i="159" s="1"/>
  <c r="I116" i="159" s="1"/>
  <c r="H159" i="159"/>
  <c r="G159" i="159"/>
  <c r="G175" i="159" s="1"/>
  <c r="G116" i="159" s="1"/>
  <c r="F159" i="159"/>
  <c r="E159" i="159"/>
  <c r="E175" i="159" s="1"/>
  <c r="E116" i="159" s="1"/>
  <c r="D159" i="159"/>
  <c r="C159" i="159"/>
  <c r="C175" i="159" s="1"/>
  <c r="C116" i="159" s="1"/>
  <c r="AI158" i="159"/>
  <c r="AI174" i="159" s="1"/>
  <c r="AI115" i="159" s="1"/>
  <c r="AH158" i="159"/>
  <c r="AG158" i="159"/>
  <c r="AG174" i="159" s="1"/>
  <c r="AG115" i="159" s="1"/>
  <c r="AF158" i="159"/>
  <c r="AE158" i="159"/>
  <c r="AE174" i="159" s="1"/>
  <c r="AE115" i="159" s="1"/>
  <c r="AD158" i="159"/>
  <c r="AC158" i="159"/>
  <c r="AC174" i="159" s="1"/>
  <c r="AC115" i="159" s="1"/>
  <c r="AB158" i="159"/>
  <c r="AA158" i="159"/>
  <c r="AA174" i="159" s="1"/>
  <c r="AA115" i="159" s="1"/>
  <c r="Z158" i="159"/>
  <c r="Y158" i="159"/>
  <c r="Y174" i="159" s="1"/>
  <c r="Y115" i="159" s="1"/>
  <c r="X158" i="159"/>
  <c r="W158" i="159"/>
  <c r="W174" i="159" s="1"/>
  <c r="W115" i="159" s="1"/>
  <c r="V158" i="159"/>
  <c r="U158" i="159"/>
  <c r="U174" i="159" s="1"/>
  <c r="U115" i="159" s="1"/>
  <c r="T158" i="159"/>
  <c r="T174" i="159" s="1"/>
  <c r="T115" i="159" s="1"/>
  <c r="S158" i="159"/>
  <c r="S174" i="159" s="1"/>
  <c r="S115" i="159" s="1"/>
  <c r="R158" i="159"/>
  <c r="Q158" i="159"/>
  <c r="Q174" i="159" s="1"/>
  <c r="Q115" i="159" s="1"/>
  <c r="P158" i="159"/>
  <c r="P174" i="159" s="1"/>
  <c r="P115" i="159" s="1"/>
  <c r="O158" i="159"/>
  <c r="O174" i="159" s="1"/>
  <c r="O115" i="159" s="1"/>
  <c r="N158" i="159"/>
  <c r="M158" i="159"/>
  <c r="M174" i="159" s="1"/>
  <c r="M115" i="159" s="1"/>
  <c r="L158" i="159"/>
  <c r="L174" i="159" s="1"/>
  <c r="L115" i="159" s="1"/>
  <c r="K158" i="159"/>
  <c r="K174" i="159" s="1"/>
  <c r="K115" i="159" s="1"/>
  <c r="J158" i="159"/>
  <c r="I158" i="159"/>
  <c r="I174" i="159" s="1"/>
  <c r="I115" i="159" s="1"/>
  <c r="H158" i="159"/>
  <c r="H174" i="159" s="1"/>
  <c r="H115" i="159" s="1"/>
  <c r="G158" i="159"/>
  <c r="G174" i="159" s="1"/>
  <c r="G115" i="159" s="1"/>
  <c r="F158" i="159"/>
  <c r="E158" i="159"/>
  <c r="E174" i="159" s="1"/>
  <c r="E115" i="159" s="1"/>
  <c r="D158" i="159"/>
  <c r="D174" i="159" s="1"/>
  <c r="D115" i="159" s="1"/>
  <c r="C158" i="159"/>
  <c r="C174" i="159" s="1"/>
  <c r="C115" i="159" s="1"/>
  <c r="AI157" i="159"/>
  <c r="AI173" i="159" s="1"/>
  <c r="AI114" i="159" s="1"/>
  <c r="AH157" i="159"/>
  <c r="AH72" i="159" s="1"/>
  <c r="AG157" i="159"/>
  <c r="AG173" i="159" s="1"/>
  <c r="AF157" i="159"/>
  <c r="AF173" i="159" s="1"/>
  <c r="AF114" i="159" s="1"/>
  <c r="AE157" i="159"/>
  <c r="AE173" i="159" s="1"/>
  <c r="AE114" i="159" s="1"/>
  <c r="AD157" i="159"/>
  <c r="AD72" i="159" s="1"/>
  <c r="AC157" i="159"/>
  <c r="AC173" i="159" s="1"/>
  <c r="AB157" i="159"/>
  <c r="AB173" i="159" s="1"/>
  <c r="AB114" i="159" s="1"/>
  <c r="AA157" i="159"/>
  <c r="AA173" i="159" s="1"/>
  <c r="AA114" i="159" s="1"/>
  <c r="Z157" i="159"/>
  <c r="Z72" i="159" s="1"/>
  <c r="Y157" i="159"/>
  <c r="Y173" i="159" s="1"/>
  <c r="X157" i="159"/>
  <c r="X173" i="159" s="1"/>
  <c r="X114" i="159" s="1"/>
  <c r="W157" i="159"/>
  <c r="W173" i="159" s="1"/>
  <c r="W114" i="159" s="1"/>
  <c r="V157" i="159"/>
  <c r="V72" i="159" s="1"/>
  <c r="U157" i="159"/>
  <c r="U173" i="159" s="1"/>
  <c r="T157" i="159"/>
  <c r="T173" i="159" s="1"/>
  <c r="T114" i="159" s="1"/>
  <c r="S157" i="159"/>
  <c r="S173" i="159" s="1"/>
  <c r="S114" i="159" s="1"/>
  <c r="R157" i="159"/>
  <c r="R72" i="159" s="1"/>
  <c r="Q157" i="159"/>
  <c r="Q173" i="159" s="1"/>
  <c r="P157" i="159"/>
  <c r="P173" i="159" s="1"/>
  <c r="P114" i="159" s="1"/>
  <c r="O157" i="159"/>
  <c r="O173" i="159" s="1"/>
  <c r="O114" i="159" s="1"/>
  <c r="N157" i="159"/>
  <c r="N72" i="159" s="1"/>
  <c r="M157" i="159"/>
  <c r="M173" i="159" s="1"/>
  <c r="L157" i="159"/>
  <c r="L173" i="159" s="1"/>
  <c r="L114" i="159" s="1"/>
  <c r="K157" i="159"/>
  <c r="K173" i="159" s="1"/>
  <c r="K114" i="159" s="1"/>
  <c r="J157" i="159"/>
  <c r="J72" i="159" s="1"/>
  <c r="I157" i="159"/>
  <c r="I173" i="159" s="1"/>
  <c r="H157" i="159"/>
  <c r="H173" i="159" s="1"/>
  <c r="H114" i="159" s="1"/>
  <c r="G157" i="159"/>
  <c r="G173" i="159" s="1"/>
  <c r="G114" i="159" s="1"/>
  <c r="F157" i="159"/>
  <c r="F72" i="159" s="1"/>
  <c r="E157" i="159"/>
  <c r="E173" i="159" s="1"/>
  <c r="D157" i="159"/>
  <c r="D173" i="159" s="1"/>
  <c r="D114" i="159" s="1"/>
  <c r="C157" i="159"/>
  <c r="AI154" i="159"/>
  <c r="AH154" i="159"/>
  <c r="AG154" i="159"/>
  <c r="AG12" i="159" s="1"/>
  <c r="AF154" i="159"/>
  <c r="AE154" i="159"/>
  <c r="AD154" i="159"/>
  <c r="AC154" i="159"/>
  <c r="AC12" i="159" s="1"/>
  <c r="AB154" i="159"/>
  <c r="AA154" i="159"/>
  <c r="Z154" i="159"/>
  <c r="Y154" i="159"/>
  <c r="Y12" i="159" s="1"/>
  <c r="X154" i="159"/>
  <c r="W154" i="159"/>
  <c r="V154" i="159"/>
  <c r="U154" i="159"/>
  <c r="U12" i="159" s="1"/>
  <c r="T154" i="159"/>
  <c r="S154" i="159"/>
  <c r="R154" i="159"/>
  <c r="Q154" i="159"/>
  <c r="Q12" i="159" s="1"/>
  <c r="P154" i="159"/>
  <c r="O154" i="159"/>
  <c r="N154" i="159"/>
  <c r="M154" i="159"/>
  <c r="M12" i="159" s="1"/>
  <c r="L154" i="159"/>
  <c r="K154" i="159"/>
  <c r="J154" i="159"/>
  <c r="I154" i="159"/>
  <c r="I12" i="159" s="1"/>
  <c r="H154" i="159"/>
  <c r="G154" i="159"/>
  <c r="F154" i="159"/>
  <c r="E154" i="159"/>
  <c r="E12" i="159" s="1"/>
  <c r="D154" i="159"/>
  <c r="C154" i="159"/>
  <c r="C170" i="159" s="1"/>
  <c r="C99" i="159" s="1"/>
  <c r="AI153" i="159"/>
  <c r="AH153" i="159"/>
  <c r="AG153" i="159"/>
  <c r="AF153" i="159"/>
  <c r="AE153" i="159"/>
  <c r="AD153" i="159"/>
  <c r="AC153" i="159"/>
  <c r="AC11" i="159" s="1"/>
  <c r="AB153" i="159"/>
  <c r="AA153" i="159"/>
  <c r="Z153" i="159"/>
  <c r="Y153" i="159"/>
  <c r="X153" i="159"/>
  <c r="W153" i="159"/>
  <c r="V153" i="159"/>
  <c r="U153" i="159"/>
  <c r="U11" i="159" s="1"/>
  <c r="T153" i="159"/>
  <c r="S153" i="159"/>
  <c r="R153" i="159"/>
  <c r="Q153" i="159"/>
  <c r="P153" i="159"/>
  <c r="O153" i="159"/>
  <c r="N153" i="159"/>
  <c r="M153" i="159"/>
  <c r="M11" i="159" s="1"/>
  <c r="L153" i="159"/>
  <c r="K153" i="159"/>
  <c r="J153" i="159"/>
  <c r="I153" i="159"/>
  <c r="H153" i="159"/>
  <c r="G153" i="159"/>
  <c r="F153" i="159"/>
  <c r="E153" i="159"/>
  <c r="E11" i="159" s="1"/>
  <c r="D153" i="159"/>
  <c r="C153" i="159"/>
  <c r="C169" i="159" s="1"/>
  <c r="C98" i="159" s="1"/>
  <c r="AI152" i="159"/>
  <c r="AH152" i="159"/>
  <c r="AG152" i="159"/>
  <c r="AF152" i="159"/>
  <c r="AE152" i="159"/>
  <c r="AD152" i="159"/>
  <c r="AC152" i="159"/>
  <c r="AC10" i="159" s="1"/>
  <c r="AB152" i="159"/>
  <c r="AA152" i="159"/>
  <c r="Z152" i="159"/>
  <c r="Y152" i="159"/>
  <c r="X152" i="159"/>
  <c r="W152" i="159"/>
  <c r="V152" i="159"/>
  <c r="U152" i="159"/>
  <c r="U10" i="159" s="1"/>
  <c r="T152" i="159"/>
  <c r="S152" i="159"/>
  <c r="R152" i="159"/>
  <c r="Q152" i="159"/>
  <c r="P152" i="159"/>
  <c r="O152" i="159"/>
  <c r="N152" i="159"/>
  <c r="M152" i="159"/>
  <c r="M10" i="159" s="1"/>
  <c r="L152" i="159"/>
  <c r="K152" i="159"/>
  <c r="J152" i="159"/>
  <c r="I152" i="159"/>
  <c r="H152" i="159"/>
  <c r="G152" i="159"/>
  <c r="F152" i="159"/>
  <c r="E152" i="159"/>
  <c r="E10" i="159" s="1"/>
  <c r="D152" i="159"/>
  <c r="C152" i="159"/>
  <c r="AI151" i="159"/>
  <c r="AH151" i="159"/>
  <c r="AG151" i="159"/>
  <c r="AF151" i="159"/>
  <c r="AE151" i="159"/>
  <c r="AD151" i="159"/>
  <c r="AC151" i="159"/>
  <c r="AB151" i="159"/>
  <c r="AA151" i="159"/>
  <c r="Z151" i="159"/>
  <c r="Y151" i="159"/>
  <c r="X151" i="159"/>
  <c r="W151" i="159"/>
  <c r="V151" i="159"/>
  <c r="U151" i="159"/>
  <c r="T151" i="159"/>
  <c r="S151" i="159"/>
  <c r="R151" i="159"/>
  <c r="Q151" i="159"/>
  <c r="P151" i="159"/>
  <c r="O151" i="159"/>
  <c r="N151" i="159"/>
  <c r="M151" i="159"/>
  <c r="L151" i="159"/>
  <c r="K151" i="159"/>
  <c r="J151" i="159"/>
  <c r="I151" i="159"/>
  <c r="H151" i="159"/>
  <c r="G151" i="159"/>
  <c r="F151" i="159"/>
  <c r="E151" i="159"/>
  <c r="D151" i="159"/>
  <c r="C151" i="159"/>
  <c r="C53" i="159" s="1"/>
  <c r="L78" i="159"/>
  <c r="L13" i="159" s="1"/>
  <c r="K78" i="159"/>
  <c r="K13" i="159" s="1"/>
  <c r="J78" i="159"/>
  <c r="J13" i="159" s="1"/>
  <c r="I78" i="159"/>
  <c r="I13" i="159" s="1"/>
  <c r="H78" i="159"/>
  <c r="H13" i="159" s="1"/>
  <c r="G78" i="159"/>
  <c r="G13" i="159" s="1"/>
  <c r="F78" i="159"/>
  <c r="F13" i="159" s="1"/>
  <c r="E78" i="159"/>
  <c r="E13" i="159" s="1"/>
  <c r="D78" i="159"/>
  <c r="C78" i="159"/>
  <c r="L71" i="159"/>
  <c r="L8" i="159" s="1"/>
  <c r="K71" i="159"/>
  <c r="K8" i="159" s="1"/>
  <c r="J71" i="159"/>
  <c r="J8" i="159" s="1"/>
  <c r="I71" i="159"/>
  <c r="I8" i="159" s="1"/>
  <c r="H71" i="159"/>
  <c r="H8" i="159" s="1"/>
  <c r="G71" i="159"/>
  <c r="G8" i="159" s="1"/>
  <c r="F71" i="159"/>
  <c r="F8" i="159" s="1"/>
  <c r="E71" i="159"/>
  <c r="E8" i="159" s="1"/>
  <c r="D71" i="159"/>
  <c r="D8" i="159" s="1"/>
  <c r="C71" i="159"/>
  <c r="L70" i="159"/>
  <c r="K70" i="159"/>
  <c r="J70" i="159"/>
  <c r="I70" i="159"/>
  <c r="H70" i="159"/>
  <c r="G70" i="159"/>
  <c r="F70" i="159"/>
  <c r="E70" i="159"/>
  <c r="D70" i="159"/>
  <c r="C70" i="159"/>
  <c r="D69" i="159"/>
  <c r="D6" i="159" s="1"/>
  <c r="C69" i="159"/>
  <c r="L51" i="159"/>
  <c r="K51" i="159"/>
  <c r="J51" i="159"/>
  <c r="I51" i="159"/>
  <c r="H51" i="159"/>
  <c r="G51" i="159"/>
  <c r="F51" i="159"/>
  <c r="E51" i="159"/>
  <c r="D51" i="159"/>
  <c r="C51" i="159"/>
  <c r="C124" i="159"/>
  <c r="C123" i="159"/>
  <c r="F113" i="159"/>
  <c r="E113" i="159"/>
  <c r="D113" i="159"/>
  <c r="D30" i="159" s="1"/>
  <c r="C113" i="159"/>
  <c r="H109" i="159"/>
  <c r="H28" i="159" s="1"/>
  <c r="G109" i="159"/>
  <c r="G28" i="159" s="1"/>
  <c r="F109" i="159"/>
  <c r="F28" i="159" s="1"/>
  <c r="E109" i="159"/>
  <c r="E28" i="159" s="1"/>
  <c r="D109" i="159"/>
  <c r="D28" i="159" s="1"/>
  <c r="C109" i="159"/>
  <c r="I10" i="159" l="1"/>
  <c r="Q10" i="159"/>
  <c r="Y10" i="159"/>
  <c r="AG10" i="159"/>
  <c r="I11" i="159"/>
  <c r="Q11" i="159"/>
  <c r="Y11" i="159"/>
  <c r="AG11" i="159"/>
  <c r="E9" i="159"/>
  <c r="I9" i="159"/>
  <c r="M9" i="159"/>
  <c r="M24" i="159" s="1"/>
  <c r="Q9" i="159"/>
  <c r="U9" i="159"/>
  <c r="U24" i="159" s="1"/>
  <c r="Y9" i="159"/>
  <c r="Y24" i="159" s="1"/>
  <c r="AC9" i="159"/>
  <c r="AC24" i="159" s="1"/>
  <c r="AG9" i="159"/>
  <c r="AG24" i="159" s="1"/>
  <c r="L168" i="159"/>
  <c r="L10" i="159"/>
  <c r="F167" i="159"/>
  <c r="F96" i="159" s="1"/>
  <c r="F9" i="159"/>
  <c r="V167" i="159"/>
  <c r="V96" i="159" s="1"/>
  <c r="V9" i="159"/>
  <c r="K167" i="159"/>
  <c r="K96" i="159" s="1"/>
  <c r="K31" i="159" s="1"/>
  <c r="K9" i="159"/>
  <c r="S167" i="159"/>
  <c r="S96" i="159" s="1"/>
  <c r="S31" i="159" s="1"/>
  <c r="S9" i="159"/>
  <c r="AA167" i="159"/>
  <c r="AA96" i="159" s="1"/>
  <c r="AA31" i="159" s="1"/>
  <c r="AA9" i="159"/>
  <c r="AE167" i="159"/>
  <c r="AE96" i="159" s="1"/>
  <c r="AE31" i="159" s="1"/>
  <c r="AE9" i="159"/>
  <c r="F168" i="159"/>
  <c r="F10" i="159"/>
  <c r="N168" i="159"/>
  <c r="N10" i="159"/>
  <c r="V168" i="159"/>
  <c r="V10" i="159"/>
  <c r="AD168" i="159"/>
  <c r="AD10" i="159"/>
  <c r="AH168" i="159"/>
  <c r="AH10" i="159"/>
  <c r="H170" i="159"/>
  <c r="H99" i="159" s="1"/>
  <c r="H12" i="159"/>
  <c r="X170" i="159"/>
  <c r="X99" i="159" s="1"/>
  <c r="X12" i="159"/>
  <c r="H53" i="159"/>
  <c r="H9" i="159"/>
  <c r="L167" i="159"/>
  <c r="L96" i="159" s="1"/>
  <c r="L31" i="159" s="1"/>
  <c r="L9" i="159"/>
  <c r="P167" i="159"/>
  <c r="P96" i="159" s="1"/>
  <c r="P31" i="159" s="1"/>
  <c r="P9" i="159"/>
  <c r="T167" i="159"/>
  <c r="T96" i="159" s="1"/>
  <c r="T31" i="159" s="1"/>
  <c r="T9" i="159"/>
  <c r="X167" i="159"/>
  <c r="X96" i="159" s="1"/>
  <c r="X9" i="159"/>
  <c r="AB167" i="159"/>
  <c r="AB96" i="159" s="1"/>
  <c r="AB9" i="159"/>
  <c r="AF167" i="159"/>
  <c r="AF96" i="159" s="1"/>
  <c r="AF9" i="159"/>
  <c r="G168" i="159"/>
  <c r="G10" i="159"/>
  <c r="K168" i="159"/>
  <c r="K10" i="159"/>
  <c r="O168" i="159"/>
  <c r="O10" i="159"/>
  <c r="S168" i="159"/>
  <c r="S10" i="159"/>
  <c r="W168" i="159"/>
  <c r="W10" i="159"/>
  <c r="AA168" i="159"/>
  <c r="AA10" i="159"/>
  <c r="AE168" i="159"/>
  <c r="AE10" i="159"/>
  <c r="AI168" i="159"/>
  <c r="AI10" i="159"/>
  <c r="F169" i="159"/>
  <c r="F11" i="159"/>
  <c r="J169" i="159"/>
  <c r="J11" i="159"/>
  <c r="N169" i="159"/>
  <c r="N11" i="159"/>
  <c r="R169" i="159"/>
  <c r="R11" i="159"/>
  <c r="V169" i="159"/>
  <c r="V11" i="159"/>
  <c r="Z169" i="159"/>
  <c r="Z11" i="159"/>
  <c r="AD169" i="159"/>
  <c r="AD11" i="159"/>
  <c r="AH169" i="159"/>
  <c r="AH11" i="159"/>
  <c r="H168" i="159"/>
  <c r="H10" i="159"/>
  <c r="P168" i="159"/>
  <c r="P10" i="159"/>
  <c r="T168" i="159"/>
  <c r="T10" i="159"/>
  <c r="X168" i="159"/>
  <c r="X10" i="159"/>
  <c r="AB168" i="159"/>
  <c r="AB10" i="159"/>
  <c r="AF168" i="159"/>
  <c r="AF10" i="159"/>
  <c r="G169" i="159"/>
  <c r="G11" i="159"/>
  <c r="K169" i="159"/>
  <c r="K11" i="159"/>
  <c r="O169" i="159"/>
  <c r="O11" i="159"/>
  <c r="S169" i="159"/>
  <c r="S11" i="159"/>
  <c r="W169" i="159"/>
  <c r="W11" i="159"/>
  <c r="AA169" i="159"/>
  <c r="AA11" i="159"/>
  <c r="AE169" i="159"/>
  <c r="AE11" i="159"/>
  <c r="AI169" i="159"/>
  <c r="AI11" i="159"/>
  <c r="F170" i="159"/>
  <c r="F99" i="159" s="1"/>
  <c r="F12" i="159"/>
  <c r="J170" i="159"/>
  <c r="J99" i="159" s="1"/>
  <c r="J12" i="159"/>
  <c r="N170" i="159"/>
  <c r="N99" i="159" s="1"/>
  <c r="N12" i="159"/>
  <c r="R170" i="159"/>
  <c r="R99" i="159" s="1"/>
  <c r="R12" i="159"/>
  <c r="V170" i="159"/>
  <c r="V99" i="159" s="1"/>
  <c r="V12" i="159"/>
  <c r="Z170" i="159"/>
  <c r="Z99" i="159" s="1"/>
  <c r="Z12" i="159"/>
  <c r="AD170" i="159"/>
  <c r="AD99" i="159" s="1"/>
  <c r="AD12" i="159"/>
  <c r="AH170" i="159"/>
  <c r="AH99" i="159" s="1"/>
  <c r="AH12" i="159"/>
  <c r="J167" i="159"/>
  <c r="J96" i="159" s="1"/>
  <c r="J9" i="159"/>
  <c r="N167" i="159"/>
  <c r="N96" i="159" s="1"/>
  <c r="N9" i="159"/>
  <c r="R167" i="159"/>
  <c r="R96" i="159" s="1"/>
  <c r="R9" i="159"/>
  <c r="Z167" i="159"/>
  <c r="Z96" i="159" s="1"/>
  <c r="Z9" i="159"/>
  <c r="AD167" i="159"/>
  <c r="AD96" i="159" s="1"/>
  <c r="AD9" i="159"/>
  <c r="AH167" i="159"/>
  <c r="AH96" i="159" s="1"/>
  <c r="AH9" i="159"/>
  <c r="H169" i="159"/>
  <c r="H11" i="159"/>
  <c r="L169" i="159"/>
  <c r="L11" i="159"/>
  <c r="P169" i="159"/>
  <c r="P11" i="159"/>
  <c r="T169" i="159"/>
  <c r="T11" i="159"/>
  <c r="X169" i="159"/>
  <c r="X11" i="159"/>
  <c r="AB169" i="159"/>
  <c r="AB11" i="159"/>
  <c r="AF169" i="159"/>
  <c r="AF11" i="159"/>
  <c r="G170" i="159"/>
  <c r="G99" i="159" s="1"/>
  <c r="G12" i="159"/>
  <c r="K170" i="159"/>
  <c r="K99" i="159" s="1"/>
  <c r="K12" i="159"/>
  <c r="O170" i="159"/>
  <c r="O99" i="159" s="1"/>
  <c r="O12" i="159"/>
  <c r="S170" i="159"/>
  <c r="S99" i="159" s="1"/>
  <c r="S12" i="159"/>
  <c r="W170" i="159"/>
  <c r="W99" i="159" s="1"/>
  <c r="W12" i="159"/>
  <c r="AA170" i="159"/>
  <c r="AA99" i="159" s="1"/>
  <c r="AA12" i="159"/>
  <c r="AE170" i="159"/>
  <c r="AE99" i="159" s="1"/>
  <c r="AE12" i="159"/>
  <c r="AI170" i="159"/>
  <c r="AI99" i="159" s="1"/>
  <c r="AI12" i="159"/>
  <c r="E178" i="159"/>
  <c r="E119" i="159" s="1"/>
  <c r="I178" i="159"/>
  <c r="I119" i="159" s="1"/>
  <c r="M178" i="159"/>
  <c r="M119" i="159" s="1"/>
  <c r="Q178" i="159"/>
  <c r="Q119" i="159" s="1"/>
  <c r="U178" i="159"/>
  <c r="U119" i="159" s="1"/>
  <c r="Y178" i="159"/>
  <c r="Y119" i="159" s="1"/>
  <c r="G167" i="159"/>
  <c r="G96" i="159" s="1"/>
  <c r="G31" i="159" s="1"/>
  <c r="G9" i="159"/>
  <c r="O167" i="159"/>
  <c r="O96" i="159" s="1"/>
  <c r="O31" i="159" s="1"/>
  <c r="O9" i="159"/>
  <c r="W167" i="159"/>
  <c r="W96" i="159" s="1"/>
  <c r="W31" i="159" s="1"/>
  <c r="W9" i="159"/>
  <c r="AI167" i="159"/>
  <c r="AI96" i="159" s="1"/>
  <c r="AI31" i="159" s="1"/>
  <c r="AI9" i="159"/>
  <c r="AI24" i="159" s="1"/>
  <c r="J168" i="159"/>
  <c r="J10" i="159"/>
  <c r="R168" i="159"/>
  <c r="R10" i="159"/>
  <c r="Z168" i="159"/>
  <c r="Z10" i="159"/>
  <c r="L170" i="159"/>
  <c r="L99" i="159" s="1"/>
  <c r="L12" i="159"/>
  <c r="P170" i="159"/>
  <c r="P99" i="159" s="1"/>
  <c r="P12" i="159"/>
  <c r="T170" i="159"/>
  <c r="T99" i="159" s="1"/>
  <c r="T12" i="159"/>
  <c r="AB170" i="159"/>
  <c r="AB99" i="159" s="1"/>
  <c r="AB12" i="159"/>
  <c r="AF170" i="159"/>
  <c r="AF99" i="159" s="1"/>
  <c r="AF12" i="159"/>
  <c r="F178" i="159"/>
  <c r="F119" i="159" s="1"/>
  <c r="J178" i="159"/>
  <c r="J119" i="159" s="1"/>
  <c r="N178" i="159"/>
  <c r="N119" i="159" s="1"/>
  <c r="R178" i="159"/>
  <c r="R119" i="159" s="1"/>
  <c r="V178" i="159"/>
  <c r="V119" i="159" s="1"/>
  <c r="Z178" i="159"/>
  <c r="Z119" i="159" s="1"/>
  <c r="AD178" i="159"/>
  <c r="AD119" i="159" s="1"/>
  <c r="AH178" i="159"/>
  <c r="AH119" i="159" s="1"/>
  <c r="D167" i="159"/>
  <c r="D96" i="159" s="1"/>
  <c r="D9" i="159"/>
  <c r="K7" i="159"/>
  <c r="D168" i="159"/>
  <c r="D10" i="159"/>
  <c r="F7" i="159"/>
  <c r="H7" i="159"/>
  <c r="D13" i="159"/>
  <c r="D169" i="159"/>
  <c r="D11" i="159"/>
  <c r="J7" i="159"/>
  <c r="G7" i="159"/>
  <c r="D7" i="159"/>
  <c r="L7" i="159"/>
  <c r="E7" i="159"/>
  <c r="E24" i="159" s="1"/>
  <c r="I7" i="159"/>
  <c r="I24" i="159" s="1"/>
  <c r="D170" i="159"/>
  <c r="D99" i="159" s="1"/>
  <c r="D12" i="159"/>
  <c r="R53" i="159"/>
  <c r="D55" i="159"/>
  <c r="X55" i="159"/>
  <c r="S56" i="159"/>
  <c r="C75" i="159"/>
  <c r="U73" i="159"/>
  <c r="AC74" i="159"/>
  <c r="H75" i="159"/>
  <c r="X75" i="159"/>
  <c r="K76" i="159"/>
  <c r="AA76" i="159"/>
  <c r="I77" i="159"/>
  <c r="AD77" i="159"/>
  <c r="C56" i="159"/>
  <c r="Z53" i="159"/>
  <c r="H55" i="159"/>
  <c r="AB55" i="159"/>
  <c r="W56" i="159"/>
  <c r="E73" i="159"/>
  <c r="Y73" i="159"/>
  <c r="AG74" i="159"/>
  <c r="L75" i="159"/>
  <c r="AB75" i="159"/>
  <c r="O76" i="159"/>
  <c r="AE76" i="159"/>
  <c r="Q77" i="159"/>
  <c r="AH77" i="159"/>
  <c r="J53" i="159"/>
  <c r="AD53" i="159"/>
  <c r="L55" i="159"/>
  <c r="G56" i="159"/>
  <c r="AE56" i="159"/>
  <c r="M73" i="159"/>
  <c r="AC73" i="159"/>
  <c r="D75" i="159"/>
  <c r="P75" i="159"/>
  <c r="AF75" i="159"/>
  <c r="S76" i="159"/>
  <c r="AI76" i="159"/>
  <c r="U77" i="159"/>
  <c r="N53" i="159"/>
  <c r="AH53" i="159"/>
  <c r="T55" i="159"/>
  <c r="O56" i="159"/>
  <c r="AI56" i="159"/>
  <c r="Q73" i="159"/>
  <c r="AG73" i="159"/>
  <c r="G75" i="159"/>
  <c r="T75" i="159"/>
  <c r="G76" i="159"/>
  <c r="W76" i="159"/>
  <c r="E77" i="159"/>
  <c r="Y77" i="159"/>
  <c r="E167" i="159"/>
  <c r="E53" i="159"/>
  <c r="M53" i="159"/>
  <c r="U53" i="159"/>
  <c r="I114" i="159"/>
  <c r="Q114" i="159"/>
  <c r="Y114" i="159"/>
  <c r="AG114" i="159"/>
  <c r="X174" i="159"/>
  <c r="X115" i="159" s="1"/>
  <c r="X73" i="159"/>
  <c r="AB174" i="159"/>
  <c r="AB115" i="159" s="1"/>
  <c r="AB73" i="159"/>
  <c r="J176" i="159"/>
  <c r="J117" i="159" s="1"/>
  <c r="J75" i="159"/>
  <c r="R176" i="159"/>
  <c r="R117" i="159" s="1"/>
  <c r="R75" i="159"/>
  <c r="Z176" i="159"/>
  <c r="Z117" i="159" s="1"/>
  <c r="Z75" i="159"/>
  <c r="H178" i="159"/>
  <c r="H119" i="159" s="1"/>
  <c r="H77" i="159"/>
  <c r="P178" i="159"/>
  <c r="P119" i="159" s="1"/>
  <c r="P77" i="159"/>
  <c r="AF178" i="159"/>
  <c r="AF119" i="159" s="1"/>
  <c r="AF77" i="159"/>
  <c r="D53" i="159"/>
  <c r="O53" i="159"/>
  <c r="T53" i="159"/>
  <c r="AE53" i="159"/>
  <c r="D54" i="159"/>
  <c r="J54" i="159"/>
  <c r="O54" i="159"/>
  <c r="T54" i="159"/>
  <c r="Z54" i="159"/>
  <c r="AE54" i="159"/>
  <c r="J55" i="159"/>
  <c r="O55" i="159"/>
  <c r="Z55" i="159"/>
  <c r="AE55" i="159"/>
  <c r="D56" i="159"/>
  <c r="J56" i="159"/>
  <c r="T56" i="159"/>
  <c r="Z56" i="159"/>
  <c r="C77" i="159"/>
  <c r="H72" i="159"/>
  <c r="M72" i="159"/>
  <c r="S72" i="159"/>
  <c r="X72" i="159"/>
  <c r="AC72" i="159"/>
  <c r="AI72" i="159"/>
  <c r="H73" i="159"/>
  <c r="S73" i="159"/>
  <c r="I74" i="159"/>
  <c r="Q74" i="159"/>
  <c r="Y74" i="159"/>
  <c r="M75" i="159"/>
  <c r="U75" i="159"/>
  <c r="AC75" i="159"/>
  <c r="I53" i="159"/>
  <c r="Q167" i="159"/>
  <c r="Q53" i="159"/>
  <c r="Y167" i="159"/>
  <c r="Y53" i="159"/>
  <c r="AC53" i="159"/>
  <c r="AG167" i="159"/>
  <c r="AG53" i="159"/>
  <c r="E114" i="159"/>
  <c r="M114" i="159"/>
  <c r="U114" i="159"/>
  <c r="AC114" i="159"/>
  <c r="AF174" i="159"/>
  <c r="AF115" i="159" s="1"/>
  <c r="AF73" i="159"/>
  <c r="F176" i="159"/>
  <c r="F117" i="159" s="1"/>
  <c r="F75" i="159"/>
  <c r="N176" i="159"/>
  <c r="N117" i="159" s="1"/>
  <c r="N75" i="159"/>
  <c r="V176" i="159"/>
  <c r="V117" i="159" s="1"/>
  <c r="V75" i="159"/>
  <c r="AD176" i="159"/>
  <c r="AD117" i="159" s="1"/>
  <c r="AD75" i="159"/>
  <c r="AH176" i="159"/>
  <c r="AH117" i="159" s="1"/>
  <c r="AH75" i="159"/>
  <c r="D178" i="159"/>
  <c r="D119" i="159" s="1"/>
  <c r="D77" i="159"/>
  <c r="L178" i="159"/>
  <c r="L119" i="159" s="1"/>
  <c r="L77" i="159"/>
  <c r="T178" i="159"/>
  <c r="T119" i="159" s="1"/>
  <c r="T77" i="159"/>
  <c r="X178" i="159"/>
  <c r="X119" i="159" s="1"/>
  <c r="X77" i="159"/>
  <c r="AB178" i="159"/>
  <c r="AB119" i="159" s="1"/>
  <c r="AB77" i="159"/>
  <c r="E168" i="159"/>
  <c r="E54" i="159"/>
  <c r="I168" i="159"/>
  <c r="I54" i="159"/>
  <c r="M168" i="159"/>
  <c r="M54" i="159"/>
  <c r="Q168" i="159"/>
  <c r="Q54" i="159"/>
  <c r="U168" i="159"/>
  <c r="U54" i="159"/>
  <c r="Y168" i="159"/>
  <c r="Y54" i="159"/>
  <c r="AC168" i="159"/>
  <c r="AC54" i="159"/>
  <c r="AG168" i="159"/>
  <c r="AG54" i="159"/>
  <c r="D175" i="159"/>
  <c r="D116" i="159" s="1"/>
  <c r="D74" i="159"/>
  <c r="H175" i="159"/>
  <c r="H116" i="159" s="1"/>
  <c r="H74" i="159"/>
  <c r="L175" i="159"/>
  <c r="L116" i="159" s="1"/>
  <c r="L74" i="159"/>
  <c r="P175" i="159"/>
  <c r="P116" i="159" s="1"/>
  <c r="P74" i="159"/>
  <c r="T175" i="159"/>
  <c r="T116" i="159" s="1"/>
  <c r="T74" i="159"/>
  <c r="X175" i="159"/>
  <c r="X116" i="159" s="1"/>
  <c r="X74" i="159"/>
  <c r="AB175" i="159"/>
  <c r="AB116" i="159" s="1"/>
  <c r="AB74" i="159"/>
  <c r="AF175" i="159"/>
  <c r="AF116" i="159" s="1"/>
  <c r="AF74" i="159"/>
  <c r="K176" i="159"/>
  <c r="K117" i="159" s="1"/>
  <c r="K75" i="159"/>
  <c r="O176" i="159"/>
  <c r="O117" i="159" s="1"/>
  <c r="O75" i="159"/>
  <c r="S176" i="159"/>
  <c r="S117" i="159" s="1"/>
  <c r="S75" i="159"/>
  <c r="W176" i="159"/>
  <c r="W117" i="159" s="1"/>
  <c r="W75" i="159"/>
  <c r="AA176" i="159"/>
  <c r="AA117" i="159" s="1"/>
  <c r="AA75" i="159"/>
  <c r="AE176" i="159"/>
  <c r="AE117" i="159" s="1"/>
  <c r="AE75" i="159"/>
  <c r="AI176" i="159"/>
  <c r="AI117" i="159" s="1"/>
  <c r="AI75" i="159"/>
  <c r="F177" i="159"/>
  <c r="F118" i="159" s="1"/>
  <c r="F76" i="159"/>
  <c r="J177" i="159"/>
  <c r="J118" i="159" s="1"/>
  <c r="J76" i="159"/>
  <c r="N177" i="159"/>
  <c r="N118" i="159" s="1"/>
  <c r="N76" i="159"/>
  <c r="R177" i="159"/>
  <c r="R118" i="159" s="1"/>
  <c r="R76" i="159"/>
  <c r="V177" i="159"/>
  <c r="V118" i="159" s="1"/>
  <c r="V76" i="159"/>
  <c r="Z177" i="159"/>
  <c r="Z118" i="159" s="1"/>
  <c r="Z76" i="159"/>
  <c r="AD177" i="159"/>
  <c r="AD118" i="159" s="1"/>
  <c r="AD76" i="159"/>
  <c r="AH177" i="159"/>
  <c r="AH118" i="159" s="1"/>
  <c r="AH76" i="159"/>
  <c r="AC178" i="159"/>
  <c r="AC119" i="159" s="1"/>
  <c r="AC77" i="159"/>
  <c r="AG178" i="159"/>
  <c r="AG119" i="159" s="1"/>
  <c r="AG77" i="159"/>
  <c r="F53" i="159"/>
  <c r="K53" i="159"/>
  <c r="P53" i="159"/>
  <c r="V53" i="159"/>
  <c r="AA53" i="159"/>
  <c r="AF53" i="159"/>
  <c r="F54" i="159"/>
  <c r="K54" i="159"/>
  <c r="P54" i="159"/>
  <c r="V54" i="159"/>
  <c r="AA54" i="159"/>
  <c r="AF54" i="159"/>
  <c r="F55" i="159"/>
  <c r="K55" i="159"/>
  <c r="P55" i="159"/>
  <c r="V55" i="159"/>
  <c r="AA55" i="159"/>
  <c r="AF55" i="159"/>
  <c r="F56" i="159"/>
  <c r="K56" i="159"/>
  <c r="P56" i="159"/>
  <c r="V56" i="159"/>
  <c r="AA56" i="159"/>
  <c r="AF56" i="159"/>
  <c r="C73" i="159"/>
  <c r="D72" i="159"/>
  <c r="I72" i="159"/>
  <c r="O72" i="159"/>
  <c r="T72" i="159"/>
  <c r="Y72" i="159"/>
  <c r="AE72" i="159"/>
  <c r="D73" i="159"/>
  <c r="I73" i="159"/>
  <c r="O73" i="159"/>
  <c r="T73" i="159"/>
  <c r="AA73" i="159"/>
  <c r="AI73" i="159"/>
  <c r="K74" i="159"/>
  <c r="S74" i="159"/>
  <c r="AA74" i="159"/>
  <c r="AI74" i="159"/>
  <c r="I76" i="159"/>
  <c r="Q76" i="159"/>
  <c r="Y76" i="159"/>
  <c r="AG76" i="159"/>
  <c r="M77" i="159"/>
  <c r="E169" i="159"/>
  <c r="E55" i="159"/>
  <c r="I169" i="159"/>
  <c r="I55" i="159"/>
  <c r="M169" i="159"/>
  <c r="M55" i="159"/>
  <c r="Q169" i="159"/>
  <c r="Q55" i="159"/>
  <c r="U169" i="159"/>
  <c r="U55" i="159"/>
  <c r="Y169" i="159"/>
  <c r="Y55" i="159"/>
  <c r="AC169" i="159"/>
  <c r="AC55" i="159"/>
  <c r="AG169" i="159"/>
  <c r="AG55" i="159"/>
  <c r="C173" i="159"/>
  <c r="C114" i="159" s="1"/>
  <c r="C131" i="159" s="1"/>
  <c r="C72" i="159"/>
  <c r="F174" i="159"/>
  <c r="F115" i="159" s="1"/>
  <c r="F73" i="159"/>
  <c r="J174" i="159"/>
  <c r="J115" i="159" s="1"/>
  <c r="J73" i="159"/>
  <c r="N174" i="159"/>
  <c r="N115" i="159" s="1"/>
  <c r="N73" i="159"/>
  <c r="R174" i="159"/>
  <c r="R115" i="159" s="1"/>
  <c r="R73" i="159"/>
  <c r="V174" i="159"/>
  <c r="V115" i="159" s="1"/>
  <c r="V73" i="159"/>
  <c r="Z174" i="159"/>
  <c r="Z115" i="159" s="1"/>
  <c r="Z73" i="159"/>
  <c r="AD174" i="159"/>
  <c r="AD115" i="159" s="1"/>
  <c r="AD73" i="159"/>
  <c r="AH174" i="159"/>
  <c r="AH115" i="159" s="1"/>
  <c r="AH73" i="159"/>
  <c r="C55" i="159"/>
  <c r="G53" i="159"/>
  <c r="L53" i="159"/>
  <c r="W53" i="159"/>
  <c r="AB53" i="159"/>
  <c r="G54" i="159"/>
  <c r="L54" i="159"/>
  <c r="R54" i="159"/>
  <c r="W54" i="159"/>
  <c r="AB54" i="159"/>
  <c r="AH54" i="159"/>
  <c r="G55" i="159"/>
  <c r="R55" i="159"/>
  <c r="W55" i="159"/>
  <c r="AH55" i="159"/>
  <c r="L56" i="159"/>
  <c r="R56" i="159"/>
  <c r="AB56" i="159"/>
  <c r="AH56" i="159"/>
  <c r="C74" i="159"/>
  <c r="E72" i="159"/>
  <c r="K72" i="159"/>
  <c r="P72" i="159"/>
  <c r="U72" i="159"/>
  <c r="AA72" i="159"/>
  <c r="AF72" i="159"/>
  <c r="K73" i="159"/>
  <c r="P73" i="159"/>
  <c r="E74" i="159"/>
  <c r="M74" i="159"/>
  <c r="U74" i="159"/>
  <c r="I75" i="159"/>
  <c r="Q75" i="159"/>
  <c r="Y75" i="159"/>
  <c r="AG75" i="159"/>
  <c r="C168" i="159"/>
  <c r="C97" i="159" s="1"/>
  <c r="C54" i="159"/>
  <c r="E170" i="159"/>
  <c r="E99" i="159" s="1"/>
  <c r="E56" i="159"/>
  <c r="I170" i="159"/>
  <c r="I99" i="159" s="1"/>
  <c r="I56" i="159"/>
  <c r="M170" i="159"/>
  <c r="M99" i="159" s="1"/>
  <c r="M56" i="159"/>
  <c r="Q170" i="159"/>
  <c r="Q99" i="159" s="1"/>
  <c r="Q56" i="159"/>
  <c r="U170" i="159"/>
  <c r="U99" i="159" s="1"/>
  <c r="U56" i="159"/>
  <c r="Y170" i="159"/>
  <c r="Y99" i="159" s="1"/>
  <c r="Y56" i="159"/>
  <c r="AC170" i="159"/>
  <c r="AC99" i="159" s="1"/>
  <c r="AC56" i="159"/>
  <c r="AG170" i="159"/>
  <c r="AG99" i="159" s="1"/>
  <c r="AG56" i="159"/>
  <c r="F175" i="159"/>
  <c r="F116" i="159" s="1"/>
  <c r="F74" i="159"/>
  <c r="J175" i="159"/>
  <c r="J116" i="159" s="1"/>
  <c r="J74" i="159"/>
  <c r="N175" i="159"/>
  <c r="N116" i="159" s="1"/>
  <c r="N74" i="159"/>
  <c r="R175" i="159"/>
  <c r="R116" i="159" s="1"/>
  <c r="R74" i="159"/>
  <c r="V175" i="159"/>
  <c r="V116" i="159" s="1"/>
  <c r="V74" i="159"/>
  <c r="Z175" i="159"/>
  <c r="Z116" i="159" s="1"/>
  <c r="Z74" i="159"/>
  <c r="AD175" i="159"/>
  <c r="AD116" i="159" s="1"/>
  <c r="AD74" i="159"/>
  <c r="AH175" i="159"/>
  <c r="AH116" i="159" s="1"/>
  <c r="AH74" i="159"/>
  <c r="D177" i="159"/>
  <c r="D118" i="159" s="1"/>
  <c r="D76" i="159"/>
  <c r="H177" i="159"/>
  <c r="H118" i="159" s="1"/>
  <c r="H76" i="159"/>
  <c r="L177" i="159"/>
  <c r="L118" i="159" s="1"/>
  <c r="L76" i="159"/>
  <c r="P177" i="159"/>
  <c r="P118" i="159" s="1"/>
  <c r="P76" i="159"/>
  <c r="T177" i="159"/>
  <c r="T118" i="159" s="1"/>
  <c r="T76" i="159"/>
  <c r="X177" i="159"/>
  <c r="X118" i="159" s="1"/>
  <c r="X76" i="159"/>
  <c r="AB177" i="159"/>
  <c r="AB118" i="159" s="1"/>
  <c r="AB76" i="159"/>
  <c r="AF177" i="159"/>
  <c r="AF118" i="159" s="1"/>
  <c r="AF76" i="159"/>
  <c r="G178" i="159"/>
  <c r="G119" i="159" s="1"/>
  <c r="G77" i="159"/>
  <c r="K178" i="159"/>
  <c r="K119" i="159" s="1"/>
  <c r="K77" i="159"/>
  <c r="O178" i="159"/>
  <c r="O119" i="159" s="1"/>
  <c r="O77" i="159"/>
  <c r="S178" i="159"/>
  <c r="S119" i="159" s="1"/>
  <c r="S77" i="159"/>
  <c r="W178" i="159"/>
  <c r="W119" i="159" s="1"/>
  <c r="W77" i="159"/>
  <c r="AA178" i="159"/>
  <c r="AA119" i="159" s="1"/>
  <c r="AA77" i="159"/>
  <c r="AE178" i="159"/>
  <c r="AE119" i="159" s="1"/>
  <c r="AE77" i="159"/>
  <c r="AI178" i="159"/>
  <c r="AI119" i="159" s="1"/>
  <c r="AI77" i="159"/>
  <c r="S53" i="159"/>
  <c r="X53" i="159"/>
  <c r="AI53" i="159"/>
  <c r="H54" i="159"/>
  <c r="N54" i="159"/>
  <c r="S54" i="159"/>
  <c r="X54" i="159"/>
  <c r="AD54" i="159"/>
  <c r="AI54" i="159"/>
  <c r="N55" i="159"/>
  <c r="S55" i="159"/>
  <c r="AD55" i="159"/>
  <c r="AI55" i="159"/>
  <c r="H56" i="159"/>
  <c r="N56" i="159"/>
  <c r="X56" i="159"/>
  <c r="AD56" i="159"/>
  <c r="G72" i="159"/>
  <c r="L72" i="159"/>
  <c r="Q72" i="159"/>
  <c r="W72" i="159"/>
  <c r="AB72" i="159"/>
  <c r="AG72" i="159"/>
  <c r="G73" i="159"/>
  <c r="L73" i="159"/>
  <c r="W73" i="159"/>
  <c r="AE73" i="159"/>
  <c r="G74" i="159"/>
  <c r="O74" i="159"/>
  <c r="W74" i="159"/>
  <c r="AE74" i="159"/>
  <c r="E75" i="159"/>
  <c r="E76" i="159"/>
  <c r="M76" i="159"/>
  <c r="U76" i="159"/>
  <c r="AC76" i="159"/>
  <c r="C76" i="159"/>
  <c r="F77" i="159"/>
  <c r="J77" i="159"/>
  <c r="N77" i="159"/>
  <c r="R77" i="159"/>
  <c r="V77" i="159"/>
  <c r="Z77" i="159"/>
  <c r="C167" i="159"/>
  <c r="H167" i="159"/>
  <c r="M167" i="159"/>
  <c r="U167" i="159"/>
  <c r="AC167" i="159"/>
  <c r="F173" i="159"/>
  <c r="J173" i="159"/>
  <c r="N173" i="159"/>
  <c r="V173" i="159"/>
  <c r="Z173" i="159"/>
  <c r="AD173" i="159"/>
  <c r="AH173" i="159"/>
  <c r="H206" i="159"/>
  <c r="I167" i="159"/>
  <c r="R173" i="159"/>
  <c r="Q24" i="159" l="1"/>
  <c r="H24" i="159"/>
  <c r="AB34" i="159"/>
  <c r="AA24" i="159"/>
  <c r="L24" i="159"/>
  <c r="F24" i="159"/>
  <c r="AD34" i="159"/>
  <c r="V34" i="159"/>
  <c r="N34" i="159"/>
  <c r="F34" i="159"/>
  <c r="W24" i="159"/>
  <c r="X34" i="159"/>
  <c r="AD24" i="159"/>
  <c r="AH34" i="159"/>
  <c r="Z34" i="159"/>
  <c r="R34" i="159"/>
  <c r="J34" i="159"/>
  <c r="O24" i="159"/>
  <c r="AC34" i="159"/>
  <c r="AF31" i="159"/>
  <c r="AF98" i="159"/>
  <c r="AF33" i="159"/>
  <c r="X98" i="159"/>
  <c r="X33" i="159"/>
  <c r="P98" i="159"/>
  <c r="P33" i="159"/>
  <c r="H98" i="159"/>
  <c r="H33" i="159"/>
  <c r="H34" i="159"/>
  <c r="AE98" i="159"/>
  <c r="AE33" i="159"/>
  <c r="W98" i="159"/>
  <c r="W33" i="159"/>
  <c r="O98" i="159"/>
  <c r="O33" i="159"/>
  <c r="G98" i="159"/>
  <c r="G33" i="159"/>
  <c r="AB97" i="159"/>
  <c r="AB131" i="159" s="1"/>
  <c r="AB32" i="159"/>
  <c r="T97" i="159"/>
  <c r="T32" i="159"/>
  <c r="H97" i="159"/>
  <c r="H32" i="159"/>
  <c r="W34" i="159"/>
  <c r="G34" i="159"/>
  <c r="AD98" i="159"/>
  <c r="AD33" i="159"/>
  <c r="V98" i="159"/>
  <c r="V33" i="159"/>
  <c r="N98" i="159"/>
  <c r="N33" i="159"/>
  <c r="F98" i="159"/>
  <c r="F33" i="159"/>
  <c r="AE97" i="159"/>
  <c r="AE131" i="159" s="1"/>
  <c r="AE32" i="159"/>
  <c r="W97" i="159"/>
  <c r="W32" i="159"/>
  <c r="W43" i="159" s="1"/>
  <c r="W45" i="159" s="1"/>
  <c r="O97" i="159"/>
  <c r="O32" i="159"/>
  <c r="G97" i="159"/>
  <c r="G131" i="159" s="1"/>
  <c r="G32" i="159"/>
  <c r="G43" i="159" s="1"/>
  <c r="AB31" i="159"/>
  <c r="AG98" i="159"/>
  <c r="AG33" i="159"/>
  <c r="Y98" i="159"/>
  <c r="Y33" i="159"/>
  <c r="Q98" i="159"/>
  <c r="Q33" i="159"/>
  <c r="I98" i="159"/>
  <c r="I33" i="159"/>
  <c r="AG97" i="159"/>
  <c r="AG32" i="159"/>
  <c r="Y97" i="159"/>
  <c r="Y32" i="159"/>
  <c r="Q97" i="159"/>
  <c r="Q32" i="159"/>
  <c r="I97" i="159"/>
  <c r="I32" i="159"/>
  <c r="D34" i="159"/>
  <c r="Z97" i="159"/>
  <c r="Z32" i="159"/>
  <c r="J97" i="159"/>
  <c r="J32" i="159"/>
  <c r="AG34" i="159"/>
  <c r="U34" i="159"/>
  <c r="M34" i="159"/>
  <c r="E34" i="159"/>
  <c r="AH24" i="159"/>
  <c r="Z24" i="159"/>
  <c r="N24" i="159"/>
  <c r="T34" i="159"/>
  <c r="AI34" i="159"/>
  <c r="S34" i="159"/>
  <c r="AF24" i="159"/>
  <c r="X24" i="159"/>
  <c r="P24" i="159"/>
  <c r="AH97" i="159"/>
  <c r="AH32" i="159"/>
  <c r="V97" i="159"/>
  <c r="V32" i="159"/>
  <c r="F97" i="159"/>
  <c r="F32" i="159"/>
  <c r="G24" i="159"/>
  <c r="AB98" i="159"/>
  <c r="AB33" i="159"/>
  <c r="T98" i="159"/>
  <c r="T33" i="159"/>
  <c r="L98" i="159"/>
  <c r="L33" i="159"/>
  <c r="AF34" i="159"/>
  <c r="P34" i="159"/>
  <c r="AI98" i="159"/>
  <c r="AI33" i="159"/>
  <c r="AA98" i="159"/>
  <c r="AA33" i="159"/>
  <c r="S98" i="159"/>
  <c r="S33" i="159"/>
  <c r="K98" i="159"/>
  <c r="K33" i="159"/>
  <c r="AF97" i="159"/>
  <c r="AF131" i="159" s="1"/>
  <c r="AF32" i="159"/>
  <c r="X97" i="159"/>
  <c r="X131" i="159" s="1"/>
  <c r="X32" i="159"/>
  <c r="P97" i="159"/>
  <c r="P32" i="159"/>
  <c r="AE34" i="159"/>
  <c r="O34" i="159"/>
  <c r="O43" i="159" s="1"/>
  <c r="O45" i="159" s="1"/>
  <c r="AH98" i="159"/>
  <c r="AH33" i="159"/>
  <c r="Z98" i="159"/>
  <c r="Z33" i="159"/>
  <c r="R98" i="159"/>
  <c r="R33" i="159"/>
  <c r="J98" i="159"/>
  <c r="J33" i="159"/>
  <c r="AI97" i="159"/>
  <c r="AI131" i="159" s="1"/>
  <c r="AI32" i="159"/>
  <c r="AA97" i="159"/>
  <c r="AA131" i="159" s="1"/>
  <c r="AA32" i="159"/>
  <c r="S97" i="159"/>
  <c r="S131" i="159" s="1"/>
  <c r="S32" i="159"/>
  <c r="K97" i="159"/>
  <c r="K131" i="159" s="1"/>
  <c r="K32" i="159"/>
  <c r="X31" i="159"/>
  <c r="AE24" i="159"/>
  <c r="S24" i="159"/>
  <c r="V24" i="159"/>
  <c r="AC98" i="159"/>
  <c r="AC33" i="159"/>
  <c r="U98" i="159"/>
  <c r="U33" i="159"/>
  <c r="M98" i="159"/>
  <c r="M33" i="159"/>
  <c r="E98" i="159"/>
  <c r="E33" i="159"/>
  <c r="AC97" i="159"/>
  <c r="AC32" i="159"/>
  <c r="U97" i="159"/>
  <c r="U32" i="159"/>
  <c r="M97" i="159"/>
  <c r="M32" i="159"/>
  <c r="E97" i="159"/>
  <c r="E32" i="159"/>
  <c r="J24" i="159"/>
  <c r="K24" i="159"/>
  <c r="R97" i="159"/>
  <c r="R32" i="159"/>
  <c r="Y34" i="159"/>
  <c r="Q34" i="159"/>
  <c r="I34" i="159"/>
  <c r="R24" i="159"/>
  <c r="L34" i="159"/>
  <c r="AA34" i="159"/>
  <c r="K34" i="159"/>
  <c r="AB24" i="159"/>
  <c r="T24" i="159"/>
  <c r="AD97" i="159"/>
  <c r="AD32" i="159"/>
  <c r="N97" i="159"/>
  <c r="N32" i="159"/>
  <c r="S43" i="159"/>
  <c r="S45" i="159" s="1"/>
  <c r="L97" i="159"/>
  <c r="L32" i="159"/>
  <c r="T131" i="159"/>
  <c r="H89" i="159"/>
  <c r="G89" i="159"/>
  <c r="F89" i="159"/>
  <c r="W131" i="159"/>
  <c r="O131" i="159"/>
  <c r="I89" i="159"/>
  <c r="E89" i="159"/>
  <c r="D24" i="159"/>
  <c r="AI89" i="159"/>
  <c r="W89" i="159"/>
  <c r="J89" i="159"/>
  <c r="K89" i="159"/>
  <c r="D89" i="159"/>
  <c r="L89" i="159"/>
  <c r="S89" i="159"/>
  <c r="AF89" i="159"/>
  <c r="AC89" i="159"/>
  <c r="T89" i="159"/>
  <c r="M89" i="159"/>
  <c r="D97" i="159"/>
  <c r="D32" i="159"/>
  <c r="AB89" i="159"/>
  <c r="AA89" i="159"/>
  <c r="Y89" i="159"/>
  <c r="O89" i="159"/>
  <c r="Z89" i="159"/>
  <c r="D98" i="159"/>
  <c r="D33" i="159"/>
  <c r="AH89" i="159"/>
  <c r="D31" i="159"/>
  <c r="V89" i="159"/>
  <c r="AG89" i="159"/>
  <c r="X89" i="159"/>
  <c r="P89" i="159"/>
  <c r="Q89" i="159"/>
  <c r="AE89" i="159"/>
  <c r="U89" i="159"/>
  <c r="N89" i="159"/>
  <c r="AD89" i="159"/>
  <c r="R89" i="159"/>
  <c r="I206" i="159"/>
  <c r="M206" i="159"/>
  <c r="U206" i="159"/>
  <c r="S207" i="159"/>
  <c r="O207" i="159"/>
  <c r="AE207" i="159"/>
  <c r="AA207" i="159"/>
  <c r="AC206" i="159"/>
  <c r="K207" i="159"/>
  <c r="P207" i="159"/>
  <c r="AB207" i="159"/>
  <c r="G207" i="159"/>
  <c r="L207" i="159"/>
  <c r="D207" i="159"/>
  <c r="AD207" i="159"/>
  <c r="AD114" i="159"/>
  <c r="V207" i="159"/>
  <c r="V114" i="159"/>
  <c r="V31" i="159" s="1"/>
  <c r="V43" i="159" s="1"/>
  <c r="V45" i="159" s="1"/>
  <c r="M207" i="159"/>
  <c r="M96" i="159"/>
  <c r="AC96" i="159"/>
  <c r="R207" i="159"/>
  <c r="R114" i="159"/>
  <c r="R31" i="159" s="1"/>
  <c r="AG96" i="159"/>
  <c r="Y207" i="159"/>
  <c r="Y96" i="159"/>
  <c r="P206" i="159"/>
  <c r="AI207" i="159"/>
  <c r="I207" i="159"/>
  <c r="I96" i="159"/>
  <c r="AH207" i="159"/>
  <c r="AH114" i="159"/>
  <c r="J207" i="159"/>
  <c r="J114" i="159"/>
  <c r="H96" i="159"/>
  <c r="W207" i="159"/>
  <c r="X207" i="159"/>
  <c r="T207" i="159"/>
  <c r="Z207" i="159"/>
  <c r="Z114" i="159"/>
  <c r="Z31" i="159" s="1"/>
  <c r="Q207" i="159"/>
  <c r="Q96" i="159"/>
  <c r="C207" i="159"/>
  <c r="C96" i="159"/>
  <c r="N207" i="159"/>
  <c r="N114" i="159"/>
  <c r="F207" i="159"/>
  <c r="F114" i="159"/>
  <c r="U207" i="159"/>
  <c r="U96" i="159"/>
  <c r="E207" i="159"/>
  <c r="E96" i="159"/>
  <c r="AA206" i="159"/>
  <c r="AI206" i="159"/>
  <c r="AF207" i="159"/>
  <c r="AF206" i="159"/>
  <c r="N206" i="159"/>
  <c r="O206" i="159"/>
  <c r="Y206" i="159"/>
  <c r="V206" i="159"/>
  <c r="K206" i="159"/>
  <c r="C206" i="159"/>
  <c r="E206" i="159"/>
  <c r="AG206" i="159"/>
  <c r="F206" i="159"/>
  <c r="AH206" i="159"/>
  <c r="Q206" i="159"/>
  <c r="AE206" i="159"/>
  <c r="L206" i="159"/>
  <c r="D206" i="159"/>
  <c r="X206" i="159"/>
  <c r="J206" i="159"/>
  <c r="AB206" i="159"/>
  <c r="G206" i="159"/>
  <c r="T206" i="159"/>
  <c r="S206" i="159"/>
  <c r="Z206" i="159"/>
  <c r="R206" i="159"/>
  <c r="W206" i="159"/>
  <c r="AD206" i="159"/>
  <c r="L43" i="159" l="1"/>
  <c r="L45" i="159" s="1"/>
  <c r="L131" i="159"/>
  <c r="Z43" i="159"/>
  <c r="Z45" i="159" s="1"/>
  <c r="K43" i="159"/>
  <c r="K45" i="159" s="1"/>
  <c r="T43" i="159"/>
  <c r="AF43" i="159"/>
  <c r="AF45" i="159" s="1"/>
  <c r="T45" i="159"/>
  <c r="F131" i="159"/>
  <c r="AD131" i="159"/>
  <c r="AI43" i="159"/>
  <c r="AI45" i="159" s="1"/>
  <c r="R43" i="159"/>
  <c r="R45" i="159" s="1"/>
  <c r="P131" i="159"/>
  <c r="AE43" i="159"/>
  <c r="AE45" i="159" s="1"/>
  <c r="AA43" i="159"/>
  <c r="AA45" i="159" s="1"/>
  <c r="G45" i="159"/>
  <c r="P43" i="159"/>
  <c r="P45" i="159" s="1"/>
  <c r="Z131" i="159"/>
  <c r="AC131" i="159"/>
  <c r="AC31" i="159"/>
  <c r="AC43" i="159" s="1"/>
  <c r="AC45" i="159" s="1"/>
  <c r="E131" i="159"/>
  <c r="E31" i="159"/>
  <c r="E43" i="159" s="1"/>
  <c r="E45" i="159" s="1"/>
  <c r="H131" i="159"/>
  <c r="H31" i="159"/>
  <c r="H43" i="159" s="1"/>
  <c r="H45" i="159" s="1"/>
  <c r="R131" i="159"/>
  <c r="U131" i="159"/>
  <c r="U31" i="159"/>
  <c r="U43" i="159" s="1"/>
  <c r="U45" i="159" s="1"/>
  <c r="N131" i="159"/>
  <c r="Q131" i="159"/>
  <c r="Q31" i="159"/>
  <c r="Q43" i="159" s="1"/>
  <c r="Q45" i="159" s="1"/>
  <c r="J131" i="159"/>
  <c r="I131" i="159"/>
  <c r="I31" i="159"/>
  <c r="I43" i="159" s="1"/>
  <c r="I45" i="159" s="1"/>
  <c r="Y131" i="159"/>
  <c r="Y31" i="159"/>
  <c r="Y43" i="159" s="1"/>
  <c r="Y45" i="159" s="1"/>
  <c r="V131" i="159"/>
  <c r="D43" i="159"/>
  <c r="D45" i="159" s="1"/>
  <c r="X43" i="159"/>
  <c r="X45" i="159" s="1"/>
  <c r="N31" i="159"/>
  <c r="N43" i="159" s="1"/>
  <c r="N45" i="159" s="1"/>
  <c r="F31" i="159"/>
  <c r="F43" i="159" s="1"/>
  <c r="F45" i="159" s="1"/>
  <c r="J31" i="159"/>
  <c r="J43" i="159" s="1"/>
  <c r="J45" i="159" s="1"/>
  <c r="AH131" i="159"/>
  <c r="AG131" i="159"/>
  <c r="AG31" i="159"/>
  <c r="AG43" i="159" s="1"/>
  <c r="AG45" i="159" s="1"/>
  <c r="M131" i="159"/>
  <c r="M31" i="159"/>
  <c r="M43" i="159" s="1"/>
  <c r="M45" i="159" s="1"/>
  <c r="AH31" i="159"/>
  <c r="AH43" i="159" s="1"/>
  <c r="AH45" i="159" s="1"/>
  <c r="AB43" i="159"/>
  <c r="AB45" i="159" s="1"/>
  <c r="AD31" i="159"/>
  <c r="AD43" i="159" s="1"/>
  <c r="AD45" i="159" s="1"/>
  <c r="D131" i="159"/>
  <c r="M208" i="159"/>
  <c r="M210" i="159" s="1"/>
  <c r="I208" i="159"/>
  <c r="I210" i="159" s="1"/>
  <c r="Y208" i="159"/>
  <c r="Y210" i="159" s="1"/>
  <c r="U208" i="159"/>
  <c r="U210" i="159" s="1"/>
  <c r="AB208" i="159"/>
  <c r="AB210" i="159" s="1"/>
  <c r="O208" i="159"/>
  <c r="O210" i="159" s="1"/>
  <c r="C208" i="159"/>
  <c r="C210" i="159" s="1"/>
  <c r="H207" i="159"/>
  <c r="H208" i="159" s="1"/>
  <c r="H210" i="159" s="1"/>
  <c r="P208" i="159"/>
  <c r="P210" i="159" s="1"/>
  <c r="AE208" i="159"/>
  <c r="AE210" i="159" s="1"/>
  <c r="AI208" i="159"/>
  <c r="AI210" i="159" s="1"/>
  <c r="L208" i="159"/>
  <c r="L210" i="159" s="1"/>
  <c r="K208" i="159"/>
  <c r="K210" i="159" s="1"/>
  <c r="D208" i="159"/>
  <c r="D210" i="159" s="1"/>
  <c r="N208" i="159"/>
  <c r="N210" i="159" s="1"/>
  <c r="T208" i="159"/>
  <c r="T210" i="159" s="1"/>
  <c r="X208" i="159"/>
  <c r="X210" i="159" s="1"/>
  <c r="Q208" i="159"/>
  <c r="Q210" i="159" s="1"/>
  <c r="E208" i="159"/>
  <c r="E210" i="159" s="1"/>
  <c r="AF208" i="159"/>
  <c r="AF210" i="159" s="1"/>
  <c r="AA208" i="159"/>
  <c r="AA210" i="159" s="1"/>
  <c r="AG207" i="159"/>
  <c r="AG208" i="159" s="1"/>
  <c r="AG210" i="159" s="1"/>
  <c r="AC207" i="159"/>
  <c r="AC208" i="159" s="1"/>
  <c r="AC210" i="159" s="1"/>
  <c r="AD208" i="159"/>
  <c r="AD210" i="159" s="1"/>
  <c r="F208" i="159"/>
  <c r="F210" i="159" s="1"/>
  <c r="W208" i="159"/>
  <c r="W210" i="159" s="1"/>
  <c r="G208" i="159"/>
  <c r="G210" i="159" s="1"/>
  <c r="S208" i="159"/>
  <c r="S210" i="159" s="1"/>
  <c r="Z208" i="159"/>
  <c r="Z210" i="159" s="1"/>
  <c r="V208" i="159"/>
  <c r="V210" i="159" s="1"/>
  <c r="AH208" i="159"/>
  <c r="AH210" i="159" s="1"/>
  <c r="J208" i="159"/>
  <c r="J210" i="159" s="1"/>
  <c r="R208" i="159"/>
  <c r="R210" i="159" s="1"/>
  <c r="E62" i="158" l="1"/>
  <c r="F62" i="158" s="1"/>
  <c r="E53" i="158"/>
  <c r="F53" i="158" s="1"/>
  <c r="C62" i="158"/>
  <c r="D62" i="158" s="1"/>
  <c r="C61" i="158"/>
  <c r="D61" i="158" s="1"/>
  <c r="C60" i="158"/>
  <c r="D60" i="158" s="1"/>
  <c r="C59" i="158"/>
  <c r="D59" i="158" s="1"/>
  <c r="C58" i="158"/>
  <c r="D58" i="158" s="1"/>
  <c r="C53" i="158"/>
  <c r="D53" i="158" s="1"/>
  <c r="C52" i="158"/>
  <c r="D52" i="158" s="1"/>
  <c r="C51" i="158"/>
  <c r="D51" i="158" s="1"/>
  <c r="C50" i="158"/>
  <c r="D50" i="158" s="1"/>
  <c r="C49" i="158"/>
  <c r="D49" i="158" s="1"/>
  <c r="A44" i="158"/>
  <c r="A43" i="158"/>
  <c r="A42" i="158"/>
  <c r="A41" i="158"/>
  <c r="A40" i="158"/>
  <c r="A39" i="158"/>
  <c r="C10" i="158"/>
  <c r="B31" i="158"/>
  <c r="H30" i="158"/>
  <c r="G30" i="158"/>
  <c r="F30" i="158"/>
  <c r="E30" i="158"/>
  <c r="D30" i="158"/>
  <c r="C30" i="158"/>
  <c r="H29" i="158"/>
  <c r="G29" i="158"/>
  <c r="F29" i="158"/>
  <c r="E29" i="158"/>
  <c r="D29" i="158"/>
  <c r="C29" i="158"/>
  <c r="H28" i="158"/>
  <c r="G28" i="158"/>
  <c r="F28" i="158"/>
  <c r="E28" i="158"/>
  <c r="D28" i="158"/>
  <c r="C28" i="158"/>
  <c r="H27" i="158"/>
  <c r="G27" i="158"/>
  <c r="F27" i="158"/>
  <c r="E27" i="158"/>
  <c r="D27" i="158"/>
  <c r="C27" i="158"/>
  <c r="H26" i="158"/>
  <c r="G26" i="158"/>
  <c r="F26" i="158"/>
  <c r="E26" i="158"/>
  <c r="D26" i="158"/>
  <c r="C26" i="158"/>
  <c r="H25" i="158"/>
  <c r="G25" i="158"/>
  <c r="F25" i="158"/>
  <c r="E25" i="158"/>
  <c r="D25" i="158"/>
  <c r="C25" i="158"/>
  <c r="H24" i="158"/>
  <c r="G24" i="158"/>
  <c r="F24" i="158"/>
  <c r="E24" i="158"/>
  <c r="D24" i="158"/>
  <c r="C24" i="158"/>
  <c r="H23" i="158"/>
  <c r="G23" i="158"/>
  <c r="F23" i="158"/>
  <c r="E23" i="158"/>
  <c r="D23" i="158"/>
  <c r="C23" i="158"/>
  <c r="H22" i="158"/>
  <c r="G22" i="158"/>
  <c r="F22" i="158"/>
  <c r="E22" i="158"/>
  <c r="D22" i="158"/>
  <c r="C22" i="158"/>
  <c r="H21" i="158"/>
  <c r="G21" i="158"/>
  <c r="F21" i="158"/>
  <c r="E21" i="158"/>
  <c r="D21" i="158"/>
  <c r="C21" i="158"/>
  <c r="H20" i="158"/>
  <c r="G20" i="158"/>
  <c r="F20" i="158"/>
  <c r="E20" i="158"/>
  <c r="D20" i="158"/>
  <c r="C20" i="158"/>
  <c r="H19" i="158"/>
  <c r="G19" i="158"/>
  <c r="F19" i="158"/>
  <c r="E19" i="158"/>
  <c r="D19" i="158"/>
  <c r="C19" i="158"/>
  <c r="H18" i="158"/>
  <c r="G18" i="158"/>
  <c r="F18" i="158"/>
  <c r="E18" i="158"/>
  <c r="D18" i="158"/>
  <c r="C18" i="158"/>
  <c r="H17" i="158"/>
  <c r="G17" i="158"/>
  <c r="F17" i="158"/>
  <c r="E17" i="158"/>
  <c r="D17" i="158"/>
  <c r="C17" i="158"/>
  <c r="H16" i="158"/>
  <c r="G16" i="158"/>
  <c r="F16" i="158"/>
  <c r="E16" i="158"/>
  <c r="D16" i="158"/>
  <c r="C16" i="158"/>
  <c r="H15" i="158"/>
  <c r="G15" i="158"/>
  <c r="F15" i="158"/>
  <c r="E15" i="158"/>
  <c r="D15" i="158"/>
  <c r="C15" i="158"/>
  <c r="H14" i="158"/>
  <c r="G14" i="158"/>
  <c r="F14" i="158"/>
  <c r="E14" i="158"/>
  <c r="D14" i="158"/>
  <c r="C14" i="158"/>
  <c r="H13" i="158"/>
  <c r="G13" i="158"/>
  <c r="F13" i="158"/>
  <c r="E13" i="158"/>
  <c r="D13" i="158"/>
  <c r="C13" i="158"/>
  <c r="H12" i="158"/>
  <c r="G12" i="158"/>
  <c r="F12" i="158"/>
  <c r="E12" i="158"/>
  <c r="D12" i="158"/>
  <c r="C12" i="158"/>
  <c r="H11" i="158"/>
  <c r="G11" i="158"/>
  <c r="F11" i="158"/>
  <c r="E11" i="158"/>
  <c r="D11" i="158"/>
  <c r="C11" i="158"/>
  <c r="H10" i="158"/>
  <c r="G10" i="158"/>
  <c r="F10" i="158"/>
  <c r="E10" i="158"/>
  <c r="D10" i="158"/>
  <c r="H9" i="158"/>
  <c r="G9" i="158"/>
  <c r="F9" i="158"/>
  <c r="E9" i="158"/>
  <c r="D9" i="158"/>
  <c r="C9" i="158"/>
  <c r="H8" i="158"/>
  <c r="G8" i="158"/>
  <c r="F8" i="158"/>
  <c r="E8" i="158"/>
  <c r="D8" i="158"/>
  <c r="C8" i="158"/>
  <c r="H7" i="158"/>
  <c r="G7" i="158"/>
  <c r="F7" i="158"/>
  <c r="E7" i="158"/>
  <c r="D7" i="158"/>
  <c r="C7" i="158"/>
  <c r="H6" i="158"/>
  <c r="B44" i="158" s="1"/>
  <c r="G6" i="158"/>
  <c r="B43" i="158" s="1"/>
  <c r="F6" i="158"/>
  <c r="B42" i="158" s="1"/>
  <c r="E6" i="158"/>
  <c r="B41" i="158" s="1"/>
  <c r="D6" i="158"/>
  <c r="B40" i="158" s="1"/>
  <c r="C6" i="158"/>
  <c r="B39" i="158" s="1"/>
  <c r="C42" i="158" l="1"/>
  <c r="D42" i="158" s="1"/>
  <c r="C40" i="158"/>
  <c r="D40" i="158" s="1"/>
  <c r="C38" i="158"/>
  <c r="D38" i="158" s="1"/>
  <c r="C44" i="158"/>
  <c r="D44" i="158" s="1"/>
  <c r="C41" i="158"/>
  <c r="D41" i="158" s="1"/>
  <c r="C39" i="158"/>
  <c r="D39" i="158" s="1"/>
  <c r="C43" i="158"/>
  <c r="D43" i="158" s="1"/>
  <c r="I13" i="7"/>
  <c r="F16" i="129" l="1"/>
  <c r="I73" i="137" l="1"/>
  <c r="R212" i="66" l="1"/>
  <c r="S211" i="66"/>
  <c r="O30" i="29" l="1"/>
  <c r="P30" i="29" s="1"/>
  <c r="O29" i="29"/>
  <c r="P29" i="29" s="1"/>
  <c r="N69" i="30"/>
  <c r="N68" i="30"/>
  <c r="N67" i="30"/>
  <c r="N66" i="30"/>
  <c r="N65" i="30"/>
  <c r="O65" i="30" s="1"/>
  <c r="P65" i="30" s="1"/>
  <c r="N64" i="30"/>
  <c r="N63" i="30"/>
  <c r="N62" i="30"/>
  <c r="N61" i="30"/>
  <c r="O61" i="30" s="1"/>
  <c r="P61" i="30" s="1"/>
  <c r="N60" i="30"/>
  <c r="N59" i="30"/>
  <c r="N58" i="30"/>
  <c r="N57" i="30"/>
  <c r="N54" i="30"/>
  <c r="N53" i="30"/>
  <c r="N52" i="30"/>
  <c r="N52" i="33"/>
  <c r="N51" i="33"/>
  <c r="N50" i="33"/>
  <c r="P50" i="33" s="1"/>
  <c r="N49" i="33"/>
  <c r="N48" i="33"/>
  <c r="N47" i="33"/>
  <c r="N46" i="33"/>
  <c r="P46" i="33" s="1"/>
  <c r="N44" i="33"/>
  <c r="N43" i="33"/>
  <c r="N41" i="33"/>
  <c r="N40" i="33"/>
  <c r="N39" i="33"/>
  <c r="P39" i="33" s="1"/>
  <c r="D38" i="33"/>
  <c r="N81" i="34"/>
  <c r="O81" i="34" s="1"/>
  <c r="P81" i="34" s="1"/>
  <c r="N80" i="34"/>
  <c r="O80" i="34" s="1"/>
  <c r="P80" i="34" s="1"/>
  <c r="N79" i="34"/>
  <c r="O79" i="34" s="1"/>
  <c r="P79" i="34" s="1"/>
  <c r="N78" i="34"/>
  <c r="O78" i="34" s="1"/>
  <c r="P78" i="34" s="1"/>
  <c r="N77" i="34"/>
  <c r="O77" i="34" s="1"/>
  <c r="P77" i="34" s="1"/>
  <c r="N75" i="34"/>
  <c r="O75" i="34" s="1"/>
  <c r="P75" i="34" s="1"/>
  <c r="N74" i="34"/>
  <c r="O74" i="34" s="1"/>
  <c r="P74" i="34" s="1"/>
  <c r="N72" i="34"/>
  <c r="N71" i="34"/>
  <c r="N70" i="34"/>
  <c r="O70" i="34" s="1"/>
  <c r="P70" i="34" s="1"/>
  <c r="O69" i="34"/>
  <c r="P69" i="34" s="1"/>
  <c r="O68" i="34"/>
  <c r="P68" i="34" s="1"/>
  <c r="N67" i="34"/>
  <c r="O67" i="34" s="1"/>
  <c r="P67" i="34" s="1"/>
  <c r="O66" i="34"/>
  <c r="P66" i="34" s="1"/>
  <c r="O65" i="34"/>
  <c r="P65" i="34" s="1"/>
  <c r="N64" i="34"/>
  <c r="O64" i="34" s="1"/>
  <c r="P64" i="34" s="1"/>
  <c r="O63" i="34"/>
  <c r="P63" i="34" s="1"/>
  <c r="N61" i="34"/>
  <c r="N60" i="34"/>
  <c r="N59" i="34"/>
  <c r="N58" i="34"/>
  <c r="C68" i="34"/>
  <c r="E66" i="34"/>
  <c r="D66" i="34"/>
  <c r="C66" i="34"/>
  <c r="N73" i="35"/>
  <c r="N72" i="35"/>
  <c r="N71" i="35"/>
  <c r="N70" i="35"/>
  <c r="N69" i="35"/>
  <c r="N68" i="35"/>
  <c r="N67" i="35"/>
  <c r="N66" i="35"/>
  <c r="N65" i="35"/>
  <c r="N64" i="35"/>
  <c r="N63" i="35"/>
  <c r="N62" i="35"/>
  <c r="N61" i="35"/>
  <c r="N56" i="35"/>
  <c r="N22" i="36"/>
  <c r="N43" i="149"/>
  <c r="N42" i="149"/>
  <c r="N39" i="77"/>
  <c r="N38" i="77"/>
  <c r="N37" i="77"/>
  <c r="N36" i="77"/>
  <c r="N35" i="77"/>
  <c r="N34" i="77"/>
  <c r="N33" i="77"/>
  <c r="N32" i="77"/>
  <c r="N31" i="77"/>
  <c r="N30" i="77"/>
  <c r="N29" i="77"/>
  <c r="D39" i="77"/>
  <c r="D38" i="77"/>
  <c r="N83" i="38"/>
  <c r="N82" i="38"/>
  <c r="N81" i="38"/>
  <c r="N80" i="38"/>
  <c r="N79" i="38"/>
  <c r="N77" i="38"/>
  <c r="N75" i="38"/>
  <c r="N74" i="38"/>
  <c r="N73" i="38"/>
  <c r="N72" i="38"/>
  <c r="N71" i="38"/>
  <c r="N70" i="38"/>
  <c r="N69" i="38"/>
  <c r="N66" i="38"/>
  <c r="N65" i="38"/>
  <c r="N64" i="38"/>
  <c r="N63" i="38"/>
  <c r="C71" i="38"/>
  <c r="N55" i="40"/>
  <c r="N54" i="40"/>
  <c r="N53" i="40"/>
  <c r="N52" i="40"/>
  <c r="N51" i="40"/>
  <c r="N50" i="40"/>
  <c r="N29" i="41"/>
  <c r="N28" i="41"/>
  <c r="N27" i="41"/>
  <c r="N26" i="41"/>
  <c r="N25" i="41"/>
  <c r="N24" i="41"/>
  <c r="N49" i="87"/>
  <c r="N75" i="87" s="1"/>
  <c r="N136" i="43"/>
  <c r="N135" i="43"/>
  <c r="N134" i="43"/>
  <c r="N133" i="43"/>
  <c r="N132" i="43"/>
  <c r="N131" i="43"/>
  <c r="N130" i="43"/>
  <c r="N129" i="43"/>
  <c r="N128" i="43"/>
  <c r="P128" i="43" s="1"/>
  <c r="N127" i="43"/>
  <c r="N126" i="43"/>
  <c r="N125" i="43"/>
  <c r="N124" i="43"/>
  <c r="N121" i="43"/>
  <c r="N120" i="43"/>
  <c r="N119" i="43"/>
  <c r="N118" i="43"/>
  <c r="N117" i="43"/>
  <c r="N116" i="43"/>
  <c r="P116" i="43" s="1"/>
  <c r="N114" i="43"/>
  <c r="N113" i="43"/>
  <c r="N112" i="43"/>
  <c r="N111" i="43"/>
  <c r="N110" i="43"/>
  <c r="N109" i="43"/>
  <c r="P109" i="43" s="1"/>
  <c r="N108" i="43"/>
  <c r="N107" i="43"/>
  <c r="P107" i="43" s="1"/>
  <c r="N106" i="43"/>
  <c r="P106" i="43" s="1"/>
  <c r="N105" i="43"/>
  <c r="P105" i="43" s="1"/>
  <c r="N102" i="43"/>
  <c r="N101" i="43"/>
  <c r="N100" i="43"/>
  <c r="N99" i="43"/>
  <c r="N98" i="43"/>
  <c r="N96" i="43"/>
  <c r="N95" i="43"/>
  <c r="N94" i="43"/>
  <c r="C126" i="43"/>
  <c r="D94" i="43"/>
  <c r="C94" i="43"/>
  <c r="D93" i="43"/>
  <c r="N59" i="60"/>
  <c r="N58" i="60"/>
  <c r="N57" i="60"/>
  <c r="N56" i="60"/>
  <c r="N55" i="60"/>
  <c r="N54" i="60"/>
  <c r="N53" i="60"/>
  <c r="N52" i="60"/>
  <c r="N50" i="60"/>
  <c r="N49" i="60"/>
  <c r="N48" i="60"/>
  <c r="N47" i="60"/>
  <c r="O66" i="44"/>
  <c r="P66" i="44" s="1"/>
  <c r="O65" i="44"/>
  <c r="P65" i="44" s="1"/>
  <c r="O64" i="44"/>
  <c r="P64" i="44" s="1"/>
  <c r="O62" i="44"/>
  <c r="P62" i="44" s="1"/>
  <c r="O61" i="44"/>
  <c r="O60" i="44"/>
  <c r="P60" i="44" s="1"/>
  <c r="O59" i="44"/>
  <c r="P59" i="44" s="1"/>
  <c r="O58" i="44"/>
  <c r="P58" i="44" s="1"/>
  <c r="N56" i="44"/>
  <c r="N54" i="44"/>
  <c r="N53" i="44"/>
  <c r="N52" i="44"/>
  <c r="N51" i="44"/>
  <c r="O50" i="44"/>
  <c r="P50" i="44" s="1"/>
  <c r="N20" i="45"/>
  <c r="N22" i="45" s="1"/>
  <c r="O22" i="45" s="1"/>
  <c r="P22" i="45" s="1"/>
  <c r="N23" i="46"/>
  <c r="N28" i="46" s="1"/>
  <c r="O28" i="46" s="1"/>
  <c r="P28" i="46" s="1"/>
  <c r="N18" i="48"/>
  <c r="N20" i="48" s="1"/>
  <c r="O20" i="48" s="1"/>
  <c r="P20" i="48" s="1"/>
  <c r="O30" i="86"/>
  <c r="P30" i="86" s="1"/>
  <c r="O29" i="86"/>
  <c r="P29" i="86" s="1"/>
  <c r="O28" i="86"/>
  <c r="P28" i="86" s="1"/>
  <c r="O27" i="86"/>
  <c r="P27" i="86" s="1"/>
  <c r="O26" i="86"/>
  <c r="P26" i="86" s="1"/>
  <c r="O25" i="86"/>
  <c r="P25" i="86" s="1"/>
  <c r="E29" i="86"/>
  <c r="E26" i="86" s="1"/>
  <c r="C29" i="86"/>
  <c r="C26" i="86" s="1"/>
  <c r="D26" i="86"/>
  <c r="N41" i="56"/>
  <c r="N40" i="56"/>
  <c r="N39" i="56"/>
  <c r="N38" i="56"/>
  <c r="N37" i="56"/>
  <c r="N36" i="56"/>
  <c r="N35" i="56"/>
  <c r="N34" i="56"/>
  <c r="N33" i="56"/>
  <c r="D33" i="56"/>
  <c r="D32" i="56"/>
  <c r="N100" i="17"/>
  <c r="N99" i="17"/>
  <c r="N98" i="17"/>
  <c r="N97" i="17"/>
  <c r="N96" i="17"/>
  <c r="N94" i="17"/>
  <c r="N93" i="17"/>
  <c r="N92" i="17"/>
  <c r="N91" i="17"/>
  <c r="N90" i="17"/>
  <c r="N89" i="17"/>
  <c r="N88" i="17"/>
  <c r="N87" i="17"/>
  <c r="N86" i="17"/>
  <c r="N85" i="17"/>
  <c r="N84" i="17"/>
  <c r="N83" i="17"/>
  <c r="N82" i="17"/>
  <c r="N81" i="17"/>
  <c r="N80" i="17"/>
  <c r="N78" i="17"/>
  <c r="N77" i="17"/>
  <c r="N76" i="17"/>
  <c r="N75" i="17"/>
  <c r="N74" i="17"/>
  <c r="N73" i="17"/>
  <c r="N72" i="17"/>
  <c r="N71" i="17"/>
  <c r="N70" i="17"/>
  <c r="N69" i="17"/>
  <c r="N68" i="17"/>
  <c r="N67" i="17"/>
  <c r="N65" i="17"/>
  <c r="N64" i="17"/>
  <c r="D65" i="17"/>
  <c r="D64" i="17"/>
  <c r="C64" i="17"/>
  <c r="D63" i="17"/>
  <c r="N31" i="23"/>
  <c r="N30" i="23"/>
  <c r="N28" i="23"/>
  <c r="N27" i="23"/>
  <c r="D27" i="23"/>
  <c r="D26" i="23"/>
  <c r="N32" i="18"/>
  <c r="N30" i="18"/>
  <c r="N29" i="18"/>
  <c r="N28" i="18"/>
  <c r="N26" i="18"/>
  <c r="D27" i="18"/>
  <c r="N46" i="22"/>
  <c r="N45" i="22"/>
  <c r="N42" i="22"/>
  <c r="N41" i="22"/>
  <c r="N40" i="22"/>
  <c r="N39" i="22"/>
  <c r="N38" i="22"/>
  <c r="N35" i="22"/>
  <c r="F13" i="22"/>
  <c r="F25" i="22"/>
  <c r="D37" i="22"/>
  <c r="N24" i="7"/>
  <c r="N83" i="8"/>
  <c r="N82" i="8"/>
  <c r="N81" i="8"/>
  <c r="N79" i="8"/>
  <c r="N78" i="8"/>
  <c r="N77" i="8"/>
  <c r="N75" i="8"/>
  <c r="N74" i="8"/>
  <c r="N73" i="8"/>
  <c r="N72" i="8"/>
  <c r="N71" i="8"/>
  <c r="N67" i="8"/>
  <c r="N65" i="8"/>
  <c r="N64" i="8"/>
  <c r="N63" i="8"/>
  <c r="N62" i="8"/>
  <c r="N61" i="8"/>
  <c r="D58" i="8"/>
  <c r="N50" i="9"/>
  <c r="N49" i="9"/>
  <c r="N48" i="9"/>
  <c r="N47" i="9"/>
  <c r="N46" i="9"/>
  <c r="N45" i="9"/>
  <c r="N44" i="9"/>
  <c r="N42" i="9"/>
  <c r="N41" i="9"/>
  <c r="N40" i="9"/>
  <c r="N21" i="10"/>
  <c r="N26" i="10" s="1"/>
  <c r="O75" i="11"/>
  <c r="M24" i="10"/>
  <c r="M23" i="10"/>
  <c r="M22" i="10"/>
  <c r="N104" i="11"/>
  <c r="N103" i="11"/>
  <c r="N102" i="11"/>
  <c r="N101" i="11"/>
  <c r="N100" i="11"/>
  <c r="N99" i="11"/>
  <c r="N98" i="11"/>
  <c r="N97" i="11"/>
  <c r="N95" i="11"/>
  <c r="N94" i="11"/>
  <c r="N93" i="11"/>
  <c r="N91" i="11"/>
  <c r="N90" i="11"/>
  <c r="N89" i="11"/>
  <c r="N86" i="11"/>
  <c r="N85" i="11"/>
  <c r="N84" i="11"/>
  <c r="N83" i="11"/>
  <c r="N82" i="11"/>
  <c r="N81" i="11"/>
  <c r="N79" i="11"/>
  <c r="O45" i="49"/>
  <c r="O57" i="49"/>
  <c r="P57" i="49" s="1"/>
  <c r="O56" i="49"/>
  <c r="P56" i="49" s="1"/>
  <c r="O55" i="49"/>
  <c r="O54" i="49"/>
  <c r="P54" i="49" s="1"/>
  <c r="O53" i="49"/>
  <c r="P53" i="49" s="1"/>
  <c r="O52" i="49"/>
  <c r="P52" i="49" s="1"/>
  <c r="O51" i="49"/>
  <c r="P51" i="49" s="1"/>
  <c r="N48" i="49"/>
  <c r="Y212" i="66"/>
  <c r="N50" i="49"/>
  <c r="N47" i="22"/>
  <c r="N43" i="22"/>
  <c r="N68" i="38"/>
  <c r="Q11" i="32"/>
  <c r="Q14" i="32" s="1"/>
  <c r="L12" i="129" l="1"/>
  <c r="R14" i="32"/>
  <c r="Q41" i="66" s="1"/>
  <c r="O63" i="8"/>
  <c r="P63" i="8" s="1"/>
  <c r="O65" i="8"/>
  <c r="P65" i="8" s="1"/>
  <c r="O64" i="8"/>
  <c r="P64" i="8" s="1"/>
  <c r="O67" i="8"/>
  <c r="P67" i="8" s="1"/>
  <c r="M26" i="10"/>
  <c r="O62" i="30"/>
  <c r="P62" i="30" s="1"/>
  <c r="O63" i="30"/>
  <c r="P63" i="30" s="1"/>
  <c r="O67" i="30"/>
  <c r="P67" i="30" s="1"/>
  <c r="O64" i="30"/>
  <c r="P64" i="30" s="1"/>
  <c r="O68" i="30"/>
  <c r="P68" i="30" s="1"/>
  <c r="P41" i="66"/>
  <c r="N26" i="36"/>
  <c r="O26" i="36" s="1"/>
  <c r="P26" i="36" s="1"/>
  <c r="N55" i="149"/>
  <c r="O55" i="149" s="1"/>
  <c r="P55" i="149" s="1"/>
  <c r="N41" i="77"/>
  <c r="O41" i="77" s="1"/>
  <c r="P41" i="77" s="1"/>
  <c r="O60" i="30"/>
  <c r="P60" i="30"/>
  <c r="O69" i="30"/>
  <c r="P69" i="30" s="1"/>
  <c r="O66" i="30"/>
  <c r="P66" i="30" s="1"/>
  <c r="O59" i="30"/>
  <c r="P59" i="30" s="1"/>
  <c r="O58" i="30"/>
  <c r="P58" i="30" s="1"/>
  <c r="O57" i="30"/>
  <c r="P57" i="30" s="1"/>
  <c r="O79" i="11"/>
  <c r="P79" i="11" s="1"/>
  <c r="O84" i="11"/>
  <c r="P84" i="11" s="1"/>
  <c r="O90" i="11"/>
  <c r="P90" i="11" s="1"/>
  <c r="O95" i="11"/>
  <c r="P95" i="11" s="1"/>
  <c r="O100" i="11"/>
  <c r="P100" i="11" s="1"/>
  <c r="O104" i="11"/>
  <c r="P104" i="11" s="1"/>
  <c r="O42" i="9"/>
  <c r="P42" i="9" s="1"/>
  <c r="O47" i="9"/>
  <c r="P47" i="9"/>
  <c r="O38" i="22"/>
  <c r="P38" i="22"/>
  <c r="O42" i="22"/>
  <c r="P42" i="22" s="1"/>
  <c r="O26" i="18"/>
  <c r="P26" i="18" s="1"/>
  <c r="O32" i="18"/>
  <c r="P32" i="18" s="1"/>
  <c r="O28" i="23"/>
  <c r="P28" i="23" s="1"/>
  <c r="O65" i="17"/>
  <c r="P65" i="17" s="1"/>
  <c r="O70" i="17"/>
  <c r="P70" i="17" s="1"/>
  <c r="O74" i="17"/>
  <c r="P74" i="17"/>
  <c r="O78" i="17"/>
  <c r="P78" i="17" s="1"/>
  <c r="O83" i="17"/>
  <c r="P83" i="17" s="1"/>
  <c r="O87" i="17"/>
  <c r="P87" i="17" s="1"/>
  <c r="O91" i="17"/>
  <c r="P91" i="17" s="1"/>
  <c r="O96" i="17"/>
  <c r="P96" i="17" s="1"/>
  <c r="O100" i="17"/>
  <c r="P100" i="17" s="1"/>
  <c r="O34" i="56"/>
  <c r="P34" i="56" s="1"/>
  <c r="O38" i="56"/>
  <c r="P38" i="56" s="1"/>
  <c r="O54" i="44"/>
  <c r="P54" i="44" s="1"/>
  <c r="O58" i="60"/>
  <c r="P58" i="60" s="1"/>
  <c r="O49" i="87"/>
  <c r="O27" i="41"/>
  <c r="P27" i="41"/>
  <c r="O55" i="40"/>
  <c r="P55" i="40" s="1"/>
  <c r="O60" i="40"/>
  <c r="P60" i="40" s="1"/>
  <c r="O66" i="38"/>
  <c r="P66" i="38" s="1"/>
  <c r="O72" i="38"/>
  <c r="P72" i="38" s="1"/>
  <c r="O77" i="38"/>
  <c r="P77" i="38" s="1"/>
  <c r="O82" i="38"/>
  <c r="P82" i="38" s="1"/>
  <c r="O56" i="35"/>
  <c r="P56" i="35" s="1"/>
  <c r="O64" i="35"/>
  <c r="P64" i="35" s="1"/>
  <c r="O68" i="35"/>
  <c r="P68" i="35" s="1"/>
  <c r="O72" i="35"/>
  <c r="P72" i="35" s="1"/>
  <c r="O72" i="34"/>
  <c r="P72" i="34"/>
  <c r="O43" i="33"/>
  <c r="P43" i="33" s="1"/>
  <c r="O48" i="33"/>
  <c r="P48" i="33" s="1"/>
  <c r="O52" i="33"/>
  <c r="P52" i="33" s="1"/>
  <c r="O91" i="11"/>
  <c r="P91" i="11"/>
  <c r="O101" i="11"/>
  <c r="P101" i="11" s="1"/>
  <c r="O44" i="9"/>
  <c r="P44" i="9" s="1"/>
  <c r="O48" i="9"/>
  <c r="P48" i="9" s="1"/>
  <c r="O39" i="22"/>
  <c r="P39" i="22" s="1"/>
  <c r="O45" i="22"/>
  <c r="P45" i="22" s="1"/>
  <c r="O28" i="18"/>
  <c r="P28" i="18" s="1"/>
  <c r="O30" i="23"/>
  <c r="P30" i="23" s="1"/>
  <c r="O67" i="17"/>
  <c r="P67" i="17" s="1"/>
  <c r="O71" i="17"/>
  <c r="P71" i="17" s="1"/>
  <c r="O75" i="17"/>
  <c r="P75" i="17" s="1"/>
  <c r="O80" i="17"/>
  <c r="P80" i="17" s="1"/>
  <c r="O84" i="17"/>
  <c r="P84" i="17" s="1"/>
  <c r="O88" i="17"/>
  <c r="P88" i="17" s="1"/>
  <c r="O92" i="17"/>
  <c r="P92" i="17" s="1"/>
  <c r="O97" i="17"/>
  <c r="P97" i="17" s="1"/>
  <c r="O35" i="56"/>
  <c r="P35" i="56" s="1"/>
  <c r="O39" i="56"/>
  <c r="P39" i="56" s="1"/>
  <c r="O18" i="48"/>
  <c r="P18" i="48" s="1"/>
  <c r="O51" i="44"/>
  <c r="P51" i="44" s="1"/>
  <c r="O56" i="44"/>
  <c r="P56" i="44" s="1"/>
  <c r="O24" i="41"/>
  <c r="P24" i="41" s="1"/>
  <c r="O28" i="41"/>
  <c r="P28" i="41" s="1"/>
  <c r="O52" i="40"/>
  <c r="P52" i="40" s="1"/>
  <c r="O57" i="40"/>
  <c r="P57" i="40" s="1"/>
  <c r="O61" i="40"/>
  <c r="P61" i="40" s="1"/>
  <c r="O63" i="38"/>
  <c r="P63" i="38" s="1"/>
  <c r="O69" i="38"/>
  <c r="P69" i="38" s="1"/>
  <c r="O73" i="38"/>
  <c r="P73" i="38" s="1"/>
  <c r="O79" i="38"/>
  <c r="P79" i="38" s="1"/>
  <c r="O83" i="38"/>
  <c r="P83" i="38" s="1"/>
  <c r="O61" i="35"/>
  <c r="P61" i="35" s="1"/>
  <c r="O65" i="35"/>
  <c r="P65" i="35"/>
  <c r="O69" i="35"/>
  <c r="P69" i="35"/>
  <c r="O73" i="35"/>
  <c r="P73" i="35" s="1"/>
  <c r="O39" i="33"/>
  <c r="O44" i="33"/>
  <c r="P44" i="33" s="1"/>
  <c r="O49" i="33"/>
  <c r="P49" i="33" s="1"/>
  <c r="O81" i="11"/>
  <c r="P81" i="11"/>
  <c r="O97" i="11"/>
  <c r="P97" i="11" s="1"/>
  <c r="O98" i="11"/>
  <c r="P98" i="11" s="1"/>
  <c r="O40" i="9"/>
  <c r="P40" i="9" s="1"/>
  <c r="O49" i="9"/>
  <c r="P49" i="9" s="1"/>
  <c r="O24" i="7"/>
  <c r="P24" i="7" s="1"/>
  <c r="O40" i="22"/>
  <c r="P40" i="22" s="1"/>
  <c r="O46" i="22"/>
  <c r="P46" i="22"/>
  <c r="O29" i="18"/>
  <c r="P29" i="18" s="1"/>
  <c r="O31" i="23"/>
  <c r="P31" i="23" s="1"/>
  <c r="O68" i="17"/>
  <c r="P68" i="17" s="1"/>
  <c r="O72" i="17"/>
  <c r="P72" i="17" s="1"/>
  <c r="O76" i="17"/>
  <c r="P76" i="17" s="1"/>
  <c r="O81" i="17"/>
  <c r="P81" i="17" s="1"/>
  <c r="O85" i="17"/>
  <c r="P85" i="17"/>
  <c r="O89" i="17"/>
  <c r="P89" i="17" s="1"/>
  <c r="O93" i="17"/>
  <c r="P93" i="17" s="1"/>
  <c r="O98" i="17"/>
  <c r="P98" i="17" s="1"/>
  <c r="O36" i="56"/>
  <c r="P36" i="56" s="1"/>
  <c r="O40" i="56"/>
  <c r="P40" i="56" s="1"/>
  <c r="O23" i="46"/>
  <c r="P23" i="46" s="1"/>
  <c r="O52" i="44"/>
  <c r="P52" i="44" s="1"/>
  <c r="O25" i="41"/>
  <c r="P25" i="41" s="1"/>
  <c r="O29" i="41"/>
  <c r="P29" i="41"/>
  <c r="O53" i="40"/>
  <c r="P53" i="40"/>
  <c r="O58" i="40"/>
  <c r="P58" i="40" s="1"/>
  <c r="O62" i="40"/>
  <c r="P62" i="40" s="1"/>
  <c r="O64" i="38"/>
  <c r="P64" i="38" s="1"/>
  <c r="O70" i="38"/>
  <c r="P70" i="38" s="1"/>
  <c r="O74" i="38"/>
  <c r="P74" i="38"/>
  <c r="O80" i="38"/>
  <c r="P80" i="38"/>
  <c r="O62" i="35"/>
  <c r="P62" i="35" s="1"/>
  <c r="O66" i="35"/>
  <c r="P66" i="35" s="1"/>
  <c r="O70" i="35"/>
  <c r="P70" i="35" s="1"/>
  <c r="O40" i="33"/>
  <c r="P40" i="33" s="1"/>
  <c r="O46" i="33"/>
  <c r="O50" i="33"/>
  <c r="O85" i="11"/>
  <c r="P85" i="11" s="1"/>
  <c r="O82" i="11"/>
  <c r="P82" i="11"/>
  <c r="O86" i="11"/>
  <c r="P86" i="11" s="1"/>
  <c r="O93" i="11"/>
  <c r="P93" i="11" s="1"/>
  <c r="O102" i="11"/>
  <c r="P102" i="11" s="1"/>
  <c r="O45" i="9"/>
  <c r="P45" i="9" s="1"/>
  <c r="O43" i="22"/>
  <c r="P43" i="22" s="1"/>
  <c r="O83" i="11"/>
  <c r="P83" i="11" s="1"/>
  <c r="O89" i="11"/>
  <c r="P89" i="11" s="1"/>
  <c r="O94" i="11"/>
  <c r="P94" i="11" s="1"/>
  <c r="O99" i="11"/>
  <c r="P99" i="11" s="1"/>
  <c r="O103" i="11"/>
  <c r="P103" i="11" s="1"/>
  <c r="O41" i="9"/>
  <c r="P41" i="9" s="1"/>
  <c r="O46" i="9"/>
  <c r="P46" i="9" s="1"/>
  <c r="O50" i="9"/>
  <c r="P50" i="9" s="1"/>
  <c r="O41" i="22"/>
  <c r="P41" i="22" s="1"/>
  <c r="O30" i="18"/>
  <c r="P30" i="18" s="1"/>
  <c r="O27" i="23"/>
  <c r="P27" i="23" s="1"/>
  <c r="O64" i="17"/>
  <c r="P64" i="17" s="1"/>
  <c r="O69" i="17"/>
  <c r="P69" i="17" s="1"/>
  <c r="O73" i="17"/>
  <c r="P73" i="17" s="1"/>
  <c r="O77" i="17"/>
  <c r="P77" i="17" s="1"/>
  <c r="O82" i="17"/>
  <c r="P82" i="17" s="1"/>
  <c r="O86" i="17"/>
  <c r="P86" i="17" s="1"/>
  <c r="O90" i="17"/>
  <c r="P90" i="17" s="1"/>
  <c r="O94" i="17"/>
  <c r="P94" i="17"/>
  <c r="O99" i="17"/>
  <c r="P99" i="17" s="1"/>
  <c r="O33" i="56"/>
  <c r="P33" i="56" s="1"/>
  <c r="O37" i="56"/>
  <c r="P37" i="56" s="1"/>
  <c r="O41" i="56"/>
  <c r="P41" i="56" s="1"/>
  <c r="O20" i="45"/>
  <c r="P20" i="45" s="1"/>
  <c r="O53" i="44"/>
  <c r="P53" i="44" s="1"/>
  <c r="O57" i="60"/>
  <c r="P57" i="60" s="1"/>
  <c r="O26" i="41"/>
  <c r="P26" i="41" s="1"/>
  <c r="O50" i="40"/>
  <c r="P50" i="40"/>
  <c r="O54" i="40"/>
  <c r="P54" i="40" s="1"/>
  <c r="O59" i="40"/>
  <c r="P59" i="40" s="1"/>
  <c r="O63" i="40"/>
  <c r="P63" i="40" s="1"/>
  <c r="O65" i="38"/>
  <c r="P65" i="38" s="1"/>
  <c r="O71" i="38"/>
  <c r="P71" i="38" s="1"/>
  <c r="O75" i="38"/>
  <c r="P75" i="38" s="1"/>
  <c r="O81" i="38"/>
  <c r="P81" i="38" s="1"/>
  <c r="O42" i="149"/>
  <c r="P42" i="149" s="1"/>
  <c r="O22" i="36"/>
  <c r="P22" i="36" s="1"/>
  <c r="O63" i="35"/>
  <c r="P63" i="35" s="1"/>
  <c r="O67" i="35"/>
  <c r="P67" i="35" s="1"/>
  <c r="O71" i="35"/>
  <c r="P71" i="35" s="1"/>
  <c r="O71" i="34"/>
  <c r="P71" i="34" s="1"/>
  <c r="O41" i="33"/>
  <c r="P41" i="33"/>
  <c r="O47" i="33"/>
  <c r="P47" i="33" s="1"/>
  <c r="O51" i="33"/>
  <c r="P51" i="33" s="1"/>
  <c r="O43" i="149"/>
  <c r="P43" i="149" s="1"/>
  <c r="O29" i="77"/>
  <c r="P29" i="77" s="1"/>
  <c r="O33" i="77"/>
  <c r="P33" i="77" s="1"/>
  <c r="O37" i="77"/>
  <c r="P37" i="77" s="1"/>
  <c r="O30" i="77"/>
  <c r="P30" i="77" s="1"/>
  <c r="O38" i="77"/>
  <c r="P38" i="77" s="1"/>
  <c r="O31" i="77"/>
  <c r="P31" i="77" s="1"/>
  <c r="O35" i="77"/>
  <c r="P35" i="77" s="1"/>
  <c r="O39" i="77"/>
  <c r="P39" i="77" s="1"/>
  <c r="O32" i="77"/>
  <c r="P32" i="77" s="1"/>
  <c r="O36" i="77"/>
  <c r="P36" i="77" s="1"/>
  <c r="O49" i="60"/>
  <c r="P49" i="60" s="1"/>
  <c r="O54" i="60"/>
  <c r="P54" i="60"/>
  <c r="O50" i="60"/>
  <c r="P50" i="60" s="1"/>
  <c r="O55" i="60"/>
  <c r="P55" i="60"/>
  <c r="O52" i="60"/>
  <c r="P52" i="60" s="1"/>
  <c r="O56" i="60"/>
  <c r="P56" i="60" s="1"/>
  <c r="O48" i="60"/>
  <c r="P48" i="60" s="1"/>
  <c r="O53" i="60"/>
  <c r="P53" i="60" s="1"/>
  <c r="O34" i="77"/>
  <c r="P34" i="77" s="1"/>
  <c r="O60" i="34"/>
  <c r="P60" i="34" s="1"/>
  <c r="O61" i="34"/>
  <c r="P61" i="34"/>
  <c r="O58" i="34"/>
  <c r="P58" i="34" s="1"/>
  <c r="O59" i="34"/>
  <c r="P59" i="34" s="1"/>
  <c r="O51" i="40"/>
  <c r="P51" i="40" s="1"/>
  <c r="O59" i="60"/>
  <c r="P59" i="60" s="1"/>
  <c r="O48" i="49"/>
  <c r="P48" i="49" s="1"/>
  <c r="O47" i="60"/>
  <c r="P47" i="60" s="1"/>
  <c r="O52" i="30"/>
  <c r="P52" i="30" s="1"/>
  <c r="O53" i="30"/>
  <c r="P53" i="30" s="1"/>
  <c r="O54" i="30"/>
  <c r="P54" i="30" s="1"/>
  <c r="O62" i="8"/>
  <c r="P62" i="8" s="1"/>
  <c r="O74" i="8"/>
  <c r="P74" i="8" s="1"/>
  <c r="O79" i="8"/>
  <c r="P79" i="8" s="1"/>
  <c r="O71" i="8"/>
  <c r="P71" i="8" s="1"/>
  <c r="O75" i="8"/>
  <c r="P75" i="8" s="1"/>
  <c r="O81" i="8"/>
  <c r="P81" i="8" s="1"/>
  <c r="O72" i="8"/>
  <c r="P72" i="8" s="1"/>
  <c r="O77" i="8"/>
  <c r="P77" i="8" s="1"/>
  <c r="O82" i="8"/>
  <c r="P82" i="8" s="1"/>
  <c r="O61" i="8"/>
  <c r="P61" i="8" s="1"/>
  <c r="O73" i="8"/>
  <c r="P73" i="8" s="1"/>
  <c r="O78" i="8"/>
  <c r="P78" i="8" s="1"/>
  <c r="O83" i="8"/>
  <c r="P83" i="8" s="1"/>
  <c r="O94" i="43"/>
  <c r="P94" i="43" s="1"/>
  <c r="O99" i="43"/>
  <c r="P99" i="43" s="1"/>
  <c r="O105" i="43"/>
  <c r="O109" i="43"/>
  <c r="O113" i="43"/>
  <c r="P113" i="43" s="1"/>
  <c r="O118" i="43"/>
  <c r="P118" i="43" s="1"/>
  <c r="O124" i="43"/>
  <c r="P124" i="43" s="1"/>
  <c r="O128" i="43"/>
  <c r="O132" i="43"/>
  <c r="P132" i="43" s="1"/>
  <c r="O136" i="43"/>
  <c r="P136" i="43" s="1"/>
  <c r="O95" i="43"/>
  <c r="P95" i="43" s="1"/>
  <c r="O100" i="43"/>
  <c r="P100" i="43" s="1"/>
  <c r="O106" i="43"/>
  <c r="O110" i="43"/>
  <c r="P110" i="43" s="1"/>
  <c r="O114" i="43"/>
  <c r="P114" i="43" s="1"/>
  <c r="O119" i="43"/>
  <c r="P119" i="43" s="1"/>
  <c r="O125" i="43"/>
  <c r="P125" i="43" s="1"/>
  <c r="O129" i="43"/>
  <c r="P129" i="43" s="1"/>
  <c r="O133" i="43"/>
  <c r="P133" i="43" s="1"/>
  <c r="O96" i="43"/>
  <c r="P96" i="43" s="1"/>
  <c r="O101" i="43"/>
  <c r="P101" i="43" s="1"/>
  <c r="O107" i="43"/>
  <c r="O111" i="43"/>
  <c r="P111" i="43" s="1"/>
  <c r="O116" i="43"/>
  <c r="O120" i="43"/>
  <c r="P120" i="43" s="1"/>
  <c r="O126" i="43"/>
  <c r="P126" i="43" s="1"/>
  <c r="O130" i="43"/>
  <c r="P130" i="43" s="1"/>
  <c r="O134" i="43"/>
  <c r="P134" i="43" s="1"/>
  <c r="O98" i="43"/>
  <c r="P98" i="43" s="1"/>
  <c r="O102" i="43"/>
  <c r="P102" i="43" s="1"/>
  <c r="O108" i="43"/>
  <c r="P108" i="43" s="1"/>
  <c r="O112" i="43"/>
  <c r="P112" i="43" s="1"/>
  <c r="O117" i="43"/>
  <c r="P117" i="43" s="1"/>
  <c r="O121" i="43"/>
  <c r="P121" i="43" s="1"/>
  <c r="O127" i="43"/>
  <c r="P127" i="43" s="1"/>
  <c r="O131" i="43"/>
  <c r="P131" i="43" s="1"/>
  <c r="O135" i="43"/>
  <c r="P135" i="43" s="1"/>
  <c r="O50" i="49"/>
  <c r="P50" i="49" s="1"/>
  <c r="O68" i="38"/>
  <c r="P68" i="38" s="1"/>
  <c r="O47" i="22"/>
  <c r="P47" i="22" s="1"/>
  <c r="N21" i="135"/>
  <c r="N21" i="50"/>
  <c r="N20" i="50"/>
  <c r="N29" i="52"/>
  <c r="N28" i="52"/>
  <c r="N27" i="52"/>
  <c r="N26" i="52"/>
  <c r="N25" i="52"/>
  <c r="M31" i="54"/>
  <c r="D49" i="93"/>
  <c r="E101" i="24"/>
  <c r="E92" i="12"/>
  <c r="E90" i="12"/>
  <c r="N50" i="5"/>
  <c r="N49" i="5"/>
  <c r="N48" i="5"/>
  <c r="N47" i="5"/>
  <c r="N45" i="5"/>
  <c r="N44" i="5"/>
  <c r="N43" i="5"/>
  <c r="N42" i="5"/>
  <c r="N41" i="5"/>
  <c r="N40" i="5"/>
  <c r="N39" i="5"/>
  <c r="N38" i="5"/>
  <c r="N37" i="5"/>
  <c r="D39" i="5"/>
  <c r="D38" i="5"/>
  <c r="D37" i="5"/>
  <c r="N32" i="4"/>
  <c r="N31" i="4"/>
  <c r="N30" i="4"/>
  <c r="N29" i="4"/>
  <c r="N28" i="4"/>
  <c r="N34" i="53"/>
  <c r="N33" i="53"/>
  <c r="N32" i="53"/>
  <c r="N31" i="53"/>
  <c r="N30" i="53"/>
  <c r="N29" i="53"/>
  <c r="N28" i="53"/>
  <c r="M33" i="54" l="1"/>
  <c r="P33" i="54" s="1"/>
  <c r="P31" i="54"/>
  <c r="O31" i="54"/>
  <c r="P49" i="87"/>
  <c r="O75" i="87"/>
  <c r="P75" i="87" s="1"/>
  <c r="N52" i="5"/>
  <c r="O52" i="5" s="1"/>
  <c r="P52" i="5" s="1"/>
  <c r="N36" i="53"/>
  <c r="O36" i="53" s="1"/>
  <c r="P36" i="53" s="1"/>
  <c r="O31" i="41"/>
  <c r="P31" i="41" s="1"/>
  <c r="N23" i="50"/>
  <c r="O23" i="50" s="1"/>
  <c r="P23" i="50" s="1"/>
  <c r="N31" i="52"/>
  <c r="O31" i="52" s="1"/>
  <c r="P31" i="52" s="1"/>
  <c r="O41" i="5"/>
  <c r="P41" i="5" s="1"/>
  <c r="O43" i="5"/>
  <c r="P43" i="5" s="1"/>
  <c r="O48" i="5"/>
  <c r="P48" i="5" s="1"/>
  <c r="O37" i="93"/>
  <c r="P37" i="93" s="1"/>
  <c r="O41" i="93"/>
  <c r="P41" i="93" s="1"/>
  <c r="O21" i="50"/>
  <c r="P21" i="50" s="1"/>
  <c r="O40" i="5"/>
  <c r="P40" i="5" s="1"/>
  <c r="O44" i="5"/>
  <c r="P44" i="5" s="1"/>
  <c r="O49" i="5"/>
  <c r="P49" i="5" s="1"/>
  <c r="O38" i="93"/>
  <c r="P38" i="93" s="1"/>
  <c r="O42" i="93"/>
  <c r="P42" i="93" s="1"/>
  <c r="O21" i="135"/>
  <c r="P21" i="135" s="1"/>
  <c r="O37" i="5"/>
  <c r="P37" i="5" s="1"/>
  <c r="O43" i="93"/>
  <c r="P43" i="93" s="1"/>
  <c r="O50" i="5"/>
  <c r="P50" i="5"/>
  <c r="O38" i="5"/>
  <c r="P38" i="5" s="1"/>
  <c r="O42" i="5"/>
  <c r="P42" i="5" s="1"/>
  <c r="O47" i="5"/>
  <c r="P47" i="5" s="1"/>
  <c r="O40" i="93"/>
  <c r="P40" i="93" s="1"/>
  <c r="O44" i="93"/>
  <c r="P44" i="93" s="1"/>
  <c r="O20" i="50"/>
  <c r="P20" i="50" s="1"/>
  <c r="O45" i="5"/>
  <c r="P45" i="5" s="1"/>
  <c r="O39" i="93"/>
  <c r="P39" i="93" s="1"/>
  <c r="O39" i="5"/>
  <c r="P39" i="5" s="1"/>
  <c r="O45" i="93"/>
  <c r="P45" i="93" s="1"/>
  <c r="O30" i="4"/>
  <c r="P30" i="4" s="1"/>
  <c r="O31" i="4"/>
  <c r="P31" i="4" s="1"/>
  <c r="O28" i="4"/>
  <c r="P28" i="4" s="1"/>
  <c r="O32" i="4"/>
  <c r="P32" i="4" s="1"/>
  <c r="O29" i="53"/>
  <c r="P29" i="53" s="1"/>
  <c r="O33" i="53"/>
  <c r="P33" i="53" s="1"/>
  <c r="O34" i="53"/>
  <c r="P34" i="53" s="1"/>
  <c r="O31" i="53"/>
  <c r="P31" i="53" s="1"/>
  <c r="O30" i="53"/>
  <c r="P30" i="53" s="1"/>
  <c r="O28" i="53"/>
  <c r="P28" i="53" s="1"/>
  <c r="O32" i="53"/>
  <c r="P32" i="53" s="1"/>
  <c r="O28" i="52"/>
  <c r="P28" i="52" s="1"/>
  <c r="O29" i="52"/>
  <c r="P29" i="52" s="1"/>
  <c r="O26" i="52"/>
  <c r="P26" i="52" s="1"/>
  <c r="O25" i="52"/>
  <c r="P25" i="52" s="1"/>
  <c r="O27" i="52"/>
  <c r="P27" i="52" s="1"/>
  <c r="O36" i="93"/>
  <c r="P36" i="93" s="1"/>
  <c r="O29" i="4"/>
  <c r="P29" i="4" s="1"/>
  <c r="G72" i="26" l="1"/>
  <c r="G48" i="26"/>
  <c r="G54" i="26" s="1"/>
  <c r="H8" i="66" s="1"/>
  <c r="G77" i="26"/>
  <c r="G25" i="26"/>
  <c r="G26" i="26" s="1"/>
  <c r="G29" i="26" s="1"/>
  <c r="H7" i="66" s="1"/>
  <c r="H24" i="66" l="1"/>
  <c r="G85" i="26"/>
  <c r="G9" i="26"/>
  <c r="Q94" i="15"/>
  <c r="N66" i="17" s="1"/>
  <c r="N56" i="30"/>
  <c r="G15" i="4"/>
  <c r="G18" i="4" s="1"/>
  <c r="G29" i="6"/>
  <c r="G59" i="6"/>
  <c r="G56" i="6"/>
  <c r="G26" i="5"/>
  <c r="F103" i="129" s="1"/>
  <c r="G23" i="5"/>
  <c r="G12" i="5"/>
  <c r="G59" i="12"/>
  <c r="G14" i="12"/>
  <c r="G16" i="24"/>
  <c r="F16" i="24"/>
  <c r="G47" i="24"/>
  <c r="G26" i="93"/>
  <c r="G20" i="93"/>
  <c r="G21" i="54"/>
  <c r="G18" i="53"/>
  <c r="G20" i="53" s="1"/>
  <c r="G15" i="52"/>
  <c r="G61" i="51"/>
  <c r="G56" i="51"/>
  <c r="G31" i="51"/>
  <c r="G11" i="50"/>
  <c r="G14" i="50" s="1"/>
  <c r="G12" i="135"/>
  <c r="G15" i="135" s="1"/>
  <c r="G13" i="49"/>
  <c r="G27" i="49"/>
  <c r="G16" i="11"/>
  <c r="G41" i="11"/>
  <c r="G12" i="10"/>
  <c r="G15" i="10" s="1"/>
  <c r="G11" i="9"/>
  <c r="G24" i="9"/>
  <c r="G39" i="8"/>
  <c r="G13" i="7"/>
  <c r="G18" i="7" s="1"/>
  <c r="F44" i="129" s="1"/>
  <c r="G25" i="22"/>
  <c r="G13" i="22"/>
  <c r="G18" i="18"/>
  <c r="G50" i="17"/>
  <c r="G53" i="15"/>
  <c r="G51" i="15"/>
  <c r="G50" i="15"/>
  <c r="G49" i="15"/>
  <c r="G47" i="15"/>
  <c r="G46" i="15"/>
  <c r="G45" i="15"/>
  <c r="G44" i="15"/>
  <c r="G43" i="15"/>
  <c r="G42" i="15"/>
  <c r="G41" i="15"/>
  <c r="G40" i="15"/>
  <c r="G39" i="15"/>
  <c r="G38" i="15"/>
  <c r="G37" i="15"/>
  <c r="G36" i="15"/>
  <c r="G35" i="15"/>
  <c r="G34" i="15"/>
  <c r="G33" i="15"/>
  <c r="G32" i="15"/>
  <c r="G31" i="15"/>
  <c r="G29" i="15"/>
  <c r="G28" i="15"/>
  <c r="G27" i="15"/>
  <c r="G26" i="15"/>
  <c r="G25" i="15"/>
  <c r="G24" i="15"/>
  <c r="G23" i="15"/>
  <c r="G22" i="15"/>
  <c r="G21" i="15"/>
  <c r="G20" i="15"/>
  <c r="G19" i="15"/>
  <c r="G16" i="15"/>
  <c r="G15" i="15"/>
  <c r="G14" i="15"/>
  <c r="G13" i="15"/>
  <c r="G12" i="15"/>
  <c r="G11" i="15"/>
  <c r="G10" i="15"/>
  <c r="G9" i="15"/>
  <c r="G18" i="23"/>
  <c r="G13" i="23"/>
  <c r="G16" i="17"/>
  <c r="G22" i="56"/>
  <c r="G12" i="56"/>
  <c r="G14" i="13"/>
  <c r="G129" i="66" s="1"/>
  <c r="G11" i="13"/>
  <c r="G128" i="66" s="1"/>
  <c r="G17" i="86"/>
  <c r="G10" i="86"/>
  <c r="G10" i="48"/>
  <c r="G12" i="48" s="1"/>
  <c r="G16" i="47"/>
  <c r="G14" i="46"/>
  <c r="G10" i="46"/>
  <c r="G10" i="45"/>
  <c r="G12" i="45" s="1"/>
  <c r="G33" i="44"/>
  <c r="G24" i="60"/>
  <c r="G19" i="60"/>
  <c r="G28" i="43"/>
  <c r="G57" i="43"/>
  <c r="G54" i="43"/>
  <c r="G39" i="87"/>
  <c r="G41" i="87" s="1"/>
  <c r="F23" i="129"/>
  <c r="G15" i="41"/>
  <c r="G18" i="41" s="1"/>
  <c r="G30" i="40"/>
  <c r="G13" i="40"/>
  <c r="G36" i="38"/>
  <c r="G21" i="77"/>
  <c r="G27" i="149"/>
  <c r="G11" i="149"/>
  <c r="G16" i="35"/>
  <c r="G31" i="35"/>
  <c r="G16" i="34"/>
  <c r="G40" i="34"/>
  <c r="G44" i="66" s="1"/>
  <c r="G37" i="34"/>
  <c r="G26" i="33"/>
  <c r="G11" i="33"/>
  <c r="G11" i="32"/>
  <c r="G14" i="32" s="1"/>
  <c r="G17" i="31"/>
  <c r="G20" i="31" s="1"/>
  <c r="G34" i="30"/>
  <c r="G19" i="30"/>
  <c r="G21" i="29"/>
  <c r="G10" i="29"/>
  <c r="H8" i="26" l="1"/>
  <c r="H5" i="26"/>
  <c r="D121" i="137"/>
  <c r="F21" i="129"/>
  <c r="G51" i="66"/>
  <c r="G21" i="47"/>
  <c r="F33" i="129" s="1"/>
  <c r="G64" i="66"/>
  <c r="F64" i="129"/>
  <c r="G92" i="66"/>
  <c r="F11" i="129"/>
  <c r="G40" i="66"/>
  <c r="F31" i="129"/>
  <c r="G62" i="66"/>
  <c r="F34" i="129"/>
  <c r="G66" i="66"/>
  <c r="F65" i="129"/>
  <c r="G93" i="66"/>
  <c r="F12" i="129"/>
  <c r="G41" i="66"/>
  <c r="G77" i="66"/>
  <c r="F58" i="129"/>
  <c r="G85" i="66"/>
  <c r="G23" i="54"/>
  <c r="F76" i="129" s="1"/>
  <c r="G105" i="66"/>
  <c r="O66" i="17"/>
  <c r="P66" i="17" s="1"/>
  <c r="G130" i="66"/>
  <c r="F72" i="129"/>
  <c r="G101" i="66"/>
  <c r="O56" i="30"/>
  <c r="P56" i="30" s="1"/>
  <c r="F94" i="129"/>
  <c r="G116" i="66"/>
  <c r="G52" i="66"/>
  <c r="F22" i="129"/>
  <c r="F75" i="129"/>
  <c r="G104" i="66"/>
  <c r="F28" i="129"/>
  <c r="G59" i="66"/>
  <c r="G19" i="13"/>
  <c r="G23" i="29"/>
  <c r="G23" i="77"/>
  <c r="G48" i="66" s="1"/>
  <c r="F18" i="129"/>
  <c r="G24" i="56"/>
  <c r="G30" i="93"/>
  <c r="G38" i="38"/>
  <c r="G55" i="17"/>
  <c r="G29" i="49"/>
  <c r="G13" i="26"/>
  <c r="G16" i="26" s="1"/>
  <c r="H6" i="66" s="1"/>
  <c r="H29" i="66" s="1"/>
  <c r="G64" i="12"/>
  <c r="F91" i="129" s="1"/>
  <c r="G17" i="15"/>
  <c r="G61" i="6"/>
  <c r="G28" i="5"/>
  <c r="G114" i="66" s="1"/>
  <c r="G54" i="24"/>
  <c r="G64" i="51"/>
  <c r="G46" i="11"/>
  <c r="G26" i="9"/>
  <c r="G41" i="8"/>
  <c r="G27" i="22"/>
  <c r="G12" i="18"/>
  <c r="G20" i="18" s="1"/>
  <c r="G20" i="23"/>
  <c r="G19" i="86"/>
  <c r="G16" i="46"/>
  <c r="G35" i="44"/>
  <c r="G26" i="60"/>
  <c r="G59" i="43"/>
  <c r="G32" i="40"/>
  <c r="G29" i="149"/>
  <c r="G33" i="35"/>
  <c r="G42" i="34"/>
  <c r="G28" i="33"/>
  <c r="G36" i="30"/>
  <c r="I11" i="149"/>
  <c r="I19" i="47"/>
  <c r="I65" i="66" s="1"/>
  <c r="I16" i="47"/>
  <c r="I64" i="66" s="1"/>
  <c r="I10" i="86"/>
  <c r="E29" i="2"/>
  <c r="F77" i="129" l="1"/>
  <c r="G107" i="66"/>
  <c r="F35" i="129"/>
  <c r="G67" i="66"/>
  <c r="F57" i="129"/>
  <c r="F59" i="129" s="1"/>
  <c r="G84" i="66"/>
  <c r="O47" i="93"/>
  <c r="P47" i="93" s="1"/>
  <c r="O46" i="93"/>
  <c r="P46" i="93" s="1"/>
  <c r="F63" i="129"/>
  <c r="G91" i="66"/>
  <c r="F14" i="129"/>
  <c r="G43" i="66"/>
  <c r="F102" i="129"/>
  <c r="F104" i="129" s="1"/>
  <c r="F32" i="129"/>
  <c r="G63" i="66"/>
  <c r="F19" i="129"/>
  <c r="G49" i="66"/>
  <c r="F42" i="129"/>
  <c r="G75" i="66"/>
  <c r="F41" i="129"/>
  <c r="G74" i="66"/>
  <c r="I12" i="18"/>
  <c r="F9" i="129"/>
  <c r="G38" i="66"/>
  <c r="G79" i="26"/>
  <c r="G92" i="26" s="1"/>
  <c r="F62" i="129"/>
  <c r="G90" i="66"/>
  <c r="F30" i="129"/>
  <c r="G61" i="66"/>
  <c r="F17" i="129"/>
  <c r="G47" i="66"/>
  <c r="F10" i="129"/>
  <c r="G39" i="66"/>
  <c r="F93" i="129"/>
  <c r="F95" i="129" s="1"/>
  <c r="G115" i="66"/>
  <c r="F13" i="129"/>
  <c r="G42" i="66"/>
  <c r="F116" i="129"/>
  <c r="F120" i="129" s="1"/>
  <c r="G121" i="66"/>
  <c r="F69" i="129"/>
  <c r="G98" i="66"/>
  <c r="F20" i="129"/>
  <c r="G50" i="66"/>
  <c r="H9" i="26"/>
  <c r="G112" i="66"/>
  <c r="F56" i="129"/>
  <c r="G83" i="66"/>
  <c r="F15" i="129"/>
  <c r="G45" i="66"/>
  <c r="F27" i="129"/>
  <c r="G58" i="66"/>
  <c r="F29" i="129"/>
  <c r="G60" i="66"/>
  <c r="I21" i="47"/>
  <c r="H33" i="129" s="1"/>
  <c r="I39" i="87"/>
  <c r="I8" i="26" l="1"/>
  <c r="I5" i="26"/>
  <c r="J8" i="26"/>
  <c r="F36" i="129"/>
  <c r="G95" i="66"/>
  <c r="J9" i="26"/>
  <c r="F66" i="129"/>
  <c r="F106" i="129"/>
  <c r="F24" i="129"/>
  <c r="G118" i="66"/>
  <c r="G55" i="66"/>
  <c r="G69" i="66"/>
  <c r="J13" i="26" l="1"/>
  <c r="K5" i="26"/>
  <c r="I13" i="26"/>
  <c r="I16" i="26" s="1"/>
  <c r="J5" i="26"/>
  <c r="K8" i="26"/>
  <c r="I79" i="26"/>
  <c r="I92" i="26" s="1"/>
  <c r="J6" i="66"/>
  <c r="J29" i="66" s="1"/>
  <c r="J263" i="66" s="1"/>
  <c r="J266" i="66" s="1"/>
  <c r="X210" i="66"/>
  <c r="K9" i="26" l="1"/>
  <c r="Q18" i="53"/>
  <c r="Q27" i="49"/>
  <c r="Q41" i="11"/>
  <c r="Q24" i="9"/>
  <c r="Q25" i="22"/>
  <c r="S25" i="22" s="1"/>
  <c r="Q22" i="56"/>
  <c r="Q17" i="86"/>
  <c r="Q16" i="47"/>
  <c r="Q33" i="44"/>
  <c r="S33" i="44" s="1"/>
  <c r="Q24" i="60"/>
  <c r="R24" i="60" s="1"/>
  <c r="Q39" i="87"/>
  <c r="Q15" i="41"/>
  <c r="Q30" i="40"/>
  <c r="Q36" i="38"/>
  <c r="Q21" i="77"/>
  <c r="L18" i="129" s="1"/>
  <c r="Q27" i="149"/>
  <c r="Q31" i="35"/>
  <c r="Q37" i="34"/>
  <c r="Q26" i="33"/>
  <c r="Q17" i="31"/>
  <c r="Q34" i="30"/>
  <c r="K13" i="26" l="1"/>
  <c r="K16" i="26" s="1"/>
  <c r="L5" i="26"/>
  <c r="K79" i="26"/>
  <c r="K92" i="26" s="1"/>
  <c r="M6" i="66"/>
  <c r="M29" i="66" s="1"/>
  <c r="L8" i="26"/>
  <c r="S16" i="47"/>
  <c r="R64" i="66" s="1"/>
  <c r="R16" i="47"/>
  <c r="Q64" i="66" s="1"/>
  <c r="P101" i="66"/>
  <c r="C58" i="179" s="1"/>
  <c r="D58" i="179" s="1"/>
  <c r="R15" i="52"/>
  <c r="Q101" i="66" s="1"/>
  <c r="S39" i="87"/>
  <c r="O36" i="47"/>
  <c r="P36" i="47" s="1"/>
  <c r="P64" i="66"/>
  <c r="S21" i="77"/>
  <c r="M18" i="129" s="1"/>
  <c r="N18" i="129" s="1"/>
  <c r="O18" i="129" s="1"/>
  <c r="S15" i="52"/>
  <c r="L72" i="129"/>
  <c r="M32" i="66" l="1"/>
  <c r="M263" i="66"/>
  <c r="M266" i="66" s="1"/>
  <c r="L9" i="26"/>
  <c r="M5" i="26" s="1"/>
  <c r="M72" i="129"/>
  <c r="N72" i="129" s="1"/>
  <c r="O72" i="129" s="1"/>
  <c r="R101" i="66"/>
  <c r="U11" i="66"/>
  <c r="M8" i="26" l="1"/>
  <c r="C6" i="179"/>
  <c r="D6" i="179" s="1"/>
  <c r="M9" i="26"/>
  <c r="C7" i="179" s="1"/>
  <c r="D7" i="179" s="1"/>
  <c r="L13" i="26"/>
  <c r="L16" i="26" s="1"/>
  <c r="H29" i="26"/>
  <c r="L79" i="26" l="1"/>
  <c r="O6" i="66"/>
  <c r="I7" i="66"/>
  <c r="J22" i="144"/>
  <c r="G22" i="144"/>
  <c r="E11" i="12" l="1"/>
  <c r="F11" i="12"/>
  <c r="F9" i="12"/>
  <c r="E9" i="12"/>
  <c r="C8" i="107" l="1"/>
  <c r="D8" i="107" l="1"/>
  <c r="C26" i="107"/>
  <c r="D26" i="107" s="1"/>
  <c r="Q12" i="49"/>
  <c r="N49" i="49" s="1"/>
  <c r="N66" i="8"/>
  <c r="O66" i="8" l="1"/>
  <c r="P66" i="8" s="1"/>
  <c r="O49" i="49"/>
  <c r="P49" i="49" s="1"/>
  <c r="P11" i="9"/>
  <c r="Q13" i="7"/>
  <c r="Q19" i="47"/>
  <c r="Q21" i="47" l="1"/>
  <c r="Q22" i="47" s="1"/>
  <c r="R22" i="47" s="1"/>
  <c r="H24" i="104"/>
  <c r="P65" i="66"/>
  <c r="P89" i="15"/>
  <c r="D86" i="137" s="1"/>
  <c r="L33" i="129" l="1"/>
  <c r="R21" i="47"/>
  <c r="S21" i="47"/>
  <c r="M33" i="129" s="1"/>
  <c r="N33" i="129" s="1"/>
  <c r="O33" i="129" s="1"/>
  <c r="D120" i="137" l="1"/>
  <c r="D119" i="137"/>
  <c r="G29" i="2"/>
  <c r="P87" i="15"/>
  <c r="D84" i="137" s="1"/>
  <c r="B34" i="133"/>
  <c r="C34" i="133" s="1"/>
  <c r="T130" i="66"/>
  <c r="T134" i="66" s="1"/>
  <c r="H77" i="26"/>
  <c r="N39" i="9"/>
  <c r="P86" i="15"/>
  <c r="D83" i="137" s="1"/>
  <c r="P81" i="15"/>
  <c r="D79" i="137" s="1"/>
  <c r="P80" i="15"/>
  <c r="Q10" i="22" s="1"/>
  <c r="P79" i="15"/>
  <c r="D75" i="137" s="1"/>
  <c r="P77" i="15"/>
  <c r="P76" i="15"/>
  <c r="D74" i="137" s="1"/>
  <c r="P75" i="15"/>
  <c r="D73" i="137" s="1"/>
  <c r="P73" i="15"/>
  <c r="D71" i="137" s="1"/>
  <c r="P78" i="15"/>
  <c r="D77" i="137" s="1"/>
  <c r="P74" i="15"/>
  <c r="F15" i="4"/>
  <c r="F18" i="4" s="1"/>
  <c r="F116" i="66" s="1"/>
  <c r="F59" i="6"/>
  <c r="F56" i="6"/>
  <c r="F29" i="6"/>
  <c r="F26" i="5"/>
  <c r="F23" i="5"/>
  <c r="F12" i="5"/>
  <c r="F59" i="12"/>
  <c r="F14" i="12"/>
  <c r="F47" i="24"/>
  <c r="F54" i="24" s="1"/>
  <c r="F121" i="66" s="1"/>
  <c r="F26" i="93"/>
  <c r="F20" i="93"/>
  <c r="F21" i="54"/>
  <c r="F105" i="66" s="1"/>
  <c r="F18" i="53"/>
  <c r="F20" i="53" s="1"/>
  <c r="F104" i="66" s="1"/>
  <c r="F15" i="52"/>
  <c r="F101" i="66" s="1"/>
  <c r="F61" i="51"/>
  <c r="F56" i="51"/>
  <c r="F31" i="51"/>
  <c r="F11" i="50"/>
  <c r="F14" i="50" s="1"/>
  <c r="F93" i="66" s="1"/>
  <c r="F12" i="135"/>
  <c r="F15" i="135" s="1"/>
  <c r="F92" i="66" s="1"/>
  <c r="F27" i="49"/>
  <c r="F13" i="49"/>
  <c r="F41" i="11"/>
  <c r="F16" i="11"/>
  <c r="F12" i="10"/>
  <c r="F15" i="10" s="1"/>
  <c r="F85" i="66" s="1"/>
  <c r="F24" i="9"/>
  <c r="F11" i="9"/>
  <c r="F22" i="8"/>
  <c r="F39" i="8"/>
  <c r="F13" i="7"/>
  <c r="F18" i="7" s="1"/>
  <c r="F77" i="66" s="1"/>
  <c r="F27" i="22"/>
  <c r="F75" i="66" s="1"/>
  <c r="F18" i="18"/>
  <c r="F12" i="18"/>
  <c r="F53" i="15"/>
  <c r="F52" i="15"/>
  <c r="F51" i="15"/>
  <c r="F50" i="15"/>
  <c r="F49" i="15"/>
  <c r="F47" i="15"/>
  <c r="F46" i="15"/>
  <c r="F45" i="15"/>
  <c r="F44" i="15"/>
  <c r="F43" i="15"/>
  <c r="F42" i="15"/>
  <c r="F41" i="15"/>
  <c r="F40" i="15"/>
  <c r="F39" i="15"/>
  <c r="F38" i="15"/>
  <c r="F37" i="15"/>
  <c r="F36" i="15"/>
  <c r="F35" i="15"/>
  <c r="F34" i="15"/>
  <c r="F33" i="15"/>
  <c r="F32" i="15"/>
  <c r="F31" i="15"/>
  <c r="F29" i="15"/>
  <c r="F28" i="15"/>
  <c r="F27" i="15"/>
  <c r="F26" i="15"/>
  <c r="F25" i="15"/>
  <c r="F24" i="15"/>
  <c r="F23" i="15"/>
  <c r="F22" i="15"/>
  <c r="F21" i="15"/>
  <c r="F20" i="15"/>
  <c r="F19" i="15"/>
  <c r="F16" i="15"/>
  <c r="F15" i="15"/>
  <c r="F14" i="15"/>
  <c r="F13" i="15"/>
  <c r="F12" i="15"/>
  <c r="F11" i="15"/>
  <c r="F10" i="15"/>
  <c r="F9" i="15"/>
  <c r="F50" i="17"/>
  <c r="F16" i="17"/>
  <c r="F18" i="23"/>
  <c r="F13" i="23"/>
  <c r="F22" i="56"/>
  <c r="F12" i="56"/>
  <c r="F14" i="13"/>
  <c r="F129" i="66" s="1"/>
  <c r="F11" i="13"/>
  <c r="F17" i="86"/>
  <c r="F10" i="86"/>
  <c r="F10" i="48"/>
  <c r="F12" i="48" s="1"/>
  <c r="F66" i="66" s="1"/>
  <c r="F16" i="47"/>
  <c r="F14" i="46"/>
  <c r="F10" i="46"/>
  <c r="F33" i="44"/>
  <c r="F24" i="60"/>
  <c r="F19" i="60"/>
  <c r="F57" i="43"/>
  <c r="F59" i="66" s="1"/>
  <c r="F54" i="43"/>
  <c r="F26" i="43"/>
  <c r="F28" i="43" s="1"/>
  <c r="F39" i="87"/>
  <c r="F41" i="87" s="1"/>
  <c r="F52" i="66" s="1"/>
  <c r="F15" i="41"/>
  <c r="F18" i="41" s="1"/>
  <c r="F51" i="66" s="1"/>
  <c r="F30" i="40"/>
  <c r="F13" i="40"/>
  <c r="F36" i="38"/>
  <c r="F18" i="38"/>
  <c r="F21" i="77"/>
  <c r="F27" i="149"/>
  <c r="F11" i="149"/>
  <c r="F13" i="36"/>
  <c r="F16" i="36" s="1"/>
  <c r="F46" i="66" s="1"/>
  <c r="F16" i="35"/>
  <c r="F31" i="35"/>
  <c r="F40" i="34"/>
  <c r="F44" i="66" s="1"/>
  <c r="C23" i="34"/>
  <c r="F23" i="34"/>
  <c r="F37" i="34" s="1"/>
  <c r="F11" i="34"/>
  <c r="F16" i="34" s="1"/>
  <c r="F26" i="33"/>
  <c r="F11" i="33"/>
  <c r="F11" i="32"/>
  <c r="F14" i="32" s="1"/>
  <c r="F41" i="66" s="1"/>
  <c r="F17" i="31"/>
  <c r="F20" i="31" s="1"/>
  <c r="F40" i="66" s="1"/>
  <c r="F34" i="30"/>
  <c r="F19" i="30"/>
  <c r="F21" i="29"/>
  <c r="F10" i="29"/>
  <c r="I11" i="9"/>
  <c r="E21" i="34"/>
  <c r="D21" i="34"/>
  <c r="D37" i="34" s="1"/>
  <c r="C21" i="34"/>
  <c r="I26" i="5"/>
  <c r="H103" i="129" s="1"/>
  <c r="F10" i="45"/>
  <c r="F12" i="45" s="1"/>
  <c r="F62" i="66" s="1"/>
  <c r="E10" i="45"/>
  <c r="E12" i="45" s="1"/>
  <c r="I10" i="29"/>
  <c r="I23" i="29" s="1"/>
  <c r="H9" i="129" s="1"/>
  <c r="S15" i="4"/>
  <c r="S26" i="93"/>
  <c r="S20" i="93"/>
  <c r="S18" i="53"/>
  <c r="Q20" i="53"/>
  <c r="Q21" i="53" s="1"/>
  <c r="R21" i="53" s="1"/>
  <c r="S12" i="135"/>
  <c r="S27" i="49"/>
  <c r="S44" i="11"/>
  <c r="S41" i="11"/>
  <c r="S12" i="10"/>
  <c r="S24" i="9"/>
  <c r="S16" i="7"/>
  <c r="S13" i="7"/>
  <c r="N37" i="22"/>
  <c r="S18" i="18"/>
  <c r="N27" i="18"/>
  <c r="S50" i="17"/>
  <c r="S18" i="23"/>
  <c r="S22" i="56"/>
  <c r="S17" i="86"/>
  <c r="S10" i="86"/>
  <c r="S10" i="48"/>
  <c r="S14" i="46"/>
  <c r="S10" i="46"/>
  <c r="S10" i="45"/>
  <c r="S24" i="60"/>
  <c r="S30" i="40"/>
  <c r="S36" i="38"/>
  <c r="S27" i="149"/>
  <c r="S31" i="35"/>
  <c r="S40" i="34"/>
  <c r="R44" i="66" s="1"/>
  <c r="S37" i="34"/>
  <c r="S26" i="33"/>
  <c r="S11" i="32"/>
  <c r="S17" i="31"/>
  <c r="S34" i="30"/>
  <c r="S21" i="29"/>
  <c r="S15" i="41"/>
  <c r="C35" i="143"/>
  <c r="F25" i="26"/>
  <c r="F26" i="26" s="1"/>
  <c r="F29" i="26" s="1"/>
  <c r="G7" i="66" s="1"/>
  <c r="F83" i="26"/>
  <c r="G24" i="66" s="1"/>
  <c r="E15" i="86"/>
  <c r="E12" i="86" s="1"/>
  <c r="E17" i="86" s="1"/>
  <c r="D12" i="86"/>
  <c r="D17" i="86" s="1"/>
  <c r="C15" i="86"/>
  <c r="C12" i="86" s="1"/>
  <c r="C17" i="86" s="1"/>
  <c r="F84" i="26"/>
  <c r="G25" i="66" s="1"/>
  <c r="P14" i="46"/>
  <c r="Y213" i="66"/>
  <c r="Y257" i="66" s="1"/>
  <c r="G51" i="104"/>
  <c r="Q26" i="5"/>
  <c r="D19" i="77"/>
  <c r="D18" i="77"/>
  <c r="D16" i="144"/>
  <c r="D22" i="144" s="1"/>
  <c r="I22" i="56"/>
  <c r="O12" i="104"/>
  <c r="I21" i="77"/>
  <c r="P21" i="77"/>
  <c r="P23" i="77" s="1"/>
  <c r="C21" i="77"/>
  <c r="P27" i="149"/>
  <c r="I27" i="149"/>
  <c r="E27" i="149"/>
  <c r="D27" i="149"/>
  <c r="C27" i="149"/>
  <c r="P11" i="149"/>
  <c r="E11" i="149"/>
  <c r="D11" i="149"/>
  <c r="C11" i="149"/>
  <c r="U128" i="66"/>
  <c r="U130" i="66" s="1"/>
  <c r="U134" i="66" s="1"/>
  <c r="I72" i="137"/>
  <c r="I12" i="10"/>
  <c r="F34" i="104" s="1"/>
  <c r="Q10" i="86"/>
  <c r="Q19" i="86" s="1"/>
  <c r="Q10" i="46"/>
  <c r="G23" i="104" s="1"/>
  <c r="H9" i="104"/>
  <c r="Q10" i="29"/>
  <c r="W32" i="6"/>
  <c r="V32" i="6"/>
  <c r="U32" i="6"/>
  <c r="AA35" i="51"/>
  <c r="Z35" i="51"/>
  <c r="Y35" i="51"/>
  <c r="X35" i="51"/>
  <c r="Q35" i="51" s="1"/>
  <c r="W35" i="51"/>
  <c r="V35" i="51"/>
  <c r="U35" i="51"/>
  <c r="AA11" i="51"/>
  <c r="Z11" i="51"/>
  <c r="Y11" i="51"/>
  <c r="X11" i="51"/>
  <c r="Q11" i="51" s="1"/>
  <c r="W11" i="51"/>
  <c r="V11" i="51"/>
  <c r="U11" i="51"/>
  <c r="V25" i="93"/>
  <c r="U25" i="93"/>
  <c r="W26" i="93"/>
  <c r="W20" i="93"/>
  <c r="V20" i="93"/>
  <c r="U20" i="93"/>
  <c r="U36" i="6"/>
  <c r="G15" i="2"/>
  <c r="AX59" i="6"/>
  <c r="AW59" i="6"/>
  <c r="AV59" i="6"/>
  <c r="AU59" i="6"/>
  <c r="AT59" i="6"/>
  <c r="AS59" i="6"/>
  <c r="AR59" i="6"/>
  <c r="AQ59" i="6"/>
  <c r="AP59" i="6"/>
  <c r="AO59" i="6"/>
  <c r="AN59" i="6"/>
  <c r="AM59" i="6"/>
  <c r="AL59" i="6"/>
  <c r="AK59" i="6"/>
  <c r="AJ59" i="6"/>
  <c r="AI59" i="6"/>
  <c r="AH59" i="6"/>
  <c r="AG59" i="6"/>
  <c r="AF59" i="6"/>
  <c r="AE59" i="6"/>
  <c r="AD59" i="6"/>
  <c r="AC59" i="6"/>
  <c r="AB59" i="6"/>
  <c r="AA59" i="6"/>
  <c r="Z59" i="6"/>
  <c r="Y59" i="6"/>
  <c r="X59" i="6"/>
  <c r="W59" i="6"/>
  <c r="V59" i="6"/>
  <c r="U59" i="6"/>
  <c r="AX61" i="51"/>
  <c r="AW61" i="51"/>
  <c r="AV61" i="51"/>
  <c r="AU61" i="51"/>
  <c r="AT61" i="51"/>
  <c r="AS61" i="51"/>
  <c r="AR61" i="51"/>
  <c r="AQ61" i="51"/>
  <c r="AP61" i="51"/>
  <c r="AO61" i="51"/>
  <c r="AN61" i="51"/>
  <c r="AM61" i="51"/>
  <c r="AL61" i="51"/>
  <c r="AK61" i="51"/>
  <c r="AJ61" i="51"/>
  <c r="AI61" i="51"/>
  <c r="AH61" i="51"/>
  <c r="AG61" i="51"/>
  <c r="AF61" i="51"/>
  <c r="AE61" i="51"/>
  <c r="AD61" i="51"/>
  <c r="AC61" i="51"/>
  <c r="AB61" i="51"/>
  <c r="AA61" i="51"/>
  <c r="Z61" i="51"/>
  <c r="Y61" i="51"/>
  <c r="X61" i="51"/>
  <c r="W61" i="51"/>
  <c r="V61" i="51"/>
  <c r="U61" i="51"/>
  <c r="AJ74" i="148"/>
  <c r="AI74" i="148"/>
  <c r="AJ64" i="148"/>
  <c r="AI64" i="148"/>
  <c r="AJ22" i="148"/>
  <c r="AJ47" i="148" s="1"/>
  <c r="AI22" i="148"/>
  <c r="AJ21" i="148"/>
  <c r="AI21" i="148"/>
  <c r="AJ20" i="148"/>
  <c r="AI20" i="148"/>
  <c r="AJ19" i="148"/>
  <c r="AI19" i="148"/>
  <c r="AJ18" i="148"/>
  <c r="AI18" i="148"/>
  <c r="AJ17" i="148"/>
  <c r="AI17" i="148"/>
  <c r="AJ13" i="148"/>
  <c r="AI13" i="148"/>
  <c r="AJ12" i="148"/>
  <c r="AI12" i="148"/>
  <c r="AJ11" i="148"/>
  <c r="AI11" i="148"/>
  <c r="AJ10" i="148"/>
  <c r="AI10" i="148"/>
  <c r="AH74" i="148"/>
  <c r="AG74" i="148"/>
  <c r="AF74" i="148"/>
  <c r="AE74" i="148"/>
  <c r="AD74" i="148"/>
  <c r="AD76" i="148" s="1"/>
  <c r="AH64" i="148"/>
  <c r="AG64" i="148"/>
  <c r="AF64" i="148"/>
  <c r="AE64" i="148"/>
  <c r="AD64" i="148"/>
  <c r="AH22" i="148"/>
  <c r="AG22" i="148"/>
  <c r="AF22" i="148"/>
  <c r="AE22" i="148"/>
  <c r="AD22" i="148"/>
  <c r="AH21" i="148"/>
  <c r="AG21" i="148"/>
  <c r="AF21" i="148"/>
  <c r="AE21" i="148"/>
  <c r="AD21" i="148"/>
  <c r="AD46" i="148" s="1"/>
  <c r="AR41" i="6" s="1"/>
  <c r="AH20" i="148"/>
  <c r="AH45" i="148" s="1"/>
  <c r="AV40" i="6" s="1"/>
  <c r="AG20" i="148"/>
  <c r="AF20" i="148"/>
  <c r="AE20" i="148"/>
  <c r="AD20" i="148"/>
  <c r="AH19" i="148"/>
  <c r="AG19" i="148"/>
  <c r="AF19" i="148"/>
  <c r="AE19" i="148"/>
  <c r="AD19" i="148"/>
  <c r="AH18" i="148"/>
  <c r="AG18" i="148"/>
  <c r="AF18" i="148"/>
  <c r="AE18" i="148"/>
  <c r="AD18" i="148"/>
  <c r="AH17" i="148"/>
  <c r="AG17" i="148"/>
  <c r="AF17" i="148"/>
  <c r="AE17" i="148"/>
  <c r="AD17" i="148"/>
  <c r="AH13" i="148"/>
  <c r="AG13" i="148"/>
  <c r="AF13" i="148"/>
  <c r="AE13" i="148"/>
  <c r="AD13" i="148"/>
  <c r="AH12" i="148"/>
  <c r="AG12" i="148"/>
  <c r="AF12" i="148"/>
  <c r="AE12" i="148"/>
  <c r="AD12" i="148"/>
  <c r="AH11" i="148"/>
  <c r="AG11" i="148"/>
  <c r="AF11" i="148"/>
  <c r="AE11" i="148"/>
  <c r="AD11" i="148"/>
  <c r="AH10" i="148"/>
  <c r="AG10" i="148"/>
  <c r="AU13" i="51" s="1"/>
  <c r="AF10" i="148"/>
  <c r="AE10" i="148"/>
  <c r="AS13" i="51"/>
  <c r="AD10" i="148"/>
  <c r="AR13" i="51" s="1"/>
  <c r="AC74" i="148"/>
  <c r="AB74" i="148"/>
  <c r="AA74" i="148"/>
  <c r="Z74" i="148"/>
  <c r="Y74" i="148"/>
  <c r="X74" i="148"/>
  <c r="W74" i="148"/>
  <c r="V74" i="148"/>
  <c r="AC64" i="148"/>
  <c r="AB64" i="148"/>
  <c r="AA64" i="148"/>
  <c r="Z64" i="148"/>
  <c r="Y64" i="148"/>
  <c r="X64" i="148"/>
  <c r="W64" i="148"/>
  <c r="V64" i="148"/>
  <c r="AC22" i="148"/>
  <c r="AB22" i="148"/>
  <c r="AA22" i="148"/>
  <c r="Z22" i="148"/>
  <c r="Y22" i="148"/>
  <c r="X22" i="148"/>
  <c r="W22" i="148"/>
  <c r="W47" i="148" s="1"/>
  <c r="AK42" i="6" s="1"/>
  <c r="V22" i="148"/>
  <c r="AC21" i="148"/>
  <c r="AB21" i="148"/>
  <c r="AA21" i="148"/>
  <c r="Z21" i="148"/>
  <c r="Y21" i="148"/>
  <c r="X21" i="148"/>
  <c r="W21" i="148"/>
  <c r="AK41" i="51" s="1"/>
  <c r="V21" i="148"/>
  <c r="V46" i="148" s="1"/>
  <c r="AJ41" i="6" s="1"/>
  <c r="AC20" i="148"/>
  <c r="AB20" i="148"/>
  <c r="AA20" i="148"/>
  <c r="Z20" i="148"/>
  <c r="Y20" i="148"/>
  <c r="X20" i="148"/>
  <c r="W20" i="148"/>
  <c r="W45" i="148" s="1"/>
  <c r="AK40" i="6" s="1"/>
  <c r="V20" i="148"/>
  <c r="V45" i="148" s="1"/>
  <c r="AJ40" i="6" s="1"/>
  <c r="AC19" i="148"/>
  <c r="AB19" i="148"/>
  <c r="AA19" i="148"/>
  <c r="Z19" i="148"/>
  <c r="Y19" i="148"/>
  <c r="X19" i="148"/>
  <c r="W19" i="148"/>
  <c r="AK39" i="51" s="1"/>
  <c r="V19" i="148"/>
  <c r="AC18" i="148"/>
  <c r="AB18" i="148"/>
  <c r="AA18" i="148"/>
  <c r="Z18" i="148"/>
  <c r="Y18" i="148"/>
  <c r="X18" i="148"/>
  <c r="W18" i="148"/>
  <c r="AK38" i="51" s="1"/>
  <c r="V18" i="148"/>
  <c r="AC17" i="148"/>
  <c r="AB17" i="148"/>
  <c r="AA17" i="148"/>
  <c r="Z17" i="148"/>
  <c r="Y17" i="148"/>
  <c r="X17" i="148"/>
  <c r="W17" i="148"/>
  <c r="V17" i="148"/>
  <c r="V24" i="148" s="1"/>
  <c r="AC13" i="148"/>
  <c r="AB13" i="148"/>
  <c r="AA13" i="148"/>
  <c r="Z13" i="148"/>
  <c r="Y13" i="148"/>
  <c r="X13" i="148"/>
  <c r="W13" i="148"/>
  <c r="W38" i="148" s="1"/>
  <c r="AK16" i="6" s="1"/>
  <c r="V13" i="148"/>
  <c r="V38" i="148" s="1"/>
  <c r="AJ16" i="6" s="1"/>
  <c r="AC12" i="148"/>
  <c r="AB12" i="148"/>
  <c r="AA12" i="148"/>
  <c r="Z12" i="148"/>
  <c r="Y12" i="148"/>
  <c r="X12" i="148"/>
  <c r="X37" i="148" s="1"/>
  <c r="W12" i="148"/>
  <c r="V12" i="148"/>
  <c r="AC11" i="148"/>
  <c r="AB11" i="148"/>
  <c r="AA11" i="148"/>
  <c r="Z11" i="148"/>
  <c r="Y11" i="148"/>
  <c r="X11" i="148"/>
  <c r="W11" i="148"/>
  <c r="V11" i="148"/>
  <c r="AJ14" i="51" s="1"/>
  <c r="AC10" i="148"/>
  <c r="AB10" i="148"/>
  <c r="AA10" i="148"/>
  <c r="Z10" i="148"/>
  <c r="Y10" i="148"/>
  <c r="X10" i="148"/>
  <c r="W10" i="148"/>
  <c r="V10" i="148"/>
  <c r="U74" i="148"/>
  <c r="T74" i="148"/>
  <c r="S74" i="148"/>
  <c r="R74" i="148"/>
  <c r="Q74" i="148"/>
  <c r="P74" i="148"/>
  <c r="O74" i="148"/>
  <c r="O76" i="148" s="1"/>
  <c r="N74" i="148"/>
  <c r="N76" i="148" s="1"/>
  <c r="M74" i="148"/>
  <c r="L74" i="148"/>
  <c r="K74" i="148"/>
  <c r="J74" i="148"/>
  <c r="I74" i="148"/>
  <c r="H74" i="148"/>
  <c r="G74" i="148"/>
  <c r="F74" i="148"/>
  <c r="E74" i="148"/>
  <c r="D74" i="148"/>
  <c r="U64" i="148"/>
  <c r="T64" i="148"/>
  <c r="S64" i="148"/>
  <c r="R64" i="148"/>
  <c r="Q64" i="148"/>
  <c r="Q76" i="148" s="1"/>
  <c r="P64" i="148"/>
  <c r="P76" i="148" s="1"/>
  <c r="O64" i="148"/>
  <c r="N64" i="148"/>
  <c r="M64" i="148"/>
  <c r="L64" i="148"/>
  <c r="K64" i="148"/>
  <c r="J64" i="148"/>
  <c r="I64" i="148"/>
  <c r="H64" i="148"/>
  <c r="G64" i="148"/>
  <c r="F64" i="148"/>
  <c r="E64" i="148"/>
  <c r="D64" i="148"/>
  <c r="U22" i="148"/>
  <c r="T22" i="148"/>
  <c r="AH42" i="51" s="1"/>
  <c r="S22" i="148"/>
  <c r="R22" i="148"/>
  <c r="AF42" i="51" s="1"/>
  <c r="Q22" i="148"/>
  <c r="P22" i="148"/>
  <c r="O22" i="148"/>
  <c r="N22" i="148"/>
  <c r="M22" i="148"/>
  <c r="L22" i="148"/>
  <c r="Z42" i="51" s="1"/>
  <c r="K22" i="148"/>
  <c r="Y42" i="51" s="1"/>
  <c r="J22" i="148"/>
  <c r="J47" i="148" s="1"/>
  <c r="I22" i="148"/>
  <c r="H22" i="148"/>
  <c r="G22" i="148"/>
  <c r="F22" i="148"/>
  <c r="E22" i="148"/>
  <c r="D22" i="148"/>
  <c r="D47" i="148" s="1"/>
  <c r="U21" i="148"/>
  <c r="AI41" i="51" s="1"/>
  <c r="T21" i="148"/>
  <c r="AH41" i="51" s="1"/>
  <c r="S21" i="148"/>
  <c r="R21" i="148"/>
  <c r="Q21" i="148"/>
  <c r="P21" i="148"/>
  <c r="O21" i="148"/>
  <c r="N21" i="148"/>
  <c r="M21" i="148"/>
  <c r="L21" i="148"/>
  <c r="L46" i="148" s="1"/>
  <c r="Z41" i="6" s="1"/>
  <c r="K21" i="148"/>
  <c r="J21" i="148"/>
  <c r="I21" i="148"/>
  <c r="H21" i="148"/>
  <c r="G21" i="148"/>
  <c r="F21" i="148"/>
  <c r="E21" i="148"/>
  <c r="D21" i="148"/>
  <c r="D46" i="148" s="1"/>
  <c r="U20" i="148"/>
  <c r="T20" i="148"/>
  <c r="S20" i="148"/>
  <c r="R20" i="148"/>
  <c r="Q20" i="148"/>
  <c r="P20" i="148"/>
  <c r="O20" i="148"/>
  <c r="N20" i="148"/>
  <c r="M20" i="148"/>
  <c r="L20" i="148"/>
  <c r="K20" i="148"/>
  <c r="J20" i="148"/>
  <c r="I20" i="148"/>
  <c r="H20" i="148"/>
  <c r="G20" i="148"/>
  <c r="F20" i="148"/>
  <c r="F24" i="148" s="1"/>
  <c r="E20" i="148"/>
  <c r="D20" i="148"/>
  <c r="U19" i="148"/>
  <c r="T19" i="148"/>
  <c r="S19" i="148"/>
  <c r="R19" i="148"/>
  <c r="AF39" i="51" s="1"/>
  <c r="Q19" i="148"/>
  <c r="AE39" i="51" s="1"/>
  <c r="P19" i="148"/>
  <c r="P44" i="148" s="1"/>
  <c r="AD39" i="6" s="1"/>
  <c r="O19" i="148"/>
  <c r="N19" i="148"/>
  <c r="M19" i="148"/>
  <c r="L19" i="148"/>
  <c r="K19" i="148"/>
  <c r="J19" i="148"/>
  <c r="J44" i="148" s="1"/>
  <c r="I19" i="148"/>
  <c r="H19" i="148"/>
  <c r="G19" i="148"/>
  <c r="F19" i="148"/>
  <c r="E19" i="148"/>
  <c r="D19" i="148"/>
  <c r="U18" i="148"/>
  <c r="T18" i="148"/>
  <c r="S18" i="148"/>
  <c r="R18" i="148"/>
  <c r="R43" i="148" s="1"/>
  <c r="Q18" i="148"/>
  <c r="P18" i="148"/>
  <c r="O18" i="148"/>
  <c r="N18" i="148"/>
  <c r="M18" i="148"/>
  <c r="L18" i="148"/>
  <c r="L43" i="148" s="1"/>
  <c r="Z38" i="6" s="1"/>
  <c r="K18" i="148"/>
  <c r="J18" i="148"/>
  <c r="I18" i="148"/>
  <c r="H18" i="148"/>
  <c r="G18" i="148"/>
  <c r="F18" i="148"/>
  <c r="E18" i="148"/>
  <c r="D18" i="148"/>
  <c r="U17" i="148"/>
  <c r="AI37" i="51" s="1"/>
  <c r="T17" i="148"/>
  <c r="T42" i="148" s="1"/>
  <c r="S17" i="148"/>
  <c r="R17" i="148"/>
  <c r="Q17" i="148"/>
  <c r="P17" i="148"/>
  <c r="O17" i="148"/>
  <c r="N17" i="148"/>
  <c r="M17" i="148"/>
  <c r="L17" i="148"/>
  <c r="L42" i="148" s="1"/>
  <c r="Z37" i="6" s="1"/>
  <c r="K17" i="148"/>
  <c r="J17" i="148"/>
  <c r="I17" i="148"/>
  <c r="H17" i="148"/>
  <c r="G17" i="148"/>
  <c r="F17" i="148"/>
  <c r="E17" i="148"/>
  <c r="D17" i="148"/>
  <c r="U13" i="148"/>
  <c r="T13" i="148"/>
  <c r="S13" i="148"/>
  <c r="R13" i="148"/>
  <c r="Q13" i="148"/>
  <c r="P13" i="148"/>
  <c r="P38" i="148" s="1"/>
  <c r="AD16" i="6" s="1"/>
  <c r="O13" i="148"/>
  <c r="N13" i="148"/>
  <c r="AB16" i="51" s="1"/>
  <c r="M13" i="148"/>
  <c r="L13" i="148"/>
  <c r="K13" i="148"/>
  <c r="J13" i="148"/>
  <c r="I13" i="148"/>
  <c r="H13" i="148"/>
  <c r="H38" i="148" s="1"/>
  <c r="V16" i="6" s="1"/>
  <c r="G13" i="148"/>
  <c r="U16" i="51" s="1"/>
  <c r="F13" i="148"/>
  <c r="F14" i="148" s="1"/>
  <c r="E13" i="148"/>
  <c r="D13" i="148"/>
  <c r="U12" i="148"/>
  <c r="T12" i="148"/>
  <c r="S12" i="148"/>
  <c r="R12" i="148"/>
  <c r="AF15" i="51" s="1"/>
  <c r="Q12" i="148"/>
  <c r="P12" i="148"/>
  <c r="P14" i="148" s="1"/>
  <c r="O12" i="148"/>
  <c r="N12" i="148"/>
  <c r="M12" i="148"/>
  <c r="L12" i="148"/>
  <c r="K12" i="148"/>
  <c r="J12" i="148"/>
  <c r="J37" i="148" s="1"/>
  <c r="X15" i="6" s="1"/>
  <c r="Q15" i="6" s="1"/>
  <c r="I12" i="148"/>
  <c r="H12" i="148"/>
  <c r="G12" i="148"/>
  <c r="F12" i="148"/>
  <c r="E12" i="148"/>
  <c r="D12" i="148"/>
  <c r="U11" i="148"/>
  <c r="T11" i="148"/>
  <c r="S11" i="148"/>
  <c r="AG14" i="51" s="1"/>
  <c r="R11" i="148"/>
  <c r="R36" i="148" s="1"/>
  <c r="Q11" i="148"/>
  <c r="P11" i="148"/>
  <c r="O11" i="148"/>
  <c r="N11" i="148"/>
  <c r="M11" i="148"/>
  <c r="L11" i="148"/>
  <c r="L36" i="148" s="1"/>
  <c r="Z14" i="6" s="1"/>
  <c r="K11" i="148"/>
  <c r="J11" i="148"/>
  <c r="I11" i="148"/>
  <c r="H11" i="148"/>
  <c r="G11" i="148"/>
  <c r="F11" i="148"/>
  <c r="E11" i="148"/>
  <c r="D11" i="148"/>
  <c r="U10" i="148"/>
  <c r="U14" i="148" s="1"/>
  <c r="T10" i="148"/>
  <c r="AH13" i="51" s="1"/>
  <c r="S10" i="148"/>
  <c r="R10" i="148"/>
  <c r="Q10" i="148"/>
  <c r="P10" i="148"/>
  <c r="O10" i="148"/>
  <c r="N10" i="148"/>
  <c r="M10" i="148"/>
  <c r="M14" i="148" s="1"/>
  <c r="L10" i="148"/>
  <c r="K10" i="148"/>
  <c r="J10" i="148"/>
  <c r="I10" i="148"/>
  <c r="H10" i="148"/>
  <c r="G10" i="148"/>
  <c r="F10" i="148"/>
  <c r="E10" i="148"/>
  <c r="D10" i="148"/>
  <c r="D35" i="148" s="1"/>
  <c r="D39" i="148" s="1"/>
  <c r="C22" i="148"/>
  <c r="C47" i="148" s="1"/>
  <c r="C21" i="148"/>
  <c r="C46" i="148" s="1"/>
  <c r="C20" i="148"/>
  <c r="C45" i="148"/>
  <c r="C19" i="148"/>
  <c r="C44" i="148" s="1"/>
  <c r="C18" i="148"/>
  <c r="C43" i="148" s="1"/>
  <c r="C17" i="148"/>
  <c r="C13" i="148"/>
  <c r="C12" i="148"/>
  <c r="C37" i="148"/>
  <c r="C11" i="148"/>
  <c r="C36" i="148" s="1"/>
  <c r="C10" i="148"/>
  <c r="C35" i="148"/>
  <c r="E22" i="56"/>
  <c r="E15" i="4"/>
  <c r="E18" i="4" s="1"/>
  <c r="E29" i="6"/>
  <c r="E59" i="6"/>
  <c r="D59" i="6"/>
  <c r="E56" i="6"/>
  <c r="E26" i="5"/>
  <c r="E103" i="129" s="1"/>
  <c r="E23" i="5"/>
  <c r="E12" i="5"/>
  <c r="E14" i="12"/>
  <c r="E59" i="12"/>
  <c r="E47" i="24"/>
  <c r="E16" i="24"/>
  <c r="E26" i="93"/>
  <c r="E20" i="93"/>
  <c r="E21" i="54"/>
  <c r="E105" i="66" s="1"/>
  <c r="E18" i="53"/>
  <c r="E20" i="53" s="1"/>
  <c r="E104" i="66" s="1"/>
  <c r="E15" i="52"/>
  <c r="E61" i="51"/>
  <c r="E56" i="51"/>
  <c r="E31" i="51"/>
  <c r="E12" i="135"/>
  <c r="E15" i="135" s="1"/>
  <c r="E27" i="49"/>
  <c r="E13" i="49"/>
  <c r="E44" i="11"/>
  <c r="E41" i="11"/>
  <c r="E16" i="11"/>
  <c r="E12" i="10"/>
  <c r="E15" i="10" s="1"/>
  <c r="E24" i="9"/>
  <c r="E26" i="9" s="1"/>
  <c r="E11" i="9"/>
  <c r="E22" i="8"/>
  <c r="E39" i="8"/>
  <c r="E16" i="7"/>
  <c r="E13" i="7"/>
  <c r="E25" i="22"/>
  <c r="E13" i="22"/>
  <c r="E18" i="18"/>
  <c r="E20" i="18" s="1"/>
  <c r="E12" i="18"/>
  <c r="S19" i="15"/>
  <c r="Q19" i="15"/>
  <c r="P19" i="15"/>
  <c r="I19" i="15"/>
  <c r="D19" i="15"/>
  <c r="C19" i="15"/>
  <c r="E19" i="15"/>
  <c r="E53" i="15"/>
  <c r="E52" i="15"/>
  <c r="E51" i="15"/>
  <c r="E50" i="15"/>
  <c r="E49" i="15"/>
  <c r="E47" i="15"/>
  <c r="E46" i="15"/>
  <c r="E45" i="15"/>
  <c r="E44" i="15"/>
  <c r="E43" i="15"/>
  <c r="E42" i="15"/>
  <c r="E41" i="15"/>
  <c r="E40" i="15"/>
  <c r="E39" i="15"/>
  <c r="E38" i="15"/>
  <c r="E37" i="15"/>
  <c r="E36" i="15"/>
  <c r="E35" i="15"/>
  <c r="E34" i="15"/>
  <c r="E33" i="15"/>
  <c r="E32" i="15"/>
  <c r="E31" i="15"/>
  <c r="E29" i="15"/>
  <c r="E28" i="15"/>
  <c r="E27" i="15"/>
  <c r="E26" i="15"/>
  <c r="E25" i="15"/>
  <c r="E24" i="15"/>
  <c r="E23" i="15"/>
  <c r="E22" i="15"/>
  <c r="E21" i="15"/>
  <c r="E20" i="15"/>
  <c r="E16" i="15"/>
  <c r="E15" i="15"/>
  <c r="E14" i="15"/>
  <c r="E13" i="15"/>
  <c r="E12" i="15"/>
  <c r="E11" i="15"/>
  <c r="E10" i="15"/>
  <c r="E9" i="15"/>
  <c r="E18" i="23"/>
  <c r="E13" i="23"/>
  <c r="E50" i="17"/>
  <c r="E16" i="17"/>
  <c r="E12" i="56"/>
  <c r="E14" i="13"/>
  <c r="E11" i="13"/>
  <c r="E128" i="66" s="1"/>
  <c r="E10" i="86"/>
  <c r="E10" i="48"/>
  <c r="E12" i="48" s="1"/>
  <c r="E66" i="66" s="1"/>
  <c r="E16" i="47"/>
  <c r="E14" i="46"/>
  <c r="E16" i="46" s="1"/>
  <c r="E63" i="66" s="1"/>
  <c r="E10" i="46"/>
  <c r="E33" i="44"/>
  <c r="E20" i="44"/>
  <c r="E24" i="60"/>
  <c r="E19" i="60"/>
  <c r="E57" i="43"/>
  <c r="E59" i="66" s="1"/>
  <c r="E54" i="43"/>
  <c r="E28" i="43"/>
  <c r="E39" i="87"/>
  <c r="E41" i="87" s="1"/>
  <c r="E23" i="129"/>
  <c r="E15" i="41"/>
  <c r="E18" i="41" s="1"/>
  <c r="E51" i="66" s="1"/>
  <c r="E30" i="40"/>
  <c r="E13" i="40"/>
  <c r="E13" i="36"/>
  <c r="E16" i="36" s="1"/>
  <c r="E46" i="66" s="1"/>
  <c r="E31" i="35"/>
  <c r="E16" i="35"/>
  <c r="E16" i="34"/>
  <c r="E40" i="34"/>
  <c r="E44" i="66" s="1"/>
  <c r="E37" i="34"/>
  <c r="E26" i="33"/>
  <c r="E11" i="33"/>
  <c r="E11" i="32"/>
  <c r="E14" i="32" s="1"/>
  <c r="E17" i="31"/>
  <c r="E20" i="31" s="1"/>
  <c r="E40" i="66" s="1"/>
  <c r="E34" i="30"/>
  <c r="E36" i="30" s="1"/>
  <c r="E39" i="66" s="1"/>
  <c r="E19" i="30"/>
  <c r="E21" i="29"/>
  <c r="E10" i="29"/>
  <c r="P22" i="56"/>
  <c r="I26" i="93"/>
  <c r="I56" i="6"/>
  <c r="K225" i="141"/>
  <c r="J225" i="141"/>
  <c r="I225" i="141"/>
  <c r="H225" i="141"/>
  <c r="G225" i="141"/>
  <c r="F225" i="141"/>
  <c r="E225" i="141"/>
  <c r="D225" i="141"/>
  <c r="C225" i="141"/>
  <c r="B225" i="141"/>
  <c r="E22" i="144"/>
  <c r="C22" i="144"/>
  <c r="B22" i="144"/>
  <c r="P40" i="34"/>
  <c r="I40" i="34"/>
  <c r="I44" i="66" s="1"/>
  <c r="D40" i="34"/>
  <c r="D44" i="66" s="1"/>
  <c r="C40" i="34"/>
  <c r="C44" i="66" s="1"/>
  <c r="Q40" i="34"/>
  <c r="P44" i="66" s="1"/>
  <c r="X109" i="66"/>
  <c r="X130" i="66"/>
  <c r="X214" i="66"/>
  <c r="X257" i="66" s="1"/>
  <c r="D11" i="5"/>
  <c r="D10" i="5"/>
  <c r="D9" i="5"/>
  <c r="D11" i="22"/>
  <c r="D13" i="22" s="1"/>
  <c r="D10" i="18"/>
  <c r="D12" i="18" s="1"/>
  <c r="D10" i="23"/>
  <c r="D10" i="15" s="1"/>
  <c r="D9" i="23"/>
  <c r="D11" i="17"/>
  <c r="D12" i="15" s="1"/>
  <c r="D10" i="17"/>
  <c r="D9" i="17"/>
  <c r="D10" i="56"/>
  <c r="D9" i="56"/>
  <c r="D9" i="15" s="1"/>
  <c r="D10" i="43"/>
  <c r="H20" i="104"/>
  <c r="P24" i="60"/>
  <c r="I24" i="60"/>
  <c r="D24" i="60"/>
  <c r="C24" i="60"/>
  <c r="I15" i="41"/>
  <c r="I18" i="41" s="1"/>
  <c r="H21" i="129" s="1"/>
  <c r="D103" i="143"/>
  <c r="C9" i="143"/>
  <c r="C17" i="143"/>
  <c r="C44" i="143"/>
  <c r="F77" i="26"/>
  <c r="F48" i="26"/>
  <c r="I11" i="33"/>
  <c r="I53" i="15"/>
  <c r="I52" i="15"/>
  <c r="I51" i="15"/>
  <c r="I50" i="15"/>
  <c r="I49" i="15"/>
  <c r="I47" i="15"/>
  <c r="I46" i="15"/>
  <c r="I45" i="15"/>
  <c r="I44" i="15"/>
  <c r="I43" i="15"/>
  <c r="I42" i="15"/>
  <c r="I41" i="15"/>
  <c r="I40" i="15"/>
  <c r="I39" i="15"/>
  <c r="I38" i="15"/>
  <c r="I37" i="15"/>
  <c r="I36" i="15"/>
  <c r="I35" i="15"/>
  <c r="I34" i="15"/>
  <c r="I33" i="15"/>
  <c r="I32" i="15"/>
  <c r="I31" i="15"/>
  <c r="I29" i="15"/>
  <c r="I28" i="15"/>
  <c r="I27" i="15"/>
  <c r="I26" i="15"/>
  <c r="I25" i="15"/>
  <c r="I24" i="15"/>
  <c r="I23" i="15"/>
  <c r="I22" i="15"/>
  <c r="I21" i="15"/>
  <c r="I20" i="15"/>
  <c r="I16" i="15"/>
  <c r="I15" i="15"/>
  <c r="I14" i="15"/>
  <c r="I13" i="15"/>
  <c r="I12" i="15"/>
  <c r="I11" i="15"/>
  <c r="I10" i="15"/>
  <c r="I9" i="15"/>
  <c r="D13" i="15"/>
  <c r="D14" i="15"/>
  <c r="D15" i="15"/>
  <c r="D16" i="15"/>
  <c r="D11" i="43"/>
  <c r="I15" i="4"/>
  <c r="I18" i="4" s="1"/>
  <c r="H94" i="129" s="1"/>
  <c r="I59" i="6"/>
  <c r="I12" i="6"/>
  <c r="I29" i="6" s="1"/>
  <c r="I14" i="12"/>
  <c r="I21" i="54"/>
  <c r="I105" i="66" s="1"/>
  <c r="I15" i="52"/>
  <c r="H72" i="129" s="1"/>
  <c r="I61" i="51"/>
  <c r="I56" i="51"/>
  <c r="I31" i="51"/>
  <c r="I11" i="50"/>
  <c r="I14" i="50" s="1"/>
  <c r="H65" i="129" s="1"/>
  <c r="I12" i="135"/>
  <c r="I13" i="49"/>
  <c r="I27" i="49"/>
  <c r="I16" i="11"/>
  <c r="I44" i="11"/>
  <c r="I41" i="11"/>
  <c r="I24" i="9"/>
  <c r="I39" i="8"/>
  <c r="I41" i="8" s="1"/>
  <c r="H56" i="129" s="1"/>
  <c r="I16" i="7"/>
  <c r="F31" i="104"/>
  <c r="I25" i="22"/>
  <c r="I13" i="22"/>
  <c r="I18" i="18"/>
  <c r="I13" i="23"/>
  <c r="I55" i="17"/>
  <c r="I12" i="56"/>
  <c r="I24" i="56" s="1"/>
  <c r="I14" i="13"/>
  <c r="I11" i="13"/>
  <c r="I128" i="66" s="1"/>
  <c r="I17" i="86"/>
  <c r="I10" i="48"/>
  <c r="I12" i="48" s="1"/>
  <c r="H34" i="129" s="1"/>
  <c r="F24" i="104"/>
  <c r="I14" i="46"/>
  <c r="I10" i="46"/>
  <c r="I10" i="45"/>
  <c r="I33" i="44"/>
  <c r="I19" i="60"/>
  <c r="I57" i="43"/>
  <c r="H28" i="129" s="1"/>
  <c r="I28" i="43"/>
  <c r="F18" i="104"/>
  <c r="I13" i="40"/>
  <c r="I30" i="40"/>
  <c r="I36" i="38"/>
  <c r="I13" i="36"/>
  <c r="F11" i="104" s="1"/>
  <c r="I31" i="35"/>
  <c r="I33" i="35" s="1"/>
  <c r="H15" i="129" s="1"/>
  <c r="I37" i="34"/>
  <c r="I16" i="34"/>
  <c r="I26" i="33"/>
  <c r="I11" i="32"/>
  <c r="I14" i="32" s="1"/>
  <c r="H12" i="129" s="1"/>
  <c r="I17" i="31"/>
  <c r="I20" i="31" s="1"/>
  <c r="H11" i="129" s="1"/>
  <c r="I34" i="30"/>
  <c r="I19" i="30"/>
  <c r="N80" i="11"/>
  <c r="K205" i="141"/>
  <c r="K186" i="141" s="1"/>
  <c r="K166" i="141" s="1"/>
  <c r="K145" i="141" s="1"/>
  <c r="K124" i="141" s="1"/>
  <c r="K102" i="141" s="1"/>
  <c r="J205" i="141"/>
  <c r="J186" i="141" s="1"/>
  <c r="J166" i="141" s="1"/>
  <c r="J145" i="141" s="1"/>
  <c r="J124" i="141" s="1"/>
  <c r="J102" i="141" s="1"/>
  <c r="J80" i="141" s="1"/>
  <c r="I205" i="141"/>
  <c r="I186" i="141" s="1"/>
  <c r="I166" i="141" s="1"/>
  <c r="I145" i="141" s="1"/>
  <c r="I124" i="141" s="1"/>
  <c r="I102" i="141" s="1"/>
  <c r="I80" i="141" s="1"/>
  <c r="H205" i="141"/>
  <c r="H186" i="141" s="1"/>
  <c r="H166" i="141" s="1"/>
  <c r="H145" i="141" s="1"/>
  <c r="H124" i="141" s="1"/>
  <c r="H102" i="141" s="1"/>
  <c r="H80" i="141" s="1"/>
  <c r="G205" i="141"/>
  <c r="G186" i="141" s="1"/>
  <c r="G166" i="141" s="1"/>
  <c r="G145" i="141" s="1"/>
  <c r="G124" i="141" s="1"/>
  <c r="G102" i="141" s="1"/>
  <c r="G80" i="141" s="1"/>
  <c r="F205" i="141"/>
  <c r="F186" i="141" s="1"/>
  <c r="F166" i="141" s="1"/>
  <c r="F145" i="141" s="1"/>
  <c r="F124" i="141" s="1"/>
  <c r="F102" i="141" s="1"/>
  <c r="F80" i="141" s="1"/>
  <c r="E205" i="141"/>
  <c r="E186" i="141" s="1"/>
  <c r="E166" i="141" s="1"/>
  <c r="E145" i="141" s="1"/>
  <c r="E124" i="141" s="1"/>
  <c r="E102" i="141" s="1"/>
  <c r="E80" i="141" s="1"/>
  <c r="D205" i="141"/>
  <c r="D186" i="141" s="1"/>
  <c r="D166" i="141" s="1"/>
  <c r="D145" i="141" s="1"/>
  <c r="D124" i="141" s="1"/>
  <c r="D102" i="141" s="1"/>
  <c r="D80" i="141" s="1"/>
  <c r="C205" i="141"/>
  <c r="C186" i="141" s="1"/>
  <c r="C166" i="141" s="1"/>
  <c r="C145" i="141" s="1"/>
  <c r="C124" i="141" s="1"/>
  <c r="C102" i="141" s="1"/>
  <c r="C80" i="141" s="1"/>
  <c r="K204" i="141"/>
  <c r="K185" i="141" s="1"/>
  <c r="K165" i="141" s="1"/>
  <c r="K144" i="141" s="1"/>
  <c r="K123" i="141" s="1"/>
  <c r="K101" i="141" s="1"/>
  <c r="J204" i="141"/>
  <c r="J185" i="141" s="1"/>
  <c r="J165" i="141" s="1"/>
  <c r="J144" i="141" s="1"/>
  <c r="J123" i="141" s="1"/>
  <c r="J101" i="141" s="1"/>
  <c r="J79" i="141" s="1"/>
  <c r="I204" i="141"/>
  <c r="I185" i="141" s="1"/>
  <c r="I165" i="141" s="1"/>
  <c r="I144" i="141" s="1"/>
  <c r="I123" i="141" s="1"/>
  <c r="I101" i="141" s="1"/>
  <c r="I79" i="141" s="1"/>
  <c r="H204" i="141"/>
  <c r="H185" i="141" s="1"/>
  <c r="H165" i="141" s="1"/>
  <c r="H144" i="141" s="1"/>
  <c r="H123" i="141" s="1"/>
  <c r="H101" i="141" s="1"/>
  <c r="H79" i="141" s="1"/>
  <c r="G204" i="141"/>
  <c r="G185" i="141" s="1"/>
  <c r="G165" i="141" s="1"/>
  <c r="G144" i="141" s="1"/>
  <c r="G123" i="141" s="1"/>
  <c r="G101" i="141" s="1"/>
  <c r="G79" i="141" s="1"/>
  <c r="F204" i="141"/>
  <c r="F185" i="141" s="1"/>
  <c r="F165" i="141" s="1"/>
  <c r="F144" i="141" s="1"/>
  <c r="F123" i="141" s="1"/>
  <c r="F101" i="141" s="1"/>
  <c r="F79" i="141" s="1"/>
  <c r="E204" i="141"/>
  <c r="E185" i="141" s="1"/>
  <c r="E165" i="141" s="1"/>
  <c r="E144" i="141" s="1"/>
  <c r="E123" i="141" s="1"/>
  <c r="E101" i="141" s="1"/>
  <c r="E79" i="141" s="1"/>
  <c r="D204" i="141"/>
  <c r="D185" i="141" s="1"/>
  <c r="D165" i="141" s="1"/>
  <c r="D144" i="141" s="1"/>
  <c r="D123" i="141" s="1"/>
  <c r="D101" i="141" s="1"/>
  <c r="D79" i="141" s="1"/>
  <c r="C204" i="141"/>
  <c r="C185" i="141" s="1"/>
  <c r="C165" i="141" s="1"/>
  <c r="C144" i="141" s="1"/>
  <c r="C123" i="141" s="1"/>
  <c r="C101" i="141" s="1"/>
  <c r="C79" i="141" s="1"/>
  <c r="K203" i="141"/>
  <c r="K184" i="141" s="1"/>
  <c r="K164" i="141" s="1"/>
  <c r="K143" i="141" s="1"/>
  <c r="K122" i="141" s="1"/>
  <c r="K100" i="141" s="1"/>
  <c r="J203" i="141"/>
  <c r="J184" i="141"/>
  <c r="J164" i="141" s="1"/>
  <c r="J143" i="141" s="1"/>
  <c r="J122" i="141" s="1"/>
  <c r="J100" i="141" s="1"/>
  <c r="J78" i="141" s="1"/>
  <c r="I203" i="141"/>
  <c r="I184" i="141" s="1"/>
  <c r="I164" i="141" s="1"/>
  <c r="I143" i="141" s="1"/>
  <c r="I122" i="141" s="1"/>
  <c r="I100" i="141" s="1"/>
  <c r="I78" i="141" s="1"/>
  <c r="H203" i="141"/>
  <c r="H184" i="141" s="1"/>
  <c r="H164" i="141" s="1"/>
  <c r="H143" i="141" s="1"/>
  <c r="H122" i="141" s="1"/>
  <c r="H100" i="141" s="1"/>
  <c r="H78" i="141" s="1"/>
  <c r="G203" i="141"/>
  <c r="G184" i="141" s="1"/>
  <c r="G164" i="141" s="1"/>
  <c r="G143" i="141" s="1"/>
  <c r="G122" i="141" s="1"/>
  <c r="G100" i="141" s="1"/>
  <c r="G78" i="141" s="1"/>
  <c r="F203" i="141"/>
  <c r="F184" i="141" s="1"/>
  <c r="F164" i="141" s="1"/>
  <c r="F143" i="141" s="1"/>
  <c r="F122" i="141" s="1"/>
  <c r="F100" i="141" s="1"/>
  <c r="F78" i="141" s="1"/>
  <c r="E203" i="141"/>
  <c r="E184" i="141" s="1"/>
  <c r="E164" i="141" s="1"/>
  <c r="E143" i="141" s="1"/>
  <c r="E122" i="141" s="1"/>
  <c r="E100" i="141" s="1"/>
  <c r="E78" i="141" s="1"/>
  <c r="D203" i="141"/>
  <c r="D184" i="141" s="1"/>
  <c r="D164" i="141" s="1"/>
  <c r="D143" i="141" s="1"/>
  <c r="D122" i="141" s="1"/>
  <c r="D100" i="141" s="1"/>
  <c r="D78" i="141" s="1"/>
  <c r="C203" i="141"/>
  <c r="C184" i="141" s="1"/>
  <c r="C164" i="141" s="1"/>
  <c r="C143" i="141" s="1"/>
  <c r="C122" i="141" s="1"/>
  <c r="C100" i="141" s="1"/>
  <c r="C78" i="141" s="1"/>
  <c r="K202" i="141"/>
  <c r="K183" i="141" s="1"/>
  <c r="J202" i="141"/>
  <c r="J183" i="141" s="1"/>
  <c r="I202" i="141"/>
  <c r="I183" i="141" s="1"/>
  <c r="H202" i="141"/>
  <c r="H183" i="141" s="1"/>
  <c r="H163" i="141" s="1"/>
  <c r="G202" i="141"/>
  <c r="G183" i="141" s="1"/>
  <c r="F202" i="141"/>
  <c r="F183" i="141" s="1"/>
  <c r="E202" i="141"/>
  <c r="E183" i="141" s="1"/>
  <c r="E163" i="141" s="1"/>
  <c r="E142" i="141" s="1"/>
  <c r="E120" i="141" s="1"/>
  <c r="E98" i="141" s="1"/>
  <c r="D202" i="141"/>
  <c r="D183" i="141" s="1"/>
  <c r="D163" i="141" s="1"/>
  <c r="D142" i="141" s="1"/>
  <c r="D120" i="141" s="1"/>
  <c r="D98" i="141" s="1"/>
  <c r="C202" i="141"/>
  <c r="C183" i="141" s="1"/>
  <c r="C163" i="141" s="1"/>
  <c r="C142" i="141" s="1"/>
  <c r="C120" i="141" s="1"/>
  <c r="C98" i="141" s="1"/>
  <c r="B202" i="141"/>
  <c r="B183" i="141" s="1"/>
  <c r="B163" i="141" s="1"/>
  <c r="B142" i="141" s="1"/>
  <c r="B120" i="141" s="1"/>
  <c r="B203" i="141"/>
  <c r="B184" i="141" s="1"/>
  <c r="B204" i="141"/>
  <c r="B185" i="141" s="1"/>
  <c r="B165" i="141" s="1"/>
  <c r="B144" i="141" s="1"/>
  <c r="B123" i="141" s="1"/>
  <c r="B205" i="141"/>
  <c r="B186" i="141" s="1"/>
  <c r="B166" i="141" s="1"/>
  <c r="B145" i="141" s="1"/>
  <c r="B124" i="141" s="1"/>
  <c r="T52" i="34"/>
  <c r="Q13" i="34" s="1"/>
  <c r="N62" i="34" s="1"/>
  <c r="O62" i="34" s="1"/>
  <c r="P62" i="34" s="1"/>
  <c r="S254" i="66"/>
  <c r="S34" i="15"/>
  <c r="S11" i="15"/>
  <c r="S12" i="15"/>
  <c r="K201" i="141"/>
  <c r="K182" i="141" s="1"/>
  <c r="K190" i="141" s="1"/>
  <c r="J201" i="141"/>
  <c r="J182" i="141" s="1"/>
  <c r="J209" i="141"/>
  <c r="I201" i="141"/>
  <c r="H201" i="141"/>
  <c r="H210" i="141" s="1"/>
  <c r="G201" i="141"/>
  <c r="G182" i="141" s="1"/>
  <c r="G162" i="141" s="1"/>
  <c r="G141" i="141" s="1"/>
  <c r="F201" i="141"/>
  <c r="F210" i="141" s="1"/>
  <c r="E201" i="141"/>
  <c r="E182" i="141" s="1"/>
  <c r="E210" i="141"/>
  <c r="D201" i="141"/>
  <c r="C201" i="141"/>
  <c r="K200" i="141"/>
  <c r="K181" i="141" s="1"/>
  <c r="J200" i="141"/>
  <c r="I200" i="141"/>
  <c r="I181" i="141" s="1"/>
  <c r="I161" i="141" s="1"/>
  <c r="I140" i="141" s="1"/>
  <c r="I118" i="141" s="1"/>
  <c r="I96" i="141" s="1"/>
  <c r="I74" i="141" s="1"/>
  <c r="H200" i="141"/>
  <c r="H181" i="141" s="1"/>
  <c r="H161" i="141" s="1"/>
  <c r="H140" i="141" s="1"/>
  <c r="H118" i="141" s="1"/>
  <c r="H96" i="141" s="1"/>
  <c r="H74" i="141" s="1"/>
  <c r="G200" i="141"/>
  <c r="G181" i="141"/>
  <c r="G161" i="141" s="1"/>
  <c r="G140" i="141" s="1"/>
  <c r="G118" i="141" s="1"/>
  <c r="G96" i="141" s="1"/>
  <c r="G74" i="141" s="1"/>
  <c r="F200" i="141"/>
  <c r="F181" i="141" s="1"/>
  <c r="E200" i="141"/>
  <c r="E181" i="141" s="1"/>
  <c r="E161" i="141" s="1"/>
  <c r="E140" i="141" s="1"/>
  <c r="E118" i="141" s="1"/>
  <c r="E96" i="141" s="1"/>
  <c r="E74" i="141" s="1"/>
  <c r="D200" i="141"/>
  <c r="D181" i="141" s="1"/>
  <c r="D161" i="141" s="1"/>
  <c r="D140" i="141" s="1"/>
  <c r="D118" i="141" s="1"/>
  <c r="D96" i="141" s="1"/>
  <c r="D74" i="141" s="1"/>
  <c r="C200" i="141"/>
  <c r="C181" i="141" s="1"/>
  <c r="C161" i="141" s="1"/>
  <c r="C140" i="141" s="1"/>
  <c r="C118" i="141" s="1"/>
  <c r="C96" i="141" s="1"/>
  <c r="C74" i="141" s="1"/>
  <c r="K199" i="141"/>
  <c r="K180" i="141" s="1"/>
  <c r="K160" i="141" s="1"/>
  <c r="K139" i="141" s="1"/>
  <c r="K117" i="141" s="1"/>
  <c r="K95" i="141" s="1"/>
  <c r="J199" i="141"/>
  <c r="J180" i="141" s="1"/>
  <c r="J160" i="141" s="1"/>
  <c r="J139" i="141" s="1"/>
  <c r="J117" i="141" s="1"/>
  <c r="J95" i="141" s="1"/>
  <c r="J73" i="141" s="1"/>
  <c r="I199" i="141"/>
  <c r="I180" i="141"/>
  <c r="I160" i="141" s="1"/>
  <c r="I139" i="141" s="1"/>
  <c r="I117" i="141" s="1"/>
  <c r="I95" i="141" s="1"/>
  <c r="I73" i="141" s="1"/>
  <c r="H199" i="141"/>
  <c r="H180" i="141" s="1"/>
  <c r="H160" i="141" s="1"/>
  <c r="H139" i="141" s="1"/>
  <c r="H117" i="141" s="1"/>
  <c r="H95" i="141" s="1"/>
  <c r="H73" i="141" s="1"/>
  <c r="G199" i="141"/>
  <c r="G180" i="141" s="1"/>
  <c r="G160" i="141" s="1"/>
  <c r="G139" i="141" s="1"/>
  <c r="G117" i="141" s="1"/>
  <c r="G95" i="141" s="1"/>
  <c r="G73" i="141" s="1"/>
  <c r="F199" i="141"/>
  <c r="F180" i="141" s="1"/>
  <c r="F160" i="141" s="1"/>
  <c r="F139" i="141" s="1"/>
  <c r="F117" i="141" s="1"/>
  <c r="F95" i="141" s="1"/>
  <c r="F73" i="141" s="1"/>
  <c r="E199" i="141"/>
  <c r="E180" i="141" s="1"/>
  <c r="E160" i="141" s="1"/>
  <c r="E139" i="141" s="1"/>
  <c r="E117" i="141" s="1"/>
  <c r="E95" i="141" s="1"/>
  <c r="E73" i="141" s="1"/>
  <c r="D199" i="141"/>
  <c r="D180" i="141" s="1"/>
  <c r="D160" i="141" s="1"/>
  <c r="D139" i="141" s="1"/>
  <c r="D117" i="141" s="1"/>
  <c r="D95" i="141" s="1"/>
  <c r="D73" i="141" s="1"/>
  <c r="C199" i="141"/>
  <c r="C180" i="141" s="1"/>
  <c r="C160" i="141" s="1"/>
  <c r="C139" i="141" s="1"/>
  <c r="C117" i="141" s="1"/>
  <c r="C95" i="141" s="1"/>
  <c r="C73" i="141" s="1"/>
  <c r="K198" i="141"/>
  <c r="K179" i="141" s="1"/>
  <c r="K159" i="141" s="1"/>
  <c r="K138" i="141" s="1"/>
  <c r="K116" i="141" s="1"/>
  <c r="K94" i="141" s="1"/>
  <c r="J198" i="141"/>
  <c r="J179" i="141" s="1"/>
  <c r="J159" i="141" s="1"/>
  <c r="J138" i="141" s="1"/>
  <c r="J116" i="141" s="1"/>
  <c r="J94" i="141" s="1"/>
  <c r="J72" i="141" s="1"/>
  <c r="I198" i="141"/>
  <c r="I179" i="141" s="1"/>
  <c r="I159" i="141" s="1"/>
  <c r="I138" i="141" s="1"/>
  <c r="I116" i="141" s="1"/>
  <c r="I94" i="141" s="1"/>
  <c r="I72" i="141" s="1"/>
  <c r="H198" i="141"/>
  <c r="H179" i="141" s="1"/>
  <c r="G198" i="141"/>
  <c r="G179" i="141"/>
  <c r="G159" i="141" s="1"/>
  <c r="G138" i="141" s="1"/>
  <c r="G116" i="141" s="1"/>
  <c r="G94" i="141" s="1"/>
  <c r="G72" i="141" s="1"/>
  <c r="F198" i="141"/>
  <c r="F179" i="141" s="1"/>
  <c r="F159" i="141" s="1"/>
  <c r="F138" i="141" s="1"/>
  <c r="F116" i="141" s="1"/>
  <c r="F94" i="141" s="1"/>
  <c r="F72" i="141" s="1"/>
  <c r="E198" i="141"/>
  <c r="E179" i="141" s="1"/>
  <c r="E159" i="141" s="1"/>
  <c r="E138" i="141" s="1"/>
  <c r="E116" i="141" s="1"/>
  <c r="E94" i="141" s="1"/>
  <c r="E72" i="141" s="1"/>
  <c r="D198" i="141"/>
  <c r="D179" i="141" s="1"/>
  <c r="D159" i="141" s="1"/>
  <c r="D138" i="141" s="1"/>
  <c r="D116" i="141" s="1"/>
  <c r="D94" i="141" s="1"/>
  <c r="D72" i="141" s="1"/>
  <c r="C198" i="141"/>
  <c r="C179" i="141"/>
  <c r="C159" i="141" s="1"/>
  <c r="C138" i="141" s="1"/>
  <c r="C116" i="141" s="1"/>
  <c r="C94" i="141" s="1"/>
  <c r="C72" i="141" s="1"/>
  <c r="K197" i="141"/>
  <c r="K178" i="141" s="1"/>
  <c r="K158" i="141" s="1"/>
  <c r="K137" i="141" s="1"/>
  <c r="K115" i="141" s="1"/>
  <c r="K93" i="141" s="1"/>
  <c r="J197" i="141"/>
  <c r="J178" i="141"/>
  <c r="J158" i="141" s="1"/>
  <c r="J137" i="141" s="1"/>
  <c r="J115" i="141" s="1"/>
  <c r="J93" i="141" s="1"/>
  <c r="J71" i="141" s="1"/>
  <c r="I197" i="141"/>
  <c r="I178" i="141" s="1"/>
  <c r="I158" i="141" s="1"/>
  <c r="I137" i="141" s="1"/>
  <c r="I115" i="141" s="1"/>
  <c r="I93" i="141" s="1"/>
  <c r="I71" i="141" s="1"/>
  <c r="H197" i="141"/>
  <c r="H178" i="141"/>
  <c r="H158" i="141" s="1"/>
  <c r="H137" i="141" s="1"/>
  <c r="H115" i="141" s="1"/>
  <c r="H93" i="141" s="1"/>
  <c r="H71" i="141" s="1"/>
  <c r="G197" i="141"/>
  <c r="G178" i="141" s="1"/>
  <c r="G158" i="141" s="1"/>
  <c r="G137" i="141" s="1"/>
  <c r="G115" i="141" s="1"/>
  <c r="G93" i="141" s="1"/>
  <c r="G71" i="141" s="1"/>
  <c r="F197" i="141"/>
  <c r="F178" i="141" s="1"/>
  <c r="F158" i="141" s="1"/>
  <c r="F137" i="141" s="1"/>
  <c r="F115" i="141" s="1"/>
  <c r="F93" i="141" s="1"/>
  <c r="F71" i="141" s="1"/>
  <c r="E197" i="141"/>
  <c r="E178" i="141" s="1"/>
  <c r="E158" i="141" s="1"/>
  <c r="E137" i="141" s="1"/>
  <c r="E115" i="141" s="1"/>
  <c r="E93" i="141" s="1"/>
  <c r="E71" i="141" s="1"/>
  <c r="D197" i="141"/>
  <c r="D178" i="141" s="1"/>
  <c r="D158" i="141" s="1"/>
  <c r="D137" i="141" s="1"/>
  <c r="D115" i="141" s="1"/>
  <c r="D93" i="141" s="1"/>
  <c r="D71" i="141" s="1"/>
  <c r="C197" i="141"/>
  <c r="C178" i="141"/>
  <c r="C158" i="141" s="1"/>
  <c r="C137" i="141" s="1"/>
  <c r="C115" i="141" s="1"/>
  <c r="C93" i="141" s="1"/>
  <c r="C71" i="141" s="1"/>
  <c r="K196" i="141"/>
  <c r="K177" i="141" s="1"/>
  <c r="K157" i="141" s="1"/>
  <c r="K136" i="141" s="1"/>
  <c r="K114" i="141" s="1"/>
  <c r="K92" i="141" s="1"/>
  <c r="J196" i="141"/>
  <c r="J177" i="141" s="1"/>
  <c r="J157" i="141" s="1"/>
  <c r="J136" i="141" s="1"/>
  <c r="J114" i="141" s="1"/>
  <c r="J92" i="141" s="1"/>
  <c r="J70" i="141" s="1"/>
  <c r="I196" i="141"/>
  <c r="I177" i="141" s="1"/>
  <c r="I157" i="141" s="1"/>
  <c r="I136" i="141" s="1"/>
  <c r="I114" i="141" s="1"/>
  <c r="I92" i="141" s="1"/>
  <c r="I70" i="141" s="1"/>
  <c r="H196" i="141"/>
  <c r="H177" i="141" s="1"/>
  <c r="H157" i="141" s="1"/>
  <c r="H136" i="141" s="1"/>
  <c r="H114" i="141" s="1"/>
  <c r="H92" i="141" s="1"/>
  <c r="H70" i="141" s="1"/>
  <c r="G196" i="141"/>
  <c r="G177" i="141" s="1"/>
  <c r="G157" i="141" s="1"/>
  <c r="G136" i="141" s="1"/>
  <c r="G114" i="141" s="1"/>
  <c r="G92" i="141" s="1"/>
  <c r="G70" i="141" s="1"/>
  <c r="F196" i="141"/>
  <c r="F177" i="141" s="1"/>
  <c r="F157" i="141" s="1"/>
  <c r="F136" i="141" s="1"/>
  <c r="F114" i="141" s="1"/>
  <c r="F92" i="141" s="1"/>
  <c r="F70" i="141" s="1"/>
  <c r="E196" i="141"/>
  <c r="E177" i="141" s="1"/>
  <c r="D196" i="141"/>
  <c r="D177" i="141" s="1"/>
  <c r="D157" i="141" s="1"/>
  <c r="D136" i="141" s="1"/>
  <c r="D114" i="141" s="1"/>
  <c r="D92" i="141" s="1"/>
  <c r="D70" i="141" s="1"/>
  <c r="C196" i="141"/>
  <c r="C177" i="141"/>
  <c r="C157" i="141" s="1"/>
  <c r="C136" i="141" s="1"/>
  <c r="C114" i="141" s="1"/>
  <c r="C92" i="141" s="1"/>
  <c r="C70" i="141" s="1"/>
  <c r="B201" i="141"/>
  <c r="B210" i="141" s="1"/>
  <c r="B200" i="141"/>
  <c r="B181" i="141" s="1"/>
  <c r="B161" i="141" s="1"/>
  <c r="B140" i="141" s="1"/>
  <c r="B118" i="141" s="1"/>
  <c r="B199" i="141"/>
  <c r="B180" i="141" s="1"/>
  <c r="B160" i="141" s="1"/>
  <c r="B139" i="141" s="1"/>
  <c r="B117" i="141" s="1"/>
  <c r="B198" i="141"/>
  <c r="B179" i="141" s="1"/>
  <c r="B159" i="141" s="1"/>
  <c r="B138" i="141" s="1"/>
  <c r="B116" i="141" s="1"/>
  <c r="B197" i="141"/>
  <c r="B178" i="141" s="1"/>
  <c r="B158" i="141" s="1"/>
  <c r="B137" i="141" s="1"/>
  <c r="B115" i="141" s="1"/>
  <c r="B196" i="141"/>
  <c r="B177" i="141" s="1"/>
  <c r="B157" i="141" s="1"/>
  <c r="B136" i="141" s="1"/>
  <c r="B114" i="141" s="1"/>
  <c r="Z249" i="66"/>
  <c r="Z257" i="66" s="1"/>
  <c r="S214" i="66"/>
  <c r="Q21" i="54"/>
  <c r="P21" i="54"/>
  <c r="P23" i="54" s="1"/>
  <c r="D21" i="54"/>
  <c r="C21" i="54"/>
  <c r="P54" i="43"/>
  <c r="C23" i="38"/>
  <c r="C36" i="38" s="1"/>
  <c r="C43" i="43"/>
  <c r="C54" i="43" s="1"/>
  <c r="C9" i="107"/>
  <c r="E30" i="2"/>
  <c r="D9" i="8"/>
  <c r="D22" i="8" s="1"/>
  <c r="D8" i="43"/>
  <c r="D9" i="33"/>
  <c r="D11" i="33" s="1"/>
  <c r="G209" i="141"/>
  <c r="H112" i="138"/>
  <c r="H132" i="138" s="1"/>
  <c r="G112" i="138"/>
  <c r="F112" i="138"/>
  <c r="F101" i="138" s="1"/>
  <c r="F90" i="138" s="1"/>
  <c r="F80" i="138" s="1"/>
  <c r="F70" i="138" s="1"/>
  <c r="H111" i="138"/>
  <c r="G111" i="138"/>
  <c r="F111" i="138"/>
  <c r="H109" i="138"/>
  <c r="G109" i="138"/>
  <c r="F109" i="138"/>
  <c r="F129" i="138" s="1"/>
  <c r="E109" i="138"/>
  <c r="D109" i="138"/>
  <c r="D98" i="138" s="1"/>
  <c r="D87" i="138" s="1"/>
  <c r="D77" i="138" s="1"/>
  <c r="D67" i="138" s="1"/>
  <c r="D57" i="138" s="1"/>
  <c r="D47" i="138" s="1"/>
  <c r="D37" i="138" s="1"/>
  <c r="C109" i="138"/>
  <c r="C129" i="138"/>
  <c r="H108" i="138"/>
  <c r="G108" i="138"/>
  <c r="F108" i="138"/>
  <c r="F97" i="138"/>
  <c r="F86" i="138" s="1"/>
  <c r="F76" i="138" s="1"/>
  <c r="F66" i="138" s="1"/>
  <c r="F56" i="138" s="1"/>
  <c r="F46" i="138" s="1"/>
  <c r="F36" i="138" s="1"/>
  <c r="E108" i="138"/>
  <c r="E97" i="138" s="1"/>
  <c r="E86" i="138" s="1"/>
  <c r="E76" i="138" s="1"/>
  <c r="E66" i="138" s="1"/>
  <c r="D108" i="138"/>
  <c r="C108" i="138"/>
  <c r="C128" i="138"/>
  <c r="E112" i="138"/>
  <c r="E111" i="138"/>
  <c r="B109" i="138"/>
  <c r="B108" i="138"/>
  <c r="B128" i="138" s="1"/>
  <c r="C12" i="15"/>
  <c r="C10" i="17"/>
  <c r="C16" i="17" s="1"/>
  <c r="C11" i="43"/>
  <c r="C28" i="43" s="1"/>
  <c r="C19" i="30"/>
  <c r="D10" i="29"/>
  <c r="P11" i="33"/>
  <c r="C11" i="33"/>
  <c r="D10" i="86"/>
  <c r="D25" i="93"/>
  <c r="D26" i="93" s="1"/>
  <c r="D20" i="93"/>
  <c r="D23" i="5"/>
  <c r="D12" i="6"/>
  <c r="D29" i="6" s="1"/>
  <c r="D32" i="6"/>
  <c r="D33" i="6"/>
  <c r="D36" i="6"/>
  <c r="I5" i="2"/>
  <c r="I16" i="2"/>
  <c r="C6" i="107"/>
  <c r="C15" i="4"/>
  <c r="C18" i="4" s="1"/>
  <c r="D15" i="4"/>
  <c r="D18" i="4" s="1"/>
  <c r="P15" i="4"/>
  <c r="P18" i="4" s="1"/>
  <c r="C29" i="6"/>
  <c r="P29" i="6"/>
  <c r="C56" i="6"/>
  <c r="P56" i="6"/>
  <c r="C59" i="6"/>
  <c r="P59" i="6"/>
  <c r="C12" i="5"/>
  <c r="P12" i="5"/>
  <c r="C23" i="5"/>
  <c r="P23" i="5"/>
  <c r="C26" i="5"/>
  <c r="C103" i="129" s="1"/>
  <c r="D26" i="5"/>
  <c r="D103" i="129" s="1"/>
  <c r="P26" i="5"/>
  <c r="C14" i="12"/>
  <c r="D14" i="12"/>
  <c r="P14" i="12"/>
  <c r="C59" i="12"/>
  <c r="D59" i="12"/>
  <c r="C16" i="24"/>
  <c r="D16" i="24"/>
  <c r="C47" i="24"/>
  <c r="D47" i="24"/>
  <c r="C20" i="93"/>
  <c r="P20" i="93"/>
  <c r="C26" i="93"/>
  <c r="P26" i="93"/>
  <c r="C18" i="53"/>
  <c r="C20" i="53" s="1"/>
  <c r="D18" i="53"/>
  <c r="D20" i="53" s="1"/>
  <c r="P18" i="53"/>
  <c r="P20" i="53" s="1"/>
  <c r="C15" i="52"/>
  <c r="D15" i="52"/>
  <c r="P15" i="52"/>
  <c r="C31" i="51"/>
  <c r="D31" i="51"/>
  <c r="P31" i="51"/>
  <c r="C56" i="51"/>
  <c r="D56" i="51"/>
  <c r="P56" i="51"/>
  <c r="C61" i="51"/>
  <c r="D61" i="51"/>
  <c r="P61" i="51"/>
  <c r="C11" i="50"/>
  <c r="C14" i="50" s="1"/>
  <c r="D11" i="50"/>
  <c r="D14" i="50" s="1"/>
  <c r="P11" i="50"/>
  <c r="P14" i="50" s="1"/>
  <c r="Q11" i="50"/>
  <c r="C12" i="135"/>
  <c r="C15" i="135" s="1"/>
  <c r="D12" i="135"/>
  <c r="D15" i="135" s="1"/>
  <c r="D92" i="66" s="1"/>
  <c r="P12" i="135"/>
  <c r="P15" i="135" s="1"/>
  <c r="Q12" i="135"/>
  <c r="Q15" i="135" s="1"/>
  <c r="C13" i="49"/>
  <c r="D13" i="49"/>
  <c r="P13" i="49"/>
  <c r="C27" i="49"/>
  <c r="D27" i="49"/>
  <c r="P27" i="49"/>
  <c r="H36" i="104"/>
  <c r="C16" i="11"/>
  <c r="D16" i="11"/>
  <c r="C41" i="11"/>
  <c r="D41" i="11"/>
  <c r="P41" i="11"/>
  <c r="C44" i="11"/>
  <c r="D44" i="11"/>
  <c r="P44" i="11"/>
  <c r="Q44" i="11"/>
  <c r="H35" i="104" s="1"/>
  <c r="C12" i="10"/>
  <c r="C15" i="10" s="1"/>
  <c r="C85" i="66" s="1"/>
  <c r="D12" i="10"/>
  <c r="D15" i="10" s="1"/>
  <c r="P12" i="10"/>
  <c r="P15" i="10" s="1"/>
  <c r="Q12" i="10"/>
  <c r="Q15" i="10" s="1"/>
  <c r="C11" i="9"/>
  <c r="D11" i="9"/>
  <c r="C24" i="9"/>
  <c r="D24" i="9"/>
  <c r="P24" i="9"/>
  <c r="P26" i="9" s="1"/>
  <c r="H33" i="104"/>
  <c r="C22" i="8"/>
  <c r="C39" i="8"/>
  <c r="D39" i="8"/>
  <c r="H32" i="104"/>
  <c r="C13" i="7"/>
  <c r="D13" i="7"/>
  <c r="C16" i="7"/>
  <c r="D16" i="7"/>
  <c r="P16" i="7"/>
  <c r="Q16" i="7"/>
  <c r="C13" i="22"/>
  <c r="P13" i="22"/>
  <c r="C25" i="22"/>
  <c r="D25" i="22"/>
  <c r="P25" i="22"/>
  <c r="C12" i="18"/>
  <c r="P12" i="18"/>
  <c r="C18" i="18"/>
  <c r="D18" i="18"/>
  <c r="P18" i="18"/>
  <c r="C13" i="23"/>
  <c r="P13" i="23"/>
  <c r="C18" i="23"/>
  <c r="D18" i="23"/>
  <c r="P16" i="17"/>
  <c r="C50" i="17"/>
  <c r="D50" i="17"/>
  <c r="P50" i="17"/>
  <c r="C12" i="56"/>
  <c r="P12" i="56"/>
  <c r="C22" i="56"/>
  <c r="D22" i="56"/>
  <c r="C9" i="15"/>
  <c r="P9" i="15"/>
  <c r="C10" i="15"/>
  <c r="P10" i="15"/>
  <c r="S10" i="15"/>
  <c r="P11" i="15"/>
  <c r="Q11" i="15"/>
  <c r="P12" i="15"/>
  <c r="Q12" i="15"/>
  <c r="C13" i="15"/>
  <c r="C14" i="15"/>
  <c r="C16" i="15"/>
  <c r="P13" i="15"/>
  <c r="P14" i="15"/>
  <c r="Q14" i="15"/>
  <c r="S14" i="15"/>
  <c r="P15" i="15"/>
  <c r="Q15" i="15"/>
  <c r="S15" i="15"/>
  <c r="P16" i="15"/>
  <c r="Q16" i="15"/>
  <c r="S16" i="15"/>
  <c r="C20" i="15"/>
  <c r="D20" i="15"/>
  <c r="D21" i="15"/>
  <c r="D22" i="15"/>
  <c r="D23" i="15"/>
  <c r="D24" i="15"/>
  <c r="D25" i="15"/>
  <c r="D26" i="15"/>
  <c r="D27" i="15"/>
  <c r="D28" i="15"/>
  <c r="D29" i="15"/>
  <c r="D31" i="15"/>
  <c r="D32" i="15"/>
  <c r="D33" i="15"/>
  <c r="D34" i="15"/>
  <c r="D35" i="15"/>
  <c r="D36" i="15"/>
  <c r="D37" i="15"/>
  <c r="D38" i="15"/>
  <c r="D39" i="15"/>
  <c r="D40" i="15"/>
  <c r="D41" i="15"/>
  <c r="D42" i="15"/>
  <c r="D43" i="15"/>
  <c r="D44" i="15"/>
  <c r="D45" i="15"/>
  <c r="D46" i="15"/>
  <c r="D47" i="15"/>
  <c r="D49" i="15"/>
  <c r="D50" i="15"/>
  <c r="D51" i="15"/>
  <c r="D52" i="15"/>
  <c r="D53" i="15"/>
  <c r="P20" i="15"/>
  <c r="Q20" i="15"/>
  <c r="S20" i="15"/>
  <c r="C21" i="15"/>
  <c r="P21" i="15"/>
  <c r="Q21" i="15"/>
  <c r="S21" i="15"/>
  <c r="C22" i="15"/>
  <c r="P22" i="15"/>
  <c r="Q22" i="15"/>
  <c r="S22" i="15"/>
  <c r="C23" i="15"/>
  <c r="P23" i="15"/>
  <c r="Q23" i="15"/>
  <c r="S23" i="15"/>
  <c r="C24" i="15"/>
  <c r="P24" i="15"/>
  <c r="Q24" i="15"/>
  <c r="S24" i="15"/>
  <c r="C25" i="15"/>
  <c r="P25" i="15"/>
  <c r="Q25" i="15"/>
  <c r="S25" i="15"/>
  <c r="C26" i="15"/>
  <c r="P26" i="15"/>
  <c r="Q26" i="15"/>
  <c r="S26" i="15"/>
  <c r="C27" i="15"/>
  <c r="P27" i="15"/>
  <c r="Q27" i="15"/>
  <c r="S27" i="15"/>
  <c r="C28" i="15"/>
  <c r="P28" i="15"/>
  <c r="Q28" i="15"/>
  <c r="S28" i="15"/>
  <c r="C29" i="15"/>
  <c r="P29" i="15"/>
  <c r="Q29" i="15"/>
  <c r="S29" i="15"/>
  <c r="C31" i="15"/>
  <c r="P31" i="15"/>
  <c r="Q31" i="15"/>
  <c r="S31" i="15"/>
  <c r="C32" i="15"/>
  <c r="P32" i="15"/>
  <c r="Q32" i="15"/>
  <c r="S32" i="15"/>
  <c r="C33" i="15"/>
  <c r="P33" i="15"/>
  <c r="Q33" i="15"/>
  <c r="S33" i="15"/>
  <c r="C34" i="15"/>
  <c r="P34" i="15"/>
  <c r="Q34" i="15"/>
  <c r="C35" i="15"/>
  <c r="C36" i="15"/>
  <c r="C37" i="15"/>
  <c r="C38" i="15"/>
  <c r="C39" i="15"/>
  <c r="C40" i="15"/>
  <c r="C41" i="15"/>
  <c r="C42" i="15"/>
  <c r="C43" i="15"/>
  <c r="C44" i="15"/>
  <c r="C45" i="15"/>
  <c r="C46" i="15"/>
  <c r="C47" i="15"/>
  <c r="C49" i="15"/>
  <c r="C50" i="15"/>
  <c r="C51" i="15"/>
  <c r="C52" i="15"/>
  <c r="C53" i="15"/>
  <c r="P35" i="15"/>
  <c r="Q35" i="15"/>
  <c r="S35" i="15"/>
  <c r="P36" i="15"/>
  <c r="Q36" i="15"/>
  <c r="S36" i="15"/>
  <c r="P37" i="15"/>
  <c r="Q37" i="15"/>
  <c r="S37" i="15"/>
  <c r="P38" i="15"/>
  <c r="Q38" i="15"/>
  <c r="S38" i="15"/>
  <c r="P39" i="15"/>
  <c r="Q39" i="15"/>
  <c r="S39" i="15"/>
  <c r="P40" i="15"/>
  <c r="Q40" i="15"/>
  <c r="S40" i="15"/>
  <c r="P41" i="15"/>
  <c r="Q41" i="15"/>
  <c r="S41" i="15"/>
  <c r="P42" i="15"/>
  <c r="Q42" i="15"/>
  <c r="S42" i="15"/>
  <c r="P43" i="15"/>
  <c r="Q43" i="15"/>
  <c r="S43" i="15"/>
  <c r="P44" i="15"/>
  <c r="Q44" i="15"/>
  <c r="S44" i="15"/>
  <c r="P45" i="15"/>
  <c r="Q45" i="15"/>
  <c r="S45" i="15"/>
  <c r="P46" i="15"/>
  <c r="Q46" i="15"/>
  <c r="S46" i="15"/>
  <c r="P47" i="15"/>
  <c r="Q47" i="15"/>
  <c r="S47" i="15"/>
  <c r="P49" i="15"/>
  <c r="Q49" i="15"/>
  <c r="S49" i="15"/>
  <c r="P50" i="15"/>
  <c r="Q50" i="15"/>
  <c r="S50" i="15"/>
  <c r="P51" i="15"/>
  <c r="Q51" i="15"/>
  <c r="S51" i="15"/>
  <c r="P52" i="15"/>
  <c r="Q52" i="15"/>
  <c r="S52" i="15"/>
  <c r="P53" i="15"/>
  <c r="Q53" i="15"/>
  <c r="S53" i="15"/>
  <c r="R98" i="15"/>
  <c r="Q13" i="15"/>
  <c r="Y101" i="15"/>
  <c r="C11" i="13"/>
  <c r="C128" i="66" s="1"/>
  <c r="D11" i="13"/>
  <c r="D128" i="66" s="1"/>
  <c r="P11" i="13"/>
  <c r="Q11" i="13"/>
  <c r="C14" i="13"/>
  <c r="C129" i="66" s="1"/>
  <c r="D14" i="13"/>
  <c r="P14" i="13"/>
  <c r="C10" i="86"/>
  <c r="P10" i="86"/>
  <c r="P17" i="86"/>
  <c r="H26" i="104"/>
  <c r="C10" i="48"/>
  <c r="C12" i="48" s="1"/>
  <c r="C66" i="66" s="1"/>
  <c r="D10" i="48"/>
  <c r="D12" i="48" s="1"/>
  <c r="D66" i="66" s="1"/>
  <c r="P10" i="48"/>
  <c r="P12" i="48" s="1"/>
  <c r="Q10" i="48"/>
  <c r="Q12" i="48" s="1"/>
  <c r="R12" i="48" s="1"/>
  <c r="Q66" i="66" s="1"/>
  <c r="C16" i="47"/>
  <c r="D16" i="47"/>
  <c r="P16" i="47"/>
  <c r="P21" i="47" s="1"/>
  <c r="C10" i="46"/>
  <c r="D10" i="46"/>
  <c r="P10" i="46"/>
  <c r="C14" i="46"/>
  <c r="D14" i="46"/>
  <c r="Q14" i="46"/>
  <c r="C10" i="45"/>
  <c r="C12" i="45" s="1"/>
  <c r="C62" i="66" s="1"/>
  <c r="D10" i="45"/>
  <c r="D12" i="45" s="1"/>
  <c r="P10" i="45"/>
  <c r="P12" i="45" s="1"/>
  <c r="Q10" i="45"/>
  <c r="Q12" i="45" s="1"/>
  <c r="C20" i="44"/>
  <c r="D20" i="44"/>
  <c r="C33" i="44"/>
  <c r="D33" i="44"/>
  <c r="H21" i="104"/>
  <c r="C19" i="60"/>
  <c r="C26" i="60" s="1"/>
  <c r="D19" i="60"/>
  <c r="P19" i="60"/>
  <c r="P26" i="60" s="1"/>
  <c r="P28" i="43"/>
  <c r="D54" i="43"/>
  <c r="C57" i="43"/>
  <c r="D57" i="43"/>
  <c r="D59" i="66" s="1"/>
  <c r="P57" i="43"/>
  <c r="C39" i="87"/>
  <c r="C41" i="87" s="1"/>
  <c r="D39" i="87"/>
  <c r="D41" i="87" s="1"/>
  <c r="D52" i="66" s="1"/>
  <c r="P39" i="87"/>
  <c r="P41" i="87" s="1"/>
  <c r="D23" i="129"/>
  <c r="C15" i="41"/>
  <c r="C18" i="41" s="1"/>
  <c r="C51" i="66" s="1"/>
  <c r="D15" i="41"/>
  <c r="D18" i="41" s="1"/>
  <c r="P15" i="41"/>
  <c r="P18" i="41" s="1"/>
  <c r="H16" i="104"/>
  <c r="C13" i="40"/>
  <c r="D13" i="40"/>
  <c r="C30" i="40"/>
  <c r="D30" i="40"/>
  <c r="P30" i="40"/>
  <c r="H15" i="104"/>
  <c r="T40" i="40"/>
  <c r="Q11" i="40" s="1"/>
  <c r="N48" i="40" s="1"/>
  <c r="C18" i="38"/>
  <c r="C38" i="38" s="1"/>
  <c r="D18" i="38"/>
  <c r="D36" i="38"/>
  <c r="P36" i="38"/>
  <c r="P38" i="38" s="1"/>
  <c r="T57" i="38"/>
  <c r="Q15" i="38" s="1"/>
  <c r="C13" i="36"/>
  <c r="C16" i="36" s="1"/>
  <c r="C46" i="66" s="1"/>
  <c r="D13" i="36"/>
  <c r="D16" i="36" s="1"/>
  <c r="P13" i="36"/>
  <c r="P16" i="36" s="1"/>
  <c r="Q13" i="36"/>
  <c r="Q16" i="36" s="1"/>
  <c r="C16" i="35"/>
  <c r="D16" i="35"/>
  <c r="C31" i="35"/>
  <c r="D31" i="35"/>
  <c r="P31" i="35"/>
  <c r="P33" i="35" s="1"/>
  <c r="H10" i="104"/>
  <c r="T46" i="35"/>
  <c r="Q12" i="35" s="1"/>
  <c r="C16" i="34"/>
  <c r="D16" i="34"/>
  <c r="P16" i="34"/>
  <c r="C37" i="34"/>
  <c r="P37" i="34"/>
  <c r="C26" i="33"/>
  <c r="D26" i="33"/>
  <c r="C71" i="33"/>
  <c r="C11" i="32"/>
  <c r="C14" i="32" s="1"/>
  <c r="D11" i="32"/>
  <c r="D14" i="32" s="1"/>
  <c r="P11" i="32"/>
  <c r="P14" i="32" s="1"/>
  <c r="C17" i="31"/>
  <c r="C20" i="31" s="1"/>
  <c r="C40" i="66" s="1"/>
  <c r="D17" i="31"/>
  <c r="D20" i="31" s="1"/>
  <c r="D40" i="66" s="1"/>
  <c r="P17" i="31"/>
  <c r="P20" i="31" s="1"/>
  <c r="Q20" i="31"/>
  <c r="R20" i="31" s="1"/>
  <c r="Q40" i="66" s="1"/>
  <c r="D19" i="30"/>
  <c r="P19" i="30"/>
  <c r="C34" i="30"/>
  <c r="D34" i="30"/>
  <c r="P34" i="30"/>
  <c r="C10" i="29"/>
  <c r="P10" i="29"/>
  <c r="C21" i="29"/>
  <c r="D21" i="29"/>
  <c r="D23" i="29" s="1"/>
  <c r="P21" i="29"/>
  <c r="B8" i="129"/>
  <c r="A9" i="129"/>
  <c r="B9" i="129"/>
  <c r="A10" i="129"/>
  <c r="B10" i="129"/>
  <c r="A11" i="129"/>
  <c r="B11" i="129"/>
  <c r="A12" i="129"/>
  <c r="B12" i="129"/>
  <c r="A13" i="129"/>
  <c r="B13" i="129"/>
  <c r="A14" i="129"/>
  <c r="B14" i="129"/>
  <c r="A15" i="129"/>
  <c r="B15" i="129"/>
  <c r="A16" i="129"/>
  <c r="B16" i="129"/>
  <c r="A18" i="129"/>
  <c r="B18" i="129"/>
  <c r="A19" i="129"/>
  <c r="B19" i="129"/>
  <c r="A20" i="129"/>
  <c r="B20" i="129"/>
  <c r="A21" i="129"/>
  <c r="B21" i="129"/>
  <c r="A22" i="129"/>
  <c r="B22" i="129"/>
  <c r="B26" i="129"/>
  <c r="A27" i="129"/>
  <c r="B27" i="129"/>
  <c r="A29" i="129"/>
  <c r="B29" i="129"/>
  <c r="A30" i="129"/>
  <c r="B30" i="129"/>
  <c r="A31" i="129"/>
  <c r="B31" i="129"/>
  <c r="A32" i="129"/>
  <c r="B32" i="129"/>
  <c r="A33" i="129"/>
  <c r="B33" i="129"/>
  <c r="A34" i="129"/>
  <c r="B34" i="129"/>
  <c r="A35" i="129"/>
  <c r="B35" i="129"/>
  <c r="A56" i="129"/>
  <c r="B56" i="129"/>
  <c r="B36" i="129"/>
  <c r="B38" i="129"/>
  <c r="A39" i="129"/>
  <c r="B39" i="129"/>
  <c r="A41" i="129"/>
  <c r="B41" i="129"/>
  <c r="A42" i="129"/>
  <c r="B42" i="129"/>
  <c r="A44" i="129"/>
  <c r="B44" i="129"/>
  <c r="B45" i="129"/>
  <c r="B54" i="129"/>
  <c r="A57" i="129"/>
  <c r="B57" i="129"/>
  <c r="A58" i="129"/>
  <c r="B58" i="129"/>
  <c r="B59" i="129"/>
  <c r="B61" i="129"/>
  <c r="A62" i="129"/>
  <c r="B62" i="129"/>
  <c r="A63" i="129"/>
  <c r="B63" i="129"/>
  <c r="A64" i="129"/>
  <c r="B64" i="129"/>
  <c r="A65" i="129"/>
  <c r="B65" i="129"/>
  <c r="B68" i="129"/>
  <c r="A69" i="129"/>
  <c r="B69" i="129"/>
  <c r="B71" i="129"/>
  <c r="A72" i="129"/>
  <c r="B72" i="129"/>
  <c r="B74" i="129"/>
  <c r="A75" i="129"/>
  <c r="B75" i="129"/>
  <c r="A76" i="129"/>
  <c r="B76" i="129"/>
  <c r="B77" i="129"/>
  <c r="B115" i="129"/>
  <c r="W109" i="66"/>
  <c r="Y109" i="66"/>
  <c r="Z109" i="66"/>
  <c r="W130" i="66"/>
  <c r="Y130" i="66"/>
  <c r="Z130" i="66"/>
  <c r="S132" i="66"/>
  <c r="G4" i="104"/>
  <c r="O4" i="104"/>
  <c r="H5" i="104"/>
  <c r="O5" i="104"/>
  <c r="H6" i="104"/>
  <c r="J6" i="104" s="1"/>
  <c r="K6" i="104"/>
  <c r="O6" i="104"/>
  <c r="K7" i="104"/>
  <c r="O7" i="104"/>
  <c r="H8" i="104"/>
  <c r="O8" i="104"/>
  <c r="O9" i="104"/>
  <c r="O10" i="104"/>
  <c r="K11" i="104"/>
  <c r="O11" i="104"/>
  <c r="O13" i="104"/>
  <c r="H14" i="104"/>
  <c r="O14" i="104"/>
  <c r="O15" i="104"/>
  <c r="K16" i="104"/>
  <c r="O16" i="104"/>
  <c r="K18" i="104"/>
  <c r="O18" i="104"/>
  <c r="H19" i="104"/>
  <c r="O19" i="104"/>
  <c r="O20" i="104"/>
  <c r="O21" i="104"/>
  <c r="K22" i="104"/>
  <c r="O22" i="104"/>
  <c r="O23" i="104"/>
  <c r="K24" i="104"/>
  <c r="O24" i="104"/>
  <c r="M25" i="104"/>
  <c r="O25" i="104"/>
  <c r="O26" i="104"/>
  <c r="O27" i="104"/>
  <c r="O28" i="104"/>
  <c r="O29" i="104"/>
  <c r="H31" i="104"/>
  <c r="J31" i="104" s="1"/>
  <c r="K31" i="104"/>
  <c r="O31" i="104"/>
  <c r="O32" i="104"/>
  <c r="O33" i="104"/>
  <c r="K34" i="104"/>
  <c r="O34" i="104"/>
  <c r="O35" i="104"/>
  <c r="O36" i="104"/>
  <c r="K37" i="104"/>
  <c r="O37" i="104"/>
  <c r="K38" i="104"/>
  <c r="O38" i="104"/>
  <c r="K39" i="104"/>
  <c r="O39" i="104"/>
  <c r="K40" i="104"/>
  <c r="O40" i="104"/>
  <c r="K41" i="104"/>
  <c r="M41" i="104"/>
  <c r="H42" i="104"/>
  <c r="J42" i="104" s="1"/>
  <c r="K42" i="104"/>
  <c r="O42" i="104"/>
  <c r="O50" i="104"/>
  <c r="O51" i="104"/>
  <c r="K52" i="104"/>
  <c r="O52" i="104"/>
  <c r="K53" i="104"/>
  <c r="M53" i="104"/>
  <c r="O45" i="104"/>
  <c r="V129" i="66"/>
  <c r="V130" i="66" s="1"/>
  <c r="V134" i="66" s="1"/>
  <c r="I7" i="2"/>
  <c r="S13" i="15"/>
  <c r="I18" i="53"/>
  <c r="I20" i="53" s="1"/>
  <c r="H75" i="129" s="1"/>
  <c r="Q18" i="41"/>
  <c r="R18" i="41" s="1"/>
  <c r="Q51" i="66" s="1"/>
  <c r="E100" i="138"/>
  <c r="E89" i="138" s="1"/>
  <c r="E79" i="138" s="1"/>
  <c r="E69" i="138" s="1"/>
  <c r="E59" i="138" s="1"/>
  <c r="E49" i="138" s="1"/>
  <c r="E131" i="138"/>
  <c r="C97" i="138"/>
  <c r="C86" i="138" s="1"/>
  <c r="C76" i="138" s="1"/>
  <c r="C66" i="138" s="1"/>
  <c r="G97" i="138"/>
  <c r="G86" i="138" s="1"/>
  <c r="G76" i="138" s="1"/>
  <c r="G66" i="138" s="1"/>
  <c r="G128" i="138"/>
  <c r="C98" i="138"/>
  <c r="C87" i="138" s="1"/>
  <c r="C77" i="138" s="1"/>
  <c r="C67" i="138" s="1"/>
  <c r="G98" i="138"/>
  <c r="G87" i="138" s="1"/>
  <c r="G77" i="138" s="1"/>
  <c r="G67" i="138" s="1"/>
  <c r="G57" i="138" s="1"/>
  <c r="G47" i="138" s="1"/>
  <c r="G37" i="138" s="1"/>
  <c r="G129" i="138"/>
  <c r="F100" i="138"/>
  <c r="F89" i="138" s="1"/>
  <c r="F79" i="138" s="1"/>
  <c r="F69" i="138" s="1"/>
  <c r="F59" i="138" s="1"/>
  <c r="F49" i="138" s="1"/>
  <c r="F39" i="138" s="1"/>
  <c r="F131" i="138"/>
  <c r="H100" i="138"/>
  <c r="H89" i="138" s="1"/>
  <c r="H79" i="138" s="1"/>
  <c r="H69" i="138" s="1"/>
  <c r="H59" i="138" s="1"/>
  <c r="H49" i="138" s="1"/>
  <c r="H39" i="138" s="1"/>
  <c r="H131" i="138"/>
  <c r="B98" i="138"/>
  <c r="B87" i="138" s="1"/>
  <c r="B77" i="138" s="1"/>
  <c r="B67" i="138" s="1"/>
  <c r="B57" i="138" s="1"/>
  <c r="B47" i="138" s="1"/>
  <c r="B37" i="138" s="1"/>
  <c r="B129" i="138"/>
  <c r="E101" i="138"/>
  <c r="E90" i="138" s="1"/>
  <c r="E80" i="138" s="1"/>
  <c r="E70" i="138" s="1"/>
  <c r="E60" i="138" s="1"/>
  <c r="E50" i="138" s="1"/>
  <c r="E132" i="138"/>
  <c r="F128" i="138"/>
  <c r="H97" i="138"/>
  <c r="H86" i="138" s="1"/>
  <c r="H76" i="138" s="1"/>
  <c r="H66" i="138" s="1"/>
  <c r="H56" i="138" s="1"/>
  <c r="H46" i="138" s="1"/>
  <c r="H36" i="138" s="1"/>
  <c r="H128" i="138"/>
  <c r="H98" i="138"/>
  <c r="H87" i="138" s="1"/>
  <c r="H77" i="138" s="1"/>
  <c r="H67" i="138" s="1"/>
  <c r="H57" i="138" s="1"/>
  <c r="H47" i="138" s="1"/>
  <c r="H37" i="138" s="1"/>
  <c r="H129" i="138"/>
  <c r="G100" i="138"/>
  <c r="G89" i="138" s="1"/>
  <c r="G79" i="138" s="1"/>
  <c r="G69" i="138" s="1"/>
  <c r="G59" i="138" s="1"/>
  <c r="G49" i="138" s="1"/>
  <c r="G39" i="138" s="1"/>
  <c r="G131" i="138"/>
  <c r="J181" i="141"/>
  <c r="J161" i="141" s="1"/>
  <c r="J140" i="141" s="1"/>
  <c r="J118" i="141" s="1"/>
  <c r="J96" i="141" s="1"/>
  <c r="J74" i="141" s="1"/>
  <c r="F38" i="104"/>
  <c r="F40" i="104"/>
  <c r="I16" i="36"/>
  <c r="H16" i="129" s="1"/>
  <c r="B182" i="141"/>
  <c r="B191" i="141" s="1"/>
  <c r="J210" i="141"/>
  <c r="F182" i="141"/>
  <c r="F162" i="141" s="1"/>
  <c r="H182" i="141"/>
  <c r="F209" i="141"/>
  <c r="H209" i="141"/>
  <c r="F35" i="148"/>
  <c r="H35" i="148"/>
  <c r="V13" i="51"/>
  <c r="J35" i="148"/>
  <c r="X13" i="51"/>
  <c r="Q13" i="51" s="1"/>
  <c r="L35" i="148"/>
  <c r="Z13" i="6" s="1"/>
  <c r="N35" i="148"/>
  <c r="AB13" i="6" s="1"/>
  <c r="AB13" i="51"/>
  <c r="P35" i="148"/>
  <c r="AD13" i="51"/>
  <c r="R35" i="148"/>
  <c r="AF13" i="51"/>
  <c r="T35" i="148"/>
  <c r="AH13" i="6" s="1"/>
  <c r="D36" i="148"/>
  <c r="F36" i="148"/>
  <c r="H36" i="148"/>
  <c r="V14" i="6" s="1"/>
  <c r="V14" i="51"/>
  <c r="Z14" i="51"/>
  <c r="N36" i="148"/>
  <c r="AB14" i="6" s="1"/>
  <c r="AB14" i="51"/>
  <c r="P36" i="148"/>
  <c r="AD14" i="6"/>
  <c r="AD14" i="51"/>
  <c r="T36" i="148"/>
  <c r="AH14" i="6" s="1"/>
  <c r="AH14" i="51"/>
  <c r="D37" i="148"/>
  <c r="F37" i="148"/>
  <c r="X15" i="51"/>
  <c r="Q15" i="51" s="1"/>
  <c r="X16" i="51"/>
  <c r="Q16" i="51" s="1"/>
  <c r="L37" i="148"/>
  <c r="Z15" i="6" s="1"/>
  <c r="Z15" i="51"/>
  <c r="N37" i="148"/>
  <c r="AB15" i="6" s="1"/>
  <c r="AB15" i="51"/>
  <c r="P37" i="148"/>
  <c r="AD15" i="6" s="1"/>
  <c r="R37" i="148"/>
  <c r="AF15" i="6" s="1"/>
  <c r="AF16" i="51"/>
  <c r="T37" i="148"/>
  <c r="AH15" i="6" s="1"/>
  <c r="AH15" i="51"/>
  <c r="D38" i="148"/>
  <c r="F38" i="148"/>
  <c r="J38" i="148"/>
  <c r="X16" i="6"/>
  <c r="Q16" i="6" s="1"/>
  <c r="L38" i="148"/>
  <c r="Z16" i="6" s="1"/>
  <c r="Z16" i="51"/>
  <c r="R38" i="148"/>
  <c r="AF16" i="6" s="1"/>
  <c r="T38" i="148"/>
  <c r="AH16" i="6" s="1"/>
  <c r="AH16" i="51"/>
  <c r="D42" i="148"/>
  <c r="F42" i="148"/>
  <c r="H42" i="148"/>
  <c r="V37" i="6" s="1"/>
  <c r="V37" i="51"/>
  <c r="J42" i="148"/>
  <c r="X37" i="51"/>
  <c r="Q37" i="51" s="1"/>
  <c r="Z37" i="51"/>
  <c r="N42" i="148"/>
  <c r="AB37" i="51"/>
  <c r="P42" i="148"/>
  <c r="AD37" i="51"/>
  <c r="R42" i="148"/>
  <c r="AF37" i="51"/>
  <c r="AH37" i="51"/>
  <c r="D43" i="148"/>
  <c r="D49" i="148" s="1"/>
  <c r="F43" i="148"/>
  <c r="H43" i="148"/>
  <c r="V38" i="6" s="1"/>
  <c r="V38" i="51"/>
  <c r="Z38" i="51"/>
  <c r="N43" i="148"/>
  <c r="AB38" i="6"/>
  <c r="AB38" i="51"/>
  <c r="P43" i="148"/>
  <c r="AD38" i="6" s="1"/>
  <c r="AD38" i="51"/>
  <c r="T43" i="148"/>
  <c r="AH38" i="6" s="1"/>
  <c r="AH38" i="51"/>
  <c r="D44" i="148"/>
  <c r="F44" i="148"/>
  <c r="V39" i="51"/>
  <c r="X39" i="6"/>
  <c r="Q39" i="6" s="1"/>
  <c r="X39" i="51"/>
  <c r="Q39" i="51" s="1"/>
  <c r="L44" i="148"/>
  <c r="Z39" i="6" s="1"/>
  <c r="Z39" i="51"/>
  <c r="N44" i="148"/>
  <c r="AB39" i="6" s="1"/>
  <c r="AB39" i="51"/>
  <c r="AD39" i="51"/>
  <c r="R44" i="148"/>
  <c r="AF39" i="6"/>
  <c r="T44" i="148"/>
  <c r="AH39" i="6" s="1"/>
  <c r="AH39" i="51"/>
  <c r="D45" i="148"/>
  <c r="H45" i="148"/>
  <c r="V40" i="6" s="1"/>
  <c r="V40" i="51"/>
  <c r="J45" i="148"/>
  <c r="X40" i="6" s="1"/>
  <c r="Q40" i="6" s="1"/>
  <c r="X40" i="51"/>
  <c r="Q40" i="51" s="1"/>
  <c r="L45" i="148"/>
  <c r="Z40" i="6" s="1"/>
  <c r="Z40" i="51"/>
  <c r="P45" i="148"/>
  <c r="AD40" i="6" s="1"/>
  <c r="AD40" i="51"/>
  <c r="R45" i="148"/>
  <c r="AF40" i="6" s="1"/>
  <c r="AF40" i="51"/>
  <c r="T45" i="148"/>
  <c r="AH40" i="6" s="1"/>
  <c r="AH40" i="51"/>
  <c r="F46" i="148"/>
  <c r="H46" i="148"/>
  <c r="V41" i="6" s="1"/>
  <c r="V41" i="51"/>
  <c r="J46" i="148"/>
  <c r="X41" i="6" s="1"/>
  <c r="Q41" i="6" s="1"/>
  <c r="X41" i="51"/>
  <c r="Q41" i="51" s="1"/>
  <c r="Z41" i="51"/>
  <c r="N46" i="148"/>
  <c r="AB41" i="6" s="1"/>
  <c r="AB41" i="51"/>
  <c r="P46" i="148"/>
  <c r="AD41" i="6"/>
  <c r="AD41" i="51"/>
  <c r="R46" i="148"/>
  <c r="AF41" i="6" s="1"/>
  <c r="AF41" i="51"/>
  <c r="T46" i="148"/>
  <c r="AH41" i="6" s="1"/>
  <c r="F47" i="148"/>
  <c r="H47" i="148"/>
  <c r="V42" i="6" s="1"/>
  <c r="V42" i="51"/>
  <c r="X42" i="6"/>
  <c r="Q42" i="6" s="1"/>
  <c r="X42" i="51"/>
  <c r="Q42" i="51" s="1"/>
  <c r="L47" i="148"/>
  <c r="Z42" i="6" s="1"/>
  <c r="N47" i="148"/>
  <c r="AB42" i="6" s="1"/>
  <c r="AB42" i="51"/>
  <c r="P47" i="148"/>
  <c r="AD42" i="6" s="1"/>
  <c r="AD42" i="51"/>
  <c r="R47" i="148"/>
  <c r="AF42" i="6"/>
  <c r="T47" i="148"/>
  <c r="AH42" i="6" s="1"/>
  <c r="V35" i="148"/>
  <c r="X35" i="148"/>
  <c r="AL13" i="6" s="1"/>
  <c r="AL13" i="51"/>
  <c r="Z35" i="148"/>
  <c r="Z39" i="148" s="1"/>
  <c r="AN13" i="51"/>
  <c r="AB35" i="148"/>
  <c r="AP13" i="51"/>
  <c r="V36" i="148"/>
  <c r="AJ14" i="6" s="1"/>
  <c r="X36" i="148"/>
  <c r="AL14" i="6" s="1"/>
  <c r="AL14" i="51"/>
  <c r="Z36" i="148"/>
  <c r="AN14" i="6"/>
  <c r="AN14" i="51"/>
  <c r="AB36" i="148"/>
  <c r="AP14" i="51"/>
  <c r="V37" i="148"/>
  <c r="AJ15" i="6" s="1"/>
  <c r="AJ15" i="51"/>
  <c r="Z37" i="148"/>
  <c r="AN15" i="6" s="1"/>
  <c r="AN15" i="51"/>
  <c r="AB37" i="148"/>
  <c r="AP15" i="6" s="1"/>
  <c r="AP15" i="51"/>
  <c r="AJ16" i="51"/>
  <c r="X38" i="148"/>
  <c r="AL16" i="6" s="1"/>
  <c r="AL16" i="51"/>
  <c r="Z38" i="148"/>
  <c r="AN16" i="6" s="1"/>
  <c r="AN16" i="51"/>
  <c r="AB38" i="148"/>
  <c r="AP16" i="6" s="1"/>
  <c r="AP16" i="51"/>
  <c r="V42" i="148"/>
  <c r="AJ37" i="51"/>
  <c r="X42" i="148"/>
  <c r="AL37" i="51"/>
  <c r="Z42" i="148"/>
  <c r="AN37" i="51"/>
  <c r="AB42" i="148"/>
  <c r="AP37" i="51"/>
  <c r="V43" i="148"/>
  <c r="AJ38" i="6" s="1"/>
  <c r="AJ38" i="51"/>
  <c r="X43" i="148"/>
  <c r="AL38" i="51"/>
  <c r="Z43" i="148"/>
  <c r="AN38" i="6"/>
  <c r="AN38" i="51"/>
  <c r="AB43" i="148"/>
  <c r="AB49" i="148" s="1"/>
  <c r="AP38" i="6"/>
  <c r="AP38" i="51"/>
  <c r="X44" i="148"/>
  <c r="AL39" i="6" s="1"/>
  <c r="AL39" i="51"/>
  <c r="Z44" i="148"/>
  <c r="AN39" i="6"/>
  <c r="AN39" i="51"/>
  <c r="AB44" i="148"/>
  <c r="AP39" i="6" s="1"/>
  <c r="AP39" i="51"/>
  <c r="AJ40" i="51"/>
  <c r="X45" i="148"/>
  <c r="AL40" i="6" s="1"/>
  <c r="AL40" i="51"/>
  <c r="Z45" i="148"/>
  <c r="AN40" i="6"/>
  <c r="AN40" i="51"/>
  <c r="AB45" i="148"/>
  <c r="AP40" i="6" s="1"/>
  <c r="AP40" i="51"/>
  <c r="AJ41" i="51"/>
  <c r="X46" i="148"/>
  <c r="AL41" i="6" s="1"/>
  <c r="AL41" i="51"/>
  <c r="Z46" i="148"/>
  <c r="AN41" i="6" s="1"/>
  <c r="AN41" i="51"/>
  <c r="AB46" i="148"/>
  <c r="AP41" i="6" s="1"/>
  <c r="AP41" i="51"/>
  <c r="V47" i="148"/>
  <c r="AJ42" i="6" s="1"/>
  <c r="AJ42" i="51"/>
  <c r="X47" i="148"/>
  <c r="AL42" i="6" s="1"/>
  <c r="AL42" i="51"/>
  <c r="Z47" i="148"/>
  <c r="AN42" i="6" s="1"/>
  <c r="AN42" i="51"/>
  <c r="AB47" i="148"/>
  <c r="AP42" i="6"/>
  <c r="AP42" i="51"/>
  <c r="AD35" i="148"/>
  <c r="AF35" i="148"/>
  <c r="AT13" i="51"/>
  <c r="AH35" i="148"/>
  <c r="AV13" i="6" s="1"/>
  <c r="AV13" i="51"/>
  <c r="AE36" i="148"/>
  <c r="AS14" i="6" s="1"/>
  <c r="AS14" i="51"/>
  <c r="AG36" i="148"/>
  <c r="AU14" i="6" s="1"/>
  <c r="AD37" i="148"/>
  <c r="AR15" i="6" s="1"/>
  <c r="AR15" i="51"/>
  <c r="AF37" i="148"/>
  <c r="AT15" i="6" s="1"/>
  <c r="AT15" i="51"/>
  <c r="AH37" i="148"/>
  <c r="AV15" i="6"/>
  <c r="AV15" i="51"/>
  <c r="AG38" i="148"/>
  <c r="AU16" i="6" s="1"/>
  <c r="AU16" i="51"/>
  <c r="AD24" i="148"/>
  <c r="AR37" i="51"/>
  <c r="AF24" i="148"/>
  <c r="AT37" i="51"/>
  <c r="AE43" i="148"/>
  <c r="AS38" i="6" s="1"/>
  <c r="AS38" i="51"/>
  <c r="AG43" i="148"/>
  <c r="AU38" i="6" s="1"/>
  <c r="AU38" i="51"/>
  <c r="AD44" i="148"/>
  <c r="AR39" i="6" s="1"/>
  <c r="AR39" i="51"/>
  <c r="AH44" i="148"/>
  <c r="AV39" i="6" s="1"/>
  <c r="AV39" i="51"/>
  <c r="AE45" i="148"/>
  <c r="AS40" i="6" s="1"/>
  <c r="AS40" i="51"/>
  <c r="AG45" i="148"/>
  <c r="AU40" i="6" s="1"/>
  <c r="AU40" i="51"/>
  <c r="AR41" i="51"/>
  <c r="AF46" i="148"/>
  <c r="AT41" i="6" s="1"/>
  <c r="AT41" i="51"/>
  <c r="AH46" i="148"/>
  <c r="AV41" i="6"/>
  <c r="AV41" i="51"/>
  <c r="AE47" i="148"/>
  <c r="AS42" i="6" s="1"/>
  <c r="AS42" i="51"/>
  <c r="AG47" i="148"/>
  <c r="AU42" i="6" s="1"/>
  <c r="AU42" i="51"/>
  <c r="AI35" i="148"/>
  <c r="AW13" i="6"/>
  <c r="AW13" i="51"/>
  <c r="AI36" i="148"/>
  <c r="AW14" i="6" s="1"/>
  <c r="AW14" i="51"/>
  <c r="AI37" i="148"/>
  <c r="AW15" i="6" s="1"/>
  <c r="AW15" i="51"/>
  <c r="AI38" i="148"/>
  <c r="AW16" i="6" s="1"/>
  <c r="AW16" i="51"/>
  <c r="AI42" i="148"/>
  <c r="AW37" i="51"/>
  <c r="AI43" i="148"/>
  <c r="AW38" i="6" s="1"/>
  <c r="AW38" i="51"/>
  <c r="AI44" i="148"/>
  <c r="AW39" i="6" s="1"/>
  <c r="AW39" i="51"/>
  <c r="AI45" i="148"/>
  <c r="AW40" i="6"/>
  <c r="AW40" i="51"/>
  <c r="AI46" i="148"/>
  <c r="AW41" i="6" s="1"/>
  <c r="AW41" i="51"/>
  <c r="AI47" i="148"/>
  <c r="AW42" i="6" s="1"/>
  <c r="AW42" i="51"/>
  <c r="AF76" i="148"/>
  <c r="AH76" i="148"/>
  <c r="AE76" i="148"/>
  <c r="AG76" i="148"/>
  <c r="AI76" i="148"/>
  <c r="E35" i="148"/>
  <c r="E39" i="148" s="1"/>
  <c r="G35" i="148"/>
  <c r="U13" i="51"/>
  <c r="I35" i="148"/>
  <c r="W13" i="51"/>
  <c r="K35" i="148"/>
  <c r="Y13" i="51"/>
  <c r="M35" i="148"/>
  <c r="AA13" i="6" s="1"/>
  <c r="AA13" i="51"/>
  <c r="O35" i="148"/>
  <c r="AC13" i="51"/>
  <c r="Q35" i="148"/>
  <c r="AE13" i="51"/>
  <c r="S35" i="148"/>
  <c r="AG13" i="6" s="1"/>
  <c r="AG13" i="51"/>
  <c r="U35" i="148"/>
  <c r="U39" i="148" s="1"/>
  <c r="AI13" i="51"/>
  <c r="E36" i="148"/>
  <c r="G36" i="148"/>
  <c r="U14" i="6" s="1"/>
  <c r="U14" i="51"/>
  <c r="I36" i="148"/>
  <c r="W14" i="6" s="1"/>
  <c r="W14" i="51"/>
  <c r="K36" i="148"/>
  <c r="Y14" i="6"/>
  <c r="Y14" i="51"/>
  <c r="M36" i="148"/>
  <c r="AA14" i="6"/>
  <c r="AA14" i="51"/>
  <c r="O36" i="148"/>
  <c r="AC14" i="51"/>
  <c r="Q36" i="148"/>
  <c r="AE14" i="6" s="1"/>
  <c r="AE14" i="51"/>
  <c r="S36" i="148"/>
  <c r="U36" i="148"/>
  <c r="AI14" i="6"/>
  <c r="AI14" i="51"/>
  <c r="E37" i="148"/>
  <c r="G37" i="148"/>
  <c r="U15" i="6" s="1"/>
  <c r="U15" i="51"/>
  <c r="K37" i="148"/>
  <c r="Y15" i="6" s="1"/>
  <c r="Y15" i="51"/>
  <c r="M37" i="148"/>
  <c r="AA15" i="6" s="1"/>
  <c r="AA15" i="51"/>
  <c r="AA16" i="51"/>
  <c r="O37" i="148"/>
  <c r="AC15" i="6" s="1"/>
  <c r="AC15" i="51"/>
  <c r="S37" i="148"/>
  <c r="AG15" i="6" s="1"/>
  <c r="AG15" i="51"/>
  <c r="U37" i="148"/>
  <c r="AI15" i="6" s="1"/>
  <c r="AI15" i="51"/>
  <c r="E38" i="148"/>
  <c r="G38" i="148"/>
  <c r="U16" i="6" s="1"/>
  <c r="I38" i="148"/>
  <c r="W16" i="6" s="1"/>
  <c r="W16" i="51"/>
  <c r="K38" i="148"/>
  <c r="Y16" i="6" s="1"/>
  <c r="Y16" i="51"/>
  <c r="M38" i="148"/>
  <c r="AA16" i="6" s="1"/>
  <c r="Q38" i="148"/>
  <c r="AE16" i="6"/>
  <c r="AE16" i="51"/>
  <c r="S38" i="148"/>
  <c r="AG16" i="6"/>
  <c r="AG16" i="51"/>
  <c r="U38" i="148"/>
  <c r="AI16" i="6"/>
  <c r="AI16" i="51"/>
  <c r="E42" i="148"/>
  <c r="G42" i="148"/>
  <c r="U37" i="51"/>
  <c r="I42" i="148"/>
  <c r="W37" i="51"/>
  <c r="K42" i="148"/>
  <c r="Y37" i="6"/>
  <c r="Y37" i="51"/>
  <c r="M42" i="148"/>
  <c r="O42" i="148"/>
  <c r="AC37" i="51"/>
  <c r="Q42" i="148"/>
  <c r="AE37" i="6" s="1"/>
  <c r="AE37" i="51"/>
  <c r="S42" i="148"/>
  <c r="AG37" i="6" s="1"/>
  <c r="AG37" i="51"/>
  <c r="U42" i="148"/>
  <c r="E43" i="148"/>
  <c r="G43" i="148"/>
  <c r="U38" i="6"/>
  <c r="U38" i="51"/>
  <c r="I43" i="148"/>
  <c r="W38" i="6" s="1"/>
  <c r="W38" i="51"/>
  <c r="K43" i="148"/>
  <c r="Y38" i="6" s="1"/>
  <c r="M43" i="148"/>
  <c r="AA38" i="6"/>
  <c r="AA38" i="51"/>
  <c r="AA39" i="51"/>
  <c r="AA40" i="51"/>
  <c r="AA42" i="51"/>
  <c r="O43" i="148"/>
  <c r="AC38" i="6"/>
  <c r="AC38" i="51"/>
  <c r="Q43" i="148"/>
  <c r="AE38" i="6" s="1"/>
  <c r="AE38" i="51"/>
  <c r="U43" i="148"/>
  <c r="AI38" i="6" s="1"/>
  <c r="AI38" i="51"/>
  <c r="E44" i="148"/>
  <c r="G44" i="148"/>
  <c r="U39" i="6" s="1"/>
  <c r="U39" i="51"/>
  <c r="K44" i="148"/>
  <c r="Y39" i="6" s="1"/>
  <c r="Y39" i="51"/>
  <c r="M44" i="148"/>
  <c r="AA39" i="6" s="1"/>
  <c r="O44" i="148"/>
  <c r="AC39" i="6"/>
  <c r="AC39" i="51"/>
  <c r="Q44" i="148"/>
  <c r="AE39" i="6" s="1"/>
  <c r="S44" i="148"/>
  <c r="AG39" i="6" s="1"/>
  <c r="AG39" i="51"/>
  <c r="U44" i="148"/>
  <c r="AI39" i="6" s="1"/>
  <c r="AI39" i="51"/>
  <c r="E45" i="148"/>
  <c r="G45" i="148"/>
  <c r="U40" i="6" s="1"/>
  <c r="U40" i="51"/>
  <c r="I45" i="148"/>
  <c r="W40" i="6" s="1"/>
  <c r="W40" i="51"/>
  <c r="K45" i="148"/>
  <c r="Y40" i="6" s="1"/>
  <c r="Y40" i="51"/>
  <c r="M45" i="148"/>
  <c r="AA40" i="6" s="1"/>
  <c r="AC40" i="51"/>
  <c r="Q45" i="148"/>
  <c r="AE40" i="6" s="1"/>
  <c r="AE40" i="51"/>
  <c r="S45" i="148"/>
  <c r="AG40" i="6" s="1"/>
  <c r="AG40" i="51"/>
  <c r="U45" i="148"/>
  <c r="AI40" i="6" s="1"/>
  <c r="AI40" i="51"/>
  <c r="E46" i="148"/>
  <c r="G46" i="148"/>
  <c r="U41" i="51"/>
  <c r="I46" i="148"/>
  <c r="W41" i="6" s="1"/>
  <c r="W41" i="51"/>
  <c r="K46" i="148"/>
  <c r="Y41" i="6" s="1"/>
  <c r="Y41" i="51"/>
  <c r="O46" i="148"/>
  <c r="AC41" i="51"/>
  <c r="Q46" i="148"/>
  <c r="AE41" i="6" s="1"/>
  <c r="AE41" i="51"/>
  <c r="S46" i="148"/>
  <c r="AG41" i="6" s="1"/>
  <c r="AG41" i="51"/>
  <c r="U46" i="148"/>
  <c r="AI41" i="6" s="1"/>
  <c r="E47" i="148"/>
  <c r="G47" i="148"/>
  <c r="U42" i="6"/>
  <c r="U42" i="51"/>
  <c r="I47" i="148"/>
  <c r="W42" i="6" s="1"/>
  <c r="W42" i="51"/>
  <c r="K47" i="148"/>
  <c r="Y42" i="6" s="1"/>
  <c r="M47" i="148"/>
  <c r="AA42" i="6"/>
  <c r="O47" i="148"/>
  <c r="AC42" i="6" s="1"/>
  <c r="AC42" i="51"/>
  <c r="Q47" i="148"/>
  <c r="AE42" i="6" s="1"/>
  <c r="AE42" i="51"/>
  <c r="S47" i="148"/>
  <c r="AG42" i="6" s="1"/>
  <c r="AG42" i="51"/>
  <c r="U47" i="148"/>
  <c r="AI42" i="6"/>
  <c r="AI42" i="51"/>
  <c r="AK14" i="51"/>
  <c r="AK16" i="51"/>
  <c r="Y35" i="148"/>
  <c r="AM13" i="6" s="1"/>
  <c r="AM13" i="51"/>
  <c r="AM14" i="51"/>
  <c r="AM15" i="51"/>
  <c r="AM16" i="51"/>
  <c r="AA35" i="148"/>
  <c r="AO13" i="6" s="1"/>
  <c r="AO13" i="51"/>
  <c r="AO14" i="51"/>
  <c r="AO15" i="51"/>
  <c r="AO16" i="51"/>
  <c r="AC35" i="148"/>
  <c r="AQ13" i="51"/>
  <c r="W36" i="148"/>
  <c r="AK14" i="6" s="1"/>
  <c r="Y36" i="148"/>
  <c r="AM14" i="6" s="1"/>
  <c r="AA36" i="148"/>
  <c r="AO14" i="6" s="1"/>
  <c r="AC36" i="148"/>
  <c r="AQ14" i="6" s="1"/>
  <c r="AQ14" i="51"/>
  <c r="Y37" i="148"/>
  <c r="AA37" i="148"/>
  <c r="AO15" i="6"/>
  <c r="AC37" i="148"/>
  <c r="AQ15" i="51"/>
  <c r="Y38" i="148"/>
  <c r="AM16" i="6" s="1"/>
  <c r="AA38" i="148"/>
  <c r="AO16" i="6" s="1"/>
  <c r="AC38" i="148"/>
  <c r="AQ16" i="6" s="1"/>
  <c r="AQ16" i="51"/>
  <c r="W42" i="148"/>
  <c r="AK37" i="6" s="1"/>
  <c r="AK40" i="51"/>
  <c r="AK42" i="51"/>
  <c r="Y42" i="148"/>
  <c r="AM37" i="6" s="1"/>
  <c r="AM37" i="51"/>
  <c r="AM38" i="51"/>
  <c r="AM39" i="51"/>
  <c r="AM40" i="51"/>
  <c r="AM41" i="51"/>
  <c r="AM42" i="51"/>
  <c r="AA42" i="148"/>
  <c r="AO37" i="6" s="1"/>
  <c r="AO37" i="51"/>
  <c r="AO38" i="51"/>
  <c r="AO39" i="51"/>
  <c r="AO40" i="51"/>
  <c r="AO41" i="51"/>
  <c r="AO42" i="51"/>
  <c r="AC42" i="148"/>
  <c r="AQ37" i="6" s="1"/>
  <c r="AQ37" i="51"/>
  <c r="W43" i="148"/>
  <c r="AK38" i="6" s="1"/>
  <c r="Y43" i="148"/>
  <c r="AM38" i="6" s="1"/>
  <c r="AA43" i="148"/>
  <c r="AO38" i="6" s="1"/>
  <c r="AC43" i="148"/>
  <c r="AQ38" i="51"/>
  <c r="W44" i="148"/>
  <c r="AK39" i="6" s="1"/>
  <c r="Y44" i="148"/>
  <c r="AM39" i="6"/>
  <c r="AA44" i="148"/>
  <c r="AC44" i="148"/>
  <c r="AQ39" i="6" s="1"/>
  <c r="AQ39" i="51"/>
  <c r="Y45" i="148"/>
  <c r="AM40" i="6"/>
  <c r="AA45" i="148"/>
  <c r="AO40" i="6" s="1"/>
  <c r="AC45" i="148"/>
  <c r="AQ40" i="6"/>
  <c r="AQ40" i="51"/>
  <c r="W46" i="148"/>
  <c r="AK41" i="6" s="1"/>
  <c r="Y46" i="148"/>
  <c r="AM41" i="6" s="1"/>
  <c r="AA46" i="148"/>
  <c r="AO41" i="6" s="1"/>
  <c r="AC46" i="148"/>
  <c r="AQ41" i="6" s="1"/>
  <c r="AQ41" i="51"/>
  <c r="Y47" i="148"/>
  <c r="AM42" i="6" s="1"/>
  <c r="AA47" i="148"/>
  <c r="AO42" i="6" s="1"/>
  <c r="AC47" i="148"/>
  <c r="AQ42" i="6" s="1"/>
  <c r="AQ42" i="51"/>
  <c r="AD36" i="148"/>
  <c r="AR14" i="6" s="1"/>
  <c r="AR14" i="51"/>
  <c r="AT16" i="51"/>
  <c r="AH36" i="148"/>
  <c r="AV14" i="6"/>
  <c r="AV14" i="51"/>
  <c r="AE37" i="148"/>
  <c r="AS15" i="6" s="1"/>
  <c r="AS15" i="51"/>
  <c r="AG37" i="148"/>
  <c r="AU15" i="6" s="1"/>
  <c r="AU15" i="51"/>
  <c r="AD38" i="148"/>
  <c r="AR16" i="6" s="1"/>
  <c r="AR16" i="51"/>
  <c r="AF38" i="148"/>
  <c r="AT16" i="6"/>
  <c r="AT13" i="6"/>
  <c r="AH38" i="148"/>
  <c r="AV16" i="6" s="1"/>
  <c r="AV16" i="51"/>
  <c r="AE42" i="148"/>
  <c r="AS37" i="6" s="1"/>
  <c r="AS37" i="51"/>
  <c r="AG42" i="148"/>
  <c r="AU37" i="6"/>
  <c r="AU37" i="51"/>
  <c r="AU39" i="51"/>
  <c r="AU41" i="51"/>
  <c r="AD43" i="148"/>
  <c r="AR38" i="6" s="1"/>
  <c r="AR38" i="51"/>
  <c r="AF43" i="148"/>
  <c r="AT38" i="6"/>
  <c r="AT38" i="51"/>
  <c r="AH43" i="148"/>
  <c r="AV38" i="6" s="1"/>
  <c r="AV38" i="51"/>
  <c r="AS39" i="51"/>
  <c r="AG44" i="148"/>
  <c r="AU39" i="6" s="1"/>
  <c r="AD45" i="148"/>
  <c r="AR40" i="6"/>
  <c r="AR40" i="51"/>
  <c r="AF45" i="148"/>
  <c r="AT40" i="6" s="1"/>
  <c r="AT40" i="51"/>
  <c r="AV40" i="51"/>
  <c r="AE46" i="148"/>
  <c r="AS41" i="6" s="1"/>
  <c r="AS41" i="51"/>
  <c r="AG46" i="148"/>
  <c r="AU41" i="6" s="1"/>
  <c r="AD47" i="148"/>
  <c r="AR42" i="6" s="1"/>
  <c r="AR42" i="51"/>
  <c r="AH47" i="148"/>
  <c r="AV42" i="6" s="1"/>
  <c r="AV42" i="51"/>
  <c r="AJ35" i="148"/>
  <c r="AX13" i="51"/>
  <c r="AJ37" i="148"/>
  <c r="AX15" i="6" s="1"/>
  <c r="AX15" i="51"/>
  <c r="AJ38" i="148"/>
  <c r="AX16" i="6"/>
  <c r="AX16" i="51"/>
  <c r="AJ42" i="148"/>
  <c r="AX37" i="51"/>
  <c r="AX38" i="51"/>
  <c r="AJ44" i="148"/>
  <c r="AX39" i="6"/>
  <c r="AX39" i="51"/>
  <c r="AJ45" i="148"/>
  <c r="AX40" i="6" s="1"/>
  <c r="AX40" i="51"/>
  <c r="AJ46" i="148"/>
  <c r="AX41" i="6" s="1"/>
  <c r="AX41" i="51"/>
  <c r="AX42" i="6"/>
  <c r="AX42" i="51"/>
  <c r="AJ76" i="148"/>
  <c r="AC76" i="148"/>
  <c r="AJ14" i="148"/>
  <c r="AI14" i="148"/>
  <c r="AI24" i="148"/>
  <c r="AI26" i="148" s="1"/>
  <c r="AI78" i="148" s="1"/>
  <c r="AD14" i="148"/>
  <c r="AD26" i="148" s="1"/>
  <c r="AD78" i="148" s="1"/>
  <c r="AH14" i="148"/>
  <c r="AG24" i="148"/>
  <c r="AE35" i="148"/>
  <c r="AS13" i="6"/>
  <c r="AG35" i="148"/>
  <c r="AU13" i="6" s="1"/>
  <c r="AD42" i="148"/>
  <c r="AR37" i="6" s="1"/>
  <c r="AF42" i="148"/>
  <c r="AT37" i="6" s="1"/>
  <c r="AB76" i="148"/>
  <c r="AA76" i="148"/>
  <c r="Z76" i="148"/>
  <c r="Y76" i="148"/>
  <c r="X76" i="148"/>
  <c r="V76" i="148"/>
  <c r="Y14" i="148"/>
  <c r="AA14" i="148"/>
  <c r="AC14" i="148"/>
  <c r="Y24" i="148"/>
  <c r="AA24" i="148"/>
  <c r="AC24" i="148"/>
  <c r="AC26" i="148" s="1"/>
  <c r="AC78" i="148" s="1"/>
  <c r="X14" i="148"/>
  <c r="Z14" i="148"/>
  <c r="AB14" i="148"/>
  <c r="X24" i="148"/>
  <c r="Z24" i="148"/>
  <c r="AB24" i="148"/>
  <c r="E76" i="148"/>
  <c r="G76" i="148"/>
  <c r="K76" i="148"/>
  <c r="M76" i="148"/>
  <c r="S76" i="148"/>
  <c r="U76" i="148"/>
  <c r="D76" i="148"/>
  <c r="F76" i="148"/>
  <c r="H76" i="148"/>
  <c r="J76" i="148"/>
  <c r="L76" i="148"/>
  <c r="R76" i="148"/>
  <c r="T76" i="148"/>
  <c r="E14" i="148"/>
  <c r="G14" i="148"/>
  <c r="K14" i="148"/>
  <c r="S14" i="148"/>
  <c r="E24" i="148"/>
  <c r="E26" i="148" s="1"/>
  <c r="E78" i="148" s="1"/>
  <c r="G24" i="148"/>
  <c r="I24" i="148"/>
  <c r="Q24" i="148"/>
  <c r="U24" i="148"/>
  <c r="D14" i="148"/>
  <c r="N14" i="148"/>
  <c r="R14" i="148"/>
  <c r="T14" i="148"/>
  <c r="D24" i="148"/>
  <c r="D26" i="148" s="1"/>
  <c r="D78" i="148" s="1"/>
  <c r="L24" i="148"/>
  <c r="P24" i="148"/>
  <c r="R24" i="148"/>
  <c r="T24" i="148"/>
  <c r="AX37" i="6"/>
  <c r="AX13" i="6"/>
  <c r="AQ13" i="6"/>
  <c r="AI37" i="6"/>
  <c r="AE13" i="6"/>
  <c r="AC13" i="6"/>
  <c r="AA37" i="6"/>
  <c r="W37" i="6"/>
  <c r="W13" i="6"/>
  <c r="U37" i="6"/>
  <c r="AW37" i="6"/>
  <c r="AP37" i="6"/>
  <c r="Z49" i="148"/>
  <c r="AN37" i="6"/>
  <c r="AL37" i="6"/>
  <c r="AP13" i="6"/>
  <c r="AN13" i="6"/>
  <c r="AJ13" i="6"/>
  <c r="AH37" i="6"/>
  <c r="AF37" i="6"/>
  <c r="AD37" i="6"/>
  <c r="AD13" i="6"/>
  <c r="L49" i="148"/>
  <c r="X37" i="6"/>
  <c r="Q37" i="6" s="1"/>
  <c r="AF13" i="6"/>
  <c r="X13" i="6"/>
  <c r="Q13" i="6" s="1"/>
  <c r="C64" i="148"/>
  <c r="C74" i="148"/>
  <c r="C76" i="148" s="1"/>
  <c r="K13" i="104"/>
  <c r="C23" i="129"/>
  <c r="C31" i="129"/>
  <c r="I64" i="51"/>
  <c r="H69" i="129" s="1"/>
  <c r="I41" i="87"/>
  <c r="H22" i="129" s="1"/>
  <c r="I20" i="18"/>
  <c r="H41" i="129" s="1"/>
  <c r="E27" i="22"/>
  <c r="D64" i="129"/>
  <c r="F28" i="104"/>
  <c r="Q23" i="77"/>
  <c r="H12" i="104"/>
  <c r="F190" i="141"/>
  <c r="H191" i="141"/>
  <c r="K191" i="141"/>
  <c r="D209" i="141"/>
  <c r="K210" i="141"/>
  <c r="E191" i="141"/>
  <c r="W24" i="66"/>
  <c r="W29" i="66" s="1"/>
  <c r="W263" i="66" s="1"/>
  <c r="C20" i="143"/>
  <c r="E209" i="141"/>
  <c r="K209" i="141"/>
  <c r="F22" i="144"/>
  <c r="F13" i="104"/>
  <c r="S11" i="33"/>
  <c r="E46" i="11"/>
  <c r="E90" i="66" s="1"/>
  <c r="P85" i="15"/>
  <c r="D82" i="137" s="1"/>
  <c r="P88" i="15"/>
  <c r="D85" i="137" s="1"/>
  <c r="G192" i="141"/>
  <c r="G163" i="141"/>
  <c r="G142" i="141" s="1"/>
  <c r="B164" i="141"/>
  <c r="B143" i="141" s="1"/>
  <c r="B122" i="141" s="1"/>
  <c r="H192" i="141"/>
  <c r="G171" i="141"/>
  <c r="G190" i="141"/>
  <c r="G191" i="141"/>
  <c r="B190" i="141"/>
  <c r="F191" i="141"/>
  <c r="I182" i="141"/>
  <c r="I162" i="141" s="1"/>
  <c r="I141" i="141" s="1"/>
  <c r="K192" i="141"/>
  <c r="K163" i="141"/>
  <c r="K142" i="141" s="1"/>
  <c r="H190" i="141"/>
  <c r="H162" i="141"/>
  <c r="H141" i="141" s="1"/>
  <c r="H159" i="141"/>
  <c r="H138" i="141" s="1"/>
  <c r="H116" i="141" s="1"/>
  <c r="H94" i="141" s="1"/>
  <c r="H72" i="141" s="1"/>
  <c r="K161" i="141"/>
  <c r="K140" i="141" s="1"/>
  <c r="K118" i="141" s="1"/>
  <c r="K96" i="141" s="1"/>
  <c r="F163" i="141"/>
  <c r="F142" i="141" s="1"/>
  <c r="F120" i="141" s="1"/>
  <c r="F98" i="141" s="1"/>
  <c r="C182" i="141"/>
  <c r="C191" i="141" s="1"/>
  <c r="E157" i="141"/>
  <c r="E136" i="141" s="1"/>
  <c r="E114" i="141" s="1"/>
  <c r="E92" i="141" s="1"/>
  <c r="E70" i="141" s="1"/>
  <c r="F161" i="141"/>
  <c r="F140" i="141" s="1"/>
  <c r="F118" i="141" s="1"/>
  <c r="F96" i="141" s="1"/>
  <c r="F74" i="141" s="1"/>
  <c r="K162" i="141"/>
  <c r="J192" i="141"/>
  <c r="J163" i="141"/>
  <c r="J142" i="141" s="1"/>
  <c r="E34" i="129"/>
  <c r="D34" i="129"/>
  <c r="I35" i="44"/>
  <c r="H30" i="129" s="1"/>
  <c r="H37" i="104"/>
  <c r="J37" i="104" s="1"/>
  <c r="H23" i="104"/>
  <c r="I19" i="86"/>
  <c r="H35" i="129" s="1"/>
  <c r="I15" i="10"/>
  <c r="H58" i="129" s="1"/>
  <c r="H7" i="104"/>
  <c r="H40" i="104"/>
  <c r="J40" i="104" s="1"/>
  <c r="I18" i="7"/>
  <c r="H44" i="129" s="1"/>
  <c r="E18" i="7"/>
  <c r="E35" i="44"/>
  <c r="C23" i="77"/>
  <c r="C48" i="66" s="1"/>
  <c r="C18" i="129"/>
  <c r="E16" i="129"/>
  <c r="C29" i="149"/>
  <c r="E25" i="2"/>
  <c r="F7" i="104"/>
  <c r="E30" i="93"/>
  <c r="D11" i="15"/>
  <c r="S41" i="87"/>
  <c r="G28" i="104"/>
  <c r="K28" i="104" s="1"/>
  <c r="L28" i="104" s="1"/>
  <c r="S12" i="18"/>
  <c r="S12" i="56"/>
  <c r="S19" i="30"/>
  <c r="S18" i="38"/>
  <c r="T49" i="148"/>
  <c r="AI39" i="148"/>
  <c r="K49" i="148"/>
  <c r="AC37" i="6"/>
  <c r="P82" i="15"/>
  <c r="P83" i="15"/>
  <c r="D80" i="137" s="1"/>
  <c r="G170" i="141"/>
  <c r="I190" i="141"/>
  <c r="I191" i="141"/>
  <c r="C162" i="141"/>
  <c r="C141" i="141" s="1"/>
  <c r="K172" i="141"/>
  <c r="S11" i="9"/>
  <c r="H29" i="104"/>
  <c r="Q41" i="87"/>
  <c r="R41" i="87" s="1"/>
  <c r="Q52" i="66" s="1"/>
  <c r="H18" i="104"/>
  <c r="S16" i="24"/>
  <c r="S19" i="60"/>
  <c r="H171" i="141"/>
  <c r="H170" i="141"/>
  <c r="S13" i="49"/>
  <c r="S16" i="11"/>
  <c r="S16" i="35"/>
  <c r="S13" i="40"/>
  <c r="S13" i="23"/>
  <c r="S9" i="15"/>
  <c r="S16" i="17"/>
  <c r="Q9" i="23" l="1"/>
  <c r="P104" i="66"/>
  <c r="R20" i="53"/>
  <c r="Q104" i="66" s="1"/>
  <c r="E29" i="149"/>
  <c r="F171" i="141"/>
  <c r="F170" i="141"/>
  <c r="D27" i="138"/>
  <c r="F29" i="138"/>
  <c r="G27" i="138"/>
  <c r="F26" i="138"/>
  <c r="G29" i="138"/>
  <c r="P85" i="43" s="1"/>
  <c r="B27" i="138"/>
  <c r="H27" i="138"/>
  <c r="H29" i="138"/>
  <c r="H26" i="138"/>
  <c r="P83" i="43"/>
  <c r="D129" i="138"/>
  <c r="F132" i="138"/>
  <c r="P80" i="43"/>
  <c r="S80" i="43" s="1"/>
  <c r="D44" i="137" s="1"/>
  <c r="E28" i="33"/>
  <c r="E42" i="66" s="1"/>
  <c r="I23" i="54"/>
  <c r="H76" i="129" s="1"/>
  <c r="H77" i="129" s="1"/>
  <c r="C11" i="15"/>
  <c r="C17" i="15" s="1"/>
  <c r="D12" i="56"/>
  <c r="I36" i="30"/>
  <c r="H10" i="129" s="1"/>
  <c r="E23" i="54"/>
  <c r="E76" i="129" s="1"/>
  <c r="H34" i="104"/>
  <c r="J34" i="104" s="1"/>
  <c r="M49" i="93"/>
  <c r="M51" i="93" s="1"/>
  <c r="O26" i="93"/>
  <c r="O30" i="93" s="1"/>
  <c r="Q31" i="93" s="1"/>
  <c r="R31" i="93" s="1"/>
  <c r="E33" i="35"/>
  <c r="C19" i="13"/>
  <c r="L31" i="129"/>
  <c r="R12" i="45"/>
  <c r="Q62" i="66" s="1"/>
  <c r="H22" i="104"/>
  <c r="J22" i="104" s="1"/>
  <c r="L35" i="129"/>
  <c r="R19" i="86"/>
  <c r="Q67" i="66" s="1"/>
  <c r="P48" i="66"/>
  <c r="R23" i="77"/>
  <c r="Q48" i="66" s="1"/>
  <c r="L64" i="129"/>
  <c r="R15" i="135"/>
  <c r="Q92" i="66" s="1"/>
  <c r="C58" i="129"/>
  <c r="E11" i="129"/>
  <c r="C34" i="129"/>
  <c r="P29" i="149"/>
  <c r="L58" i="129"/>
  <c r="R15" i="10"/>
  <c r="Q85" i="66" s="1"/>
  <c r="M22" i="129"/>
  <c r="N22" i="129" s="1"/>
  <c r="O22" i="129" s="1"/>
  <c r="R52" i="66"/>
  <c r="Q16" i="46"/>
  <c r="P105" i="66"/>
  <c r="S21" i="54"/>
  <c r="R105" i="66" s="1"/>
  <c r="R21" i="54"/>
  <c r="Q105" i="66" s="1"/>
  <c r="D28" i="129"/>
  <c r="T11" i="13"/>
  <c r="T12" i="13" s="1"/>
  <c r="R11" i="13"/>
  <c r="Q128" i="66" s="1"/>
  <c r="L16" i="129"/>
  <c r="R16" i="36"/>
  <c r="Q46" i="66" s="1"/>
  <c r="F85" i="26"/>
  <c r="Z29" i="6"/>
  <c r="P51" i="66"/>
  <c r="L21" i="129"/>
  <c r="P66" i="66"/>
  <c r="L34" i="129"/>
  <c r="D24" i="56"/>
  <c r="N29" i="7"/>
  <c r="O29" i="7" s="1"/>
  <c r="P29" i="7" s="1"/>
  <c r="D13" i="23"/>
  <c r="D20" i="23" s="1"/>
  <c r="D29" i="49"/>
  <c r="D91" i="66" s="1"/>
  <c r="D26" i="9"/>
  <c r="D84" i="66" s="1"/>
  <c r="P19" i="13"/>
  <c r="P52" i="66"/>
  <c r="L22" i="129"/>
  <c r="P17" i="66"/>
  <c r="Q17" i="66" s="1"/>
  <c r="P40" i="66"/>
  <c r="L11" i="129"/>
  <c r="C64" i="51"/>
  <c r="G13" i="2"/>
  <c r="D51" i="148"/>
  <c r="D79" i="148" s="1"/>
  <c r="AF14" i="6"/>
  <c r="R39" i="148"/>
  <c r="D80" i="148"/>
  <c r="D82" i="148" s="1"/>
  <c r="H57" i="141"/>
  <c r="H35" i="141" s="1"/>
  <c r="C56" i="141"/>
  <c r="C34" i="141" s="1"/>
  <c r="B97" i="138"/>
  <c r="B86" i="138" s="1"/>
  <c r="B76" i="138" s="1"/>
  <c r="B66" i="138" s="1"/>
  <c r="B56" i="138" s="1"/>
  <c r="B46" i="138" s="1"/>
  <c r="B36" i="138" s="1"/>
  <c r="C41" i="66"/>
  <c r="C12" i="129"/>
  <c r="C49" i="141"/>
  <c r="C27" i="141" s="1"/>
  <c r="E56" i="141"/>
  <c r="E34" i="141" s="1"/>
  <c r="D58" i="141"/>
  <c r="D36" i="141" s="1"/>
  <c r="J58" i="141"/>
  <c r="J36" i="141" s="1"/>
  <c r="I129" i="66"/>
  <c r="I130" i="66" s="1"/>
  <c r="I19" i="13"/>
  <c r="E129" i="66"/>
  <c r="E19" i="13"/>
  <c r="C38" i="148"/>
  <c r="C14" i="148"/>
  <c r="L14" i="148"/>
  <c r="L26" i="148" s="1"/>
  <c r="L78" i="148" s="1"/>
  <c r="L80" i="148" s="1"/>
  <c r="L82" i="148" s="1"/>
  <c r="Z13" i="51"/>
  <c r="Z31" i="51" s="1"/>
  <c r="J36" i="148"/>
  <c r="J14" i="148"/>
  <c r="H37" i="148"/>
  <c r="V15" i="6" s="1"/>
  <c r="H14" i="148"/>
  <c r="J43" i="148"/>
  <c r="J24" i="148"/>
  <c r="J26" i="148" s="1"/>
  <c r="J78" i="148" s="1"/>
  <c r="AF38" i="6"/>
  <c r="AF56" i="6" s="1"/>
  <c r="R49" i="148"/>
  <c r="R51" i="148" s="1"/>
  <c r="R79" i="148" s="1"/>
  <c r="R80" i="148" s="1"/>
  <c r="R82" i="148" s="1"/>
  <c r="H44" i="148"/>
  <c r="H24" i="148"/>
  <c r="H26" i="148" s="1"/>
  <c r="H78" i="148" s="1"/>
  <c r="F26" i="148"/>
  <c r="F78" i="148" s="1"/>
  <c r="N45" i="148"/>
  <c r="AB40" i="6" s="1"/>
  <c r="N24" i="148"/>
  <c r="AJ13" i="51"/>
  <c r="AJ31" i="51" s="1"/>
  <c r="V14" i="148"/>
  <c r="V26" i="148" s="1"/>
  <c r="V78" i="148" s="1"/>
  <c r="V44" i="148"/>
  <c r="AJ39" i="6" s="1"/>
  <c r="AJ39" i="51"/>
  <c r="AT14" i="51"/>
  <c r="AF36" i="148"/>
  <c r="AF14" i="148"/>
  <c r="AF26" i="148" s="1"/>
  <c r="AF78" i="148" s="1"/>
  <c r="AE44" i="148"/>
  <c r="AS39" i="6" s="1"/>
  <c r="AE24" i="148"/>
  <c r="AF47" i="148"/>
  <c r="AT42" i="6" s="1"/>
  <c r="AT42" i="51"/>
  <c r="AX14" i="51"/>
  <c r="AJ36" i="148"/>
  <c r="AJ43" i="148"/>
  <c r="AJ24" i="148"/>
  <c r="E129" i="138"/>
  <c r="E98" i="138"/>
  <c r="E87" i="138" s="1"/>
  <c r="E77" i="138" s="1"/>
  <c r="E67" i="138" s="1"/>
  <c r="G132" i="138"/>
  <c r="G101" i="138"/>
  <c r="G90" i="138" s="1"/>
  <c r="G80" i="138" s="1"/>
  <c r="G70" i="138" s="1"/>
  <c r="J162" i="141"/>
  <c r="J171" i="141" s="1"/>
  <c r="J191" i="141"/>
  <c r="J190" i="141"/>
  <c r="AP14" i="6"/>
  <c r="AB39" i="148"/>
  <c r="AB51" i="148" s="1"/>
  <c r="AB79" i="148" s="1"/>
  <c r="D129" i="66"/>
  <c r="D130" i="66" s="1"/>
  <c r="D19" i="13"/>
  <c r="C101" i="66"/>
  <c r="C72" i="129"/>
  <c r="F48" i="141"/>
  <c r="F26" i="141" s="1"/>
  <c r="E51" i="141"/>
  <c r="E29" i="141" s="1"/>
  <c r="F56" i="141"/>
  <c r="F34" i="141" s="1"/>
  <c r="E58" i="141"/>
  <c r="E36" i="141" s="1"/>
  <c r="C24" i="148"/>
  <c r="C42" i="148"/>
  <c r="C49" i="148" s="1"/>
  <c r="I37" i="148"/>
  <c r="W15" i="51"/>
  <c r="Q14" i="148"/>
  <c r="Q26" i="148" s="1"/>
  <c r="Q78" i="148" s="1"/>
  <c r="Q37" i="148"/>
  <c r="AE15" i="6" s="1"/>
  <c r="AE29" i="6" s="1"/>
  <c r="AE15" i="51"/>
  <c r="O38" i="148"/>
  <c r="AC16" i="6" s="1"/>
  <c r="AC16" i="51"/>
  <c r="AC31" i="51" s="1"/>
  <c r="O14" i="148"/>
  <c r="AA37" i="51"/>
  <c r="M24" i="148"/>
  <c r="Y38" i="51"/>
  <c r="Y56" i="51" s="1"/>
  <c r="K24" i="148"/>
  <c r="K26" i="148" s="1"/>
  <c r="K78" i="148" s="1"/>
  <c r="AG38" i="51"/>
  <c r="S24" i="148"/>
  <c r="S26" i="148" s="1"/>
  <c r="S78" i="148" s="1"/>
  <c r="S43" i="148"/>
  <c r="AG38" i="6" s="1"/>
  <c r="I44" i="148"/>
  <c r="W39" i="6" s="1"/>
  <c r="W39" i="51"/>
  <c r="O24" i="148"/>
  <c r="O45" i="148"/>
  <c r="AC40" i="6" s="1"/>
  <c r="AA41" i="51"/>
  <c r="M46" i="148"/>
  <c r="AK13" i="51"/>
  <c r="W14" i="148"/>
  <c r="W35" i="148"/>
  <c r="W37" i="148"/>
  <c r="AK15" i="6" s="1"/>
  <c r="AK15" i="51"/>
  <c r="AK37" i="51"/>
  <c r="AK56" i="51" s="1"/>
  <c r="W24" i="148"/>
  <c r="W26" i="148" s="1"/>
  <c r="W78" i="148" s="1"/>
  <c r="W76" i="148"/>
  <c r="AG14" i="148"/>
  <c r="AG26" i="148" s="1"/>
  <c r="AG78" i="148" s="1"/>
  <c r="AU14" i="51"/>
  <c r="AU31" i="51" s="1"/>
  <c r="AS16" i="51"/>
  <c r="AE38" i="148"/>
  <c r="AS16" i="6" s="1"/>
  <c r="AS29" i="6" s="1"/>
  <c r="AE14" i="148"/>
  <c r="AV37" i="51"/>
  <c r="AV56" i="51" s="1"/>
  <c r="AH42" i="148"/>
  <c r="AH24" i="148"/>
  <c r="AF44" i="148"/>
  <c r="AT39" i="51"/>
  <c r="D50" i="141"/>
  <c r="D28" i="141" s="1"/>
  <c r="V39" i="148"/>
  <c r="O49" i="148"/>
  <c r="O51" i="148" s="1"/>
  <c r="O79" i="148" s="1"/>
  <c r="O80" i="148" s="1"/>
  <c r="O82" i="148" s="1"/>
  <c r="L39" i="148"/>
  <c r="L51" i="148" s="1"/>
  <c r="L79" i="148" s="1"/>
  <c r="AI49" i="148"/>
  <c r="AI51" i="148" s="1"/>
  <c r="AI79" i="148" s="1"/>
  <c r="AI80" i="148" s="1"/>
  <c r="AI82" i="148" s="1"/>
  <c r="AC14" i="6"/>
  <c r="O39" i="148"/>
  <c r="AJ37" i="6"/>
  <c r="AJ56" i="6" s="1"/>
  <c r="Q49" i="148"/>
  <c r="AG39" i="148"/>
  <c r="E49" i="148"/>
  <c r="E51" i="148" s="1"/>
  <c r="E79" i="148" s="1"/>
  <c r="E80" i="148" s="1"/>
  <c r="E82" i="148" s="1"/>
  <c r="Z51" i="148"/>
  <c r="Z79" i="148" s="1"/>
  <c r="AB40" i="51"/>
  <c r="F45" i="148"/>
  <c r="F49" i="148" s="1"/>
  <c r="F51" i="148" s="1"/>
  <c r="F79" i="148" s="1"/>
  <c r="F80" i="148" s="1"/>
  <c r="F82" i="148" s="1"/>
  <c r="N38" i="148"/>
  <c r="AB16" i="6" s="1"/>
  <c r="AB29" i="6" s="1"/>
  <c r="AF14" i="51"/>
  <c r="AF31" i="51" s="1"/>
  <c r="X14" i="51"/>
  <c r="Q14" i="51" s="1"/>
  <c r="Q31" i="51" s="1"/>
  <c r="C68" i="143" s="1"/>
  <c r="D68" i="143" s="1"/>
  <c r="V13" i="6"/>
  <c r="H39" i="148"/>
  <c r="G25" i="104"/>
  <c r="J25" i="104" s="1"/>
  <c r="G48" i="141"/>
  <c r="G26" i="141" s="1"/>
  <c r="H142" i="141"/>
  <c r="H120" i="141" s="1"/>
  <c r="H172" i="141"/>
  <c r="E50" i="141"/>
  <c r="E28" i="141" s="1"/>
  <c r="AE39" i="148"/>
  <c r="H101" i="138"/>
  <c r="H90" i="138" s="1"/>
  <c r="H80" i="138" s="1"/>
  <c r="H70" i="138" s="1"/>
  <c r="H60" i="138" s="1"/>
  <c r="H50" i="138" s="1"/>
  <c r="H40" i="138" s="1"/>
  <c r="I40" i="138" s="1"/>
  <c r="T51" i="148"/>
  <c r="T79" i="148" s="1"/>
  <c r="I29" i="49"/>
  <c r="H63" i="129" s="1"/>
  <c r="K141" i="141"/>
  <c r="K150" i="141" s="1"/>
  <c r="K170" i="141"/>
  <c r="K171" i="141"/>
  <c r="AE49" i="148"/>
  <c r="T39" i="148"/>
  <c r="P49" i="148"/>
  <c r="M39" i="148"/>
  <c r="AI13" i="6"/>
  <c r="AI29" i="6" s="1"/>
  <c r="AB26" i="148"/>
  <c r="AB78" i="148" s="1"/>
  <c r="AB80" i="148" s="1"/>
  <c r="AB82" i="148" s="1"/>
  <c r="AQ38" i="6"/>
  <c r="AC49" i="148"/>
  <c r="X38" i="51"/>
  <c r="P39" i="148"/>
  <c r="F39" i="148"/>
  <c r="I12" i="45"/>
  <c r="H31" i="129" s="1"/>
  <c r="Q31" i="104"/>
  <c r="R31" i="104" s="1"/>
  <c r="E49" i="141"/>
  <c r="E27" i="141" s="1"/>
  <c r="I192" i="141"/>
  <c r="I163" i="141"/>
  <c r="I142" i="141" s="1"/>
  <c r="I120" i="141" s="1"/>
  <c r="N49" i="148"/>
  <c r="H49" i="141"/>
  <c r="H27" i="141" s="1"/>
  <c r="AQ15" i="6"/>
  <c r="AQ29" i="6" s="1"/>
  <c r="AC39" i="148"/>
  <c r="C170" i="141"/>
  <c r="AB37" i="6"/>
  <c r="Y13" i="6"/>
  <c r="Y29" i="6" s="1"/>
  <c r="K39" i="148"/>
  <c r="K51" i="148" s="1"/>
  <c r="K79" i="148" s="1"/>
  <c r="K80" i="148" s="1"/>
  <c r="K82" i="148" s="1"/>
  <c r="C190" i="141"/>
  <c r="F52" i="141"/>
  <c r="F30" i="141" s="1"/>
  <c r="E21" i="129"/>
  <c r="R26" i="148"/>
  <c r="R78" i="148" s="1"/>
  <c r="G39" i="148"/>
  <c r="U13" i="6"/>
  <c r="U29" i="6" s="1"/>
  <c r="AD39" i="148"/>
  <c r="AR13" i="6"/>
  <c r="AR29" i="6" s="1"/>
  <c r="AF38" i="51"/>
  <c r="AF56" i="51" s="1"/>
  <c r="E128" i="138"/>
  <c r="H51" i="141"/>
  <c r="H29" i="141" s="1"/>
  <c r="E52" i="141"/>
  <c r="E30" i="141" s="1"/>
  <c r="C210" i="141"/>
  <c r="C209" i="141"/>
  <c r="I210" i="141"/>
  <c r="I209" i="141"/>
  <c r="J48" i="141"/>
  <c r="J26" i="141" s="1"/>
  <c r="I49" i="148"/>
  <c r="F98" i="138"/>
  <c r="F87" i="138" s="1"/>
  <c r="F77" i="138" s="1"/>
  <c r="F67" i="138" s="1"/>
  <c r="F57" i="138" s="1"/>
  <c r="F47" i="138" s="1"/>
  <c r="F37" i="138" s="1"/>
  <c r="AA39" i="148"/>
  <c r="D22" i="129"/>
  <c r="G49" i="148"/>
  <c r="G51" i="148" s="1"/>
  <c r="G79" i="148" s="1"/>
  <c r="AG14" i="6"/>
  <c r="AG29" i="6" s="1"/>
  <c r="S39" i="148"/>
  <c r="AD15" i="51"/>
  <c r="V15" i="51"/>
  <c r="C55" i="17"/>
  <c r="D97" i="138"/>
  <c r="D86" i="138" s="1"/>
  <c r="D76" i="138" s="1"/>
  <c r="D66" i="138" s="1"/>
  <c r="D56" i="138" s="1"/>
  <c r="D46" i="138" s="1"/>
  <c r="D36" i="138" s="1"/>
  <c r="D128" i="138"/>
  <c r="J50" i="141"/>
  <c r="J28" i="141" s="1"/>
  <c r="I51" i="141"/>
  <c r="I29" i="141" s="1"/>
  <c r="D210" i="141"/>
  <c r="D182" i="141"/>
  <c r="AP29" i="6"/>
  <c r="X26" i="148"/>
  <c r="X78" i="148" s="1"/>
  <c r="AH26" i="148"/>
  <c r="AH78" i="148" s="1"/>
  <c r="AD16" i="51"/>
  <c r="V16" i="51"/>
  <c r="V31" i="51" s="1"/>
  <c r="J52" i="141"/>
  <c r="J30" i="141" s="1"/>
  <c r="D64" i="51"/>
  <c r="D98" i="66" s="1"/>
  <c r="F49" i="141"/>
  <c r="F27" i="141" s="1"/>
  <c r="C50" i="141"/>
  <c r="C28" i="141" s="1"/>
  <c r="I50" i="141"/>
  <c r="I28" i="141" s="1"/>
  <c r="F51" i="141"/>
  <c r="F29" i="141" s="1"/>
  <c r="D52" i="141"/>
  <c r="D30" i="141" s="1"/>
  <c r="D56" i="141"/>
  <c r="D34" i="141" s="1"/>
  <c r="J56" i="141"/>
  <c r="J34" i="141" s="1"/>
  <c r="F57" i="141"/>
  <c r="F35" i="141" s="1"/>
  <c r="C58" i="141"/>
  <c r="C36" i="141" s="1"/>
  <c r="I58" i="141"/>
  <c r="I36" i="141" s="1"/>
  <c r="E19" i="86"/>
  <c r="AA49" i="148"/>
  <c r="X49" i="148"/>
  <c r="G49" i="141"/>
  <c r="G27" i="141" s="1"/>
  <c r="G51" i="141"/>
  <c r="G29" i="141" s="1"/>
  <c r="G57" i="141"/>
  <c r="G35" i="141" s="1"/>
  <c r="H48" i="141"/>
  <c r="H26" i="141" s="1"/>
  <c r="I49" i="141"/>
  <c r="I27" i="141" s="1"/>
  <c r="F50" i="141"/>
  <c r="F28" i="141" s="1"/>
  <c r="C51" i="141"/>
  <c r="C29" i="141" s="1"/>
  <c r="G52" i="141"/>
  <c r="G30" i="141" s="1"/>
  <c r="G56" i="141"/>
  <c r="G34" i="141" s="1"/>
  <c r="C57" i="141"/>
  <c r="C35" i="141" s="1"/>
  <c r="I57" i="141"/>
  <c r="I35" i="141" s="1"/>
  <c r="F58" i="141"/>
  <c r="F36" i="141" s="1"/>
  <c r="E48" i="141"/>
  <c r="E26" i="141" s="1"/>
  <c r="H50" i="141"/>
  <c r="H28" i="141" s="1"/>
  <c r="AH39" i="148"/>
  <c r="B209" i="141"/>
  <c r="C48" i="141"/>
  <c r="C26" i="141" s="1"/>
  <c r="D49" i="141"/>
  <c r="D27" i="141" s="1"/>
  <c r="J49" i="141"/>
  <c r="J27" i="141" s="1"/>
  <c r="G50" i="141"/>
  <c r="G28" i="141" s="1"/>
  <c r="D51" i="141"/>
  <c r="D29" i="141" s="1"/>
  <c r="J51" i="141"/>
  <c r="J29" i="141" s="1"/>
  <c r="D57" i="141"/>
  <c r="D35" i="141" s="1"/>
  <c r="J57" i="141"/>
  <c r="J35" i="141" s="1"/>
  <c r="G58" i="141"/>
  <c r="G36" i="141" s="1"/>
  <c r="I48" i="141"/>
  <c r="I26" i="141" s="1"/>
  <c r="H52" i="141"/>
  <c r="H30" i="141" s="1"/>
  <c r="D117" i="137"/>
  <c r="H56" i="141"/>
  <c r="H34" i="141" s="1"/>
  <c r="AA26" i="148"/>
  <c r="AA78" i="148" s="1"/>
  <c r="I29" i="2"/>
  <c r="C70" i="143" s="1"/>
  <c r="D70" i="143" s="1"/>
  <c r="D48" i="141"/>
  <c r="D26" i="141" s="1"/>
  <c r="C52" i="141"/>
  <c r="C30" i="141" s="1"/>
  <c r="I52" i="141"/>
  <c r="I30" i="141" s="1"/>
  <c r="I56" i="141"/>
  <c r="I34" i="141" s="1"/>
  <c r="E57" i="141"/>
  <c r="E35" i="141" s="1"/>
  <c r="H58" i="141"/>
  <c r="H36" i="141" s="1"/>
  <c r="C39" i="148"/>
  <c r="F6" i="104"/>
  <c r="D11" i="129"/>
  <c r="C16" i="129"/>
  <c r="E42" i="34"/>
  <c r="E43" i="66" s="1"/>
  <c r="P36" i="30"/>
  <c r="I42" i="34"/>
  <c r="H14" i="129" s="1"/>
  <c r="Q13" i="22"/>
  <c r="S13" i="22" s="1"/>
  <c r="S27" i="22" s="1"/>
  <c r="I119" i="141"/>
  <c r="I151" i="141"/>
  <c r="I149" i="141"/>
  <c r="I150" i="141"/>
  <c r="K74" i="141"/>
  <c r="L96" i="141"/>
  <c r="L74" i="141" s="1"/>
  <c r="G172" i="141"/>
  <c r="J141" i="141"/>
  <c r="J170" i="141"/>
  <c r="E162" i="141"/>
  <c r="E190" i="141"/>
  <c r="I170" i="141"/>
  <c r="G120" i="141"/>
  <c r="G152" i="141"/>
  <c r="K73" i="141"/>
  <c r="L95" i="141"/>
  <c r="L73" i="141" s="1"/>
  <c r="D76" i="141"/>
  <c r="D99" i="141"/>
  <c r="K71" i="141"/>
  <c r="L93" i="141"/>
  <c r="L71" i="141" s="1"/>
  <c r="G119" i="141"/>
  <c r="G151" i="141"/>
  <c r="G150" i="141"/>
  <c r="G149" i="141"/>
  <c r="E76" i="141"/>
  <c r="E99" i="141"/>
  <c r="K79" i="141"/>
  <c r="L101" i="141"/>
  <c r="L79" i="141" s="1"/>
  <c r="I171" i="141"/>
  <c r="K78" i="141"/>
  <c r="L100" i="141"/>
  <c r="L78" i="141" s="1"/>
  <c r="H119" i="141"/>
  <c r="H151" i="141"/>
  <c r="H150" i="141"/>
  <c r="H149" i="141"/>
  <c r="C171" i="141"/>
  <c r="K151" i="141"/>
  <c r="I172" i="141"/>
  <c r="C119" i="141"/>
  <c r="C151" i="141"/>
  <c r="C150" i="141"/>
  <c r="C149" i="141"/>
  <c r="AA51" i="148"/>
  <c r="AA79" i="148" s="1"/>
  <c r="AA80" i="148" s="1"/>
  <c r="AA82" i="148" s="1"/>
  <c r="J120" i="141"/>
  <c r="J152" i="141"/>
  <c r="J172" i="141"/>
  <c r="K120" i="141"/>
  <c r="K152" i="141"/>
  <c r="K72" i="141"/>
  <c r="L94" i="141"/>
  <c r="L72" i="141" s="1"/>
  <c r="K80" i="141"/>
  <c r="L102" i="141"/>
  <c r="L80" i="141" s="1"/>
  <c r="K70" i="141"/>
  <c r="L92" i="141"/>
  <c r="L70" i="141" s="1"/>
  <c r="F76" i="141"/>
  <c r="F99" i="141"/>
  <c r="C76" i="141"/>
  <c r="C99" i="141"/>
  <c r="AG49" i="148"/>
  <c r="AG51" i="148" s="1"/>
  <c r="AG79" i="148" s="1"/>
  <c r="U26" i="148"/>
  <c r="U78" i="148" s="1"/>
  <c r="D54" i="24"/>
  <c r="D121" i="66" s="1"/>
  <c r="P26" i="148"/>
  <c r="P78" i="148" s="1"/>
  <c r="P80" i="148" s="1"/>
  <c r="P82" i="148" s="1"/>
  <c r="AO39" i="6"/>
  <c r="Y39" i="148"/>
  <c r="AL38" i="6"/>
  <c r="AL56" i="6" s="1"/>
  <c r="B162" i="141"/>
  <c r="Z26" i="148"/>
  <c r="Z78" i="148" s="1"/>
  <c r="AD49" i="148"/>
  <c r="O26" i="148"/>
  <c r="O78" i="148" s="1"/>
  <c r="AE26" i="148"/>
  <c r="AE78" i="148" s="1"/>
  <c r="I36" i="138"/>
  <c r="G210" i="141"/>
  <c r="F141" i="141"/>
  <c r="T26" i="148"/>
  <c r="T78" i="148" s="1"/>
  <c r="T80" i="148" s="1"/>
  <c r="T82" i="148" s="1"/>
  <c r="AJ26" i="148"/>
  <c r="AJ78" i="148" s="1"/>
  <c r="Q77" i="51"/>
  <c r="AC41" i="6"/>
  <c r="U41" i="6"/>
  <c r="I37" i="138"/>
  <c r="H18" i="129"/>
  <c r="F24" i="56"/>
  <c r="AD51" i="148"/>
  <c r="AD79" i="148" s="1"/>
  <c r="M49" i="148"/>
  <c r="I39" i="138"/>
  <c r="M42" i="104"/>
  <c r="N42" i="104" s="1"/>
  <c r="R13" i="23"/>
  <c r="F50" i="104"/>
  <c r="I64" i="12"/>
  <c r="H91" i="129" s="1"/>
  <c r="P64" i="12"/>
  <c r="P24" i="56"/>
  <c r="P42" i="34"/>
  <c r="D6" i="107"/>
  <c r="C25" i="107"/>
  <c r="D25" i="107" s="1"/>
  <c r="M31" i="104"/>
  <c r="N31" i="104" s="1"/>
  <c r="D9" i="107"/>
  <c r="C27" i="107"/>
  <c r="D27" i="107" s="1"/>
  <c r="J23" i="104"/>
  <c r="H13" i="104"/>
  <c r="J13" i="104" s="1"/>
  <c r="Q13" i="104" s="1"/>
  <c r="R13" i="104" s="1"/>
  <c r="C65" i="143"/>
  <c r="C63" i="143"/>
  <c r="D104" i="143"/>
  <c r="I32" i="40"/>
  <c r="H20" i="129" s="1"/>
  <c r="V26" i="93"/>
  <c r="D36" i="30"/>
  <c r="D10" i="129" s="1"/>
  <c r="D42" i="34"/>
  <c r="D14" i="129" s="1"/>
  <c r="P63" i="66"/>
  <c r="P92" i="66"/>
  <c r="P67" i="66"/>
  <c r="P46" i="66"/>
  <c r="I15" i="135"/>
  <c r="H64" i="129" s="1"/>
  <c r="E77" i="66"/>
  <c r="E44" i="129"/>
  <c r="P62" i="66"/>
  <c r="P85" i="66"/>
  <c r="E10" i="129"/>
  <c r="G10" i="2"/>
  <c r="S11" i="13"/>
  <c r="P128" i="66"/>
  <c r="C62" i="179" s="1"/>
  <c r="D62" i="179" s="1"/>
  <c r="W134" i="66"/>
  <c r="W259" i="66" s="1"/>
  <c r="W264" i="66" s="1"/>
  <c r="W266" i="66" s="1"/>
  <c r="I76" i="148"/>
  <c r="M51" i="148"/>
  <c r="M79" i="148" s="1"/>
  <c r="M26" i="148"/>
  <c r="M78" i="148" s="1"/>
  <c r="AA41" i="6"/>
  <c r="N26" i="148"/>
  <c r="N78" i="148" s="1"/>
  <c r="P51" i="148"/>
  <c r="P79" i="148" s="1"/>
  <c r="S49" i="148"/>
  <c r="S51" i="148" s="1"/>
  <c r="S79" i="148" s="1"/>
  <c r="S80" i="148" s="1"/>
  <c r="S82" i="148" s="1"/>
  <c r="U49" i="148"/>
  <c r="U51" i="148" s="1"/>
  <c r="U79" i="148" s="1"/>
  <c r="U80" i="148" s="1"/>
  <c r="U82" i="148" s="1"/>
  <c r="W49" i="148"/>
  <c r="Y49" i="148"/>
  <c r="Y51" i="148" s="1"/>
  <c r="Y79" i="148" s="1"/>
  <c r="Y26" i="148"/>
  <c r="Y78" i="148" s="1"/>
  <c r="AC51" i="148"/>
  <c r="AC79" i="148" s="1"/>
  <c r="AC80" i="148" s="1"/>
  <c r="AC82" i="148" s="1"/>
  <c r="AD80" i="148"/>
  <c r="AD82" i="148" s="1"/>
  <c r="Z80" i="148"/>
  <c r="Z82" i="148" s="1"/>
  <c r="AM15" i="6"/>
  <c r="AM29" i="6" s="1"/>
  <c r="X39" i="148"/>
  <c r="X51" i="148" s="1"/>
  <c r="X79" i="148" s="1"/>
  <c r="X80" i="148" s="1"/>
  <c r="X82" i="148" s="1"/>
  <c r="AL15" i="6"/>
  <c r="AL29" i="6" s="1"/>
  <c r="AL15" i="51"/>
  <c r="AL31" i="51" s="1"/>
  <c r="W15" i="6"/>
  <c r="I39" i="148"/>
  <c r="I51" i="148" s="1"/>
  <c r="I79" i="148" s="1"/>
  <c r="I14" i="148"/>
  <c r="I26" i="148" s="1"/>
  <c r="I78" i="148" s="1"/>
  <c r="G26" i="148"/>
  <c r="G78" i="148" s="1"/>
  <c r="G12" i="2"/>
  <c r="I12" i="2" s="1"/>
  <c r="P27" i="22"/>
  <c r="C24" i="56"/>
  <c r="I26" i="60"/>
  <c r="H29" i="129" s="1"/>
  <c r="M18" i="104"/>
  <c r="N18" i="104" s="1"/>
  <c r="C58" i="143"/>
  <c r="R144" i="66" s="1"/>
  <c r="C29" i="143"/>
  <c r="E35" i="143" s="1"/>
  <c r="C64" i="143"/>
  <c r="U26" i="93"/>
  <c r="F107" i="66"/>
  <c r="AS56" i="51"/>
  <c r="AE31" i="51"/>
  <c r="AI31" i="51"/>
  <c r="C46" i="11"/>
  <c r="C62" i="129" s="1"/>
  <c r="I40" i="66"/>
  <c r="C42" i="34"/>
  <c r="C43" i="66" s="1"/>
  <c r="C35" i="44"/>
  <c r="C30" i="129" s="1"/>
  <c r="C64" i="129"/>
  <c r="C92" i="66"/>
  <c r="C65" i="129"/>
  <c r="C93" i="66"/>
  <c r="C23" i="54"/>
  <c r="C76" i="129" s="1"/>
  <c r="C105" i="66"/>
  <c r="I66" i="66"/>
  <c r="I93" i="66"/>
  <c r="E107" i="66"/>
  <c r="I62" i="66"/>
  <c r="D12" i="129"/>
  <c r="D41" i="66"/>
  <c r="O48" i="40"/>
  <c r="P48" i="40" s="1"/>
  <c r="D23" i="54"/>
  <c r="D76" i="129" s="1"/>
  <c r="D105" i="66"/>
  <c r="O27" i="18"/>
  <c r="P27" i="18" s="1"/>
  <c r="E32" i="129"/>
  <c r="J77" i="129"/>
  <c r="O80" i="11"/>
  <c r="P80" i="11" s="1"/>
  <c r="I41" i="66"/>
  <c r="O39" i="9"/>
  <c r="P39" i="9" s="1"/>
  <c r="E13" i="129"/>
  <c r="D31" i="129"/>
  <c r="D62" i="66"/>
  <c r="D65" i="129"/>
  <c r="D93" i="66"/>
  <c r="E12" i="129"/>
  <c r="E41" i="66"/>
  <c r="E64" i="129"/>
  <c r="E92" i="66"/>
  <c r="O48" i="93"/>
  <c r="P48" i="93" s="1"/>
  <c r="O37" i="22"/>
  <c r="P37" i="22" s="1"/>
  <c r="E31" i="129"/>
  <c r="E62" i="66"/>
  <c r="F21" i="47"/>
  <c r="F64" i="66"/>
  <c r="D20" i="18"/>
  <c r="D41" i="129" s="1"/>
  <c r="D19" i="86"/>
  <c r="D46" i="11"/>
  <c r="D90" i="66" s="1"/>
  <c r="D64" i="12"/>
  <c r="D91" i="129" s="1"/>
  <c r="M7" i="104"/>
  <c r="N7" i="104" s="1"/>
  <c r="M23" i="104"/>
  <c r="N23" i="104" s="1"/>
  <c r="AP56" i="6"/>
  <c r="AP61" i="6" s="1"/>
  <c r="AB31" i="51"/>
  <c r="C64" i="12"/>
  <c r="C91" i="129" s="1"/>
  <c r="C21" i="129"/>
  <c r="AN29" i="6"/>
  <c r="C33" i="35"/>
  <c r="C45" i="66" s="1"/>
  <c r="E23" i="29"/>
  <c r="E38" i="66" s="1"/>
  <c r="D24" i="136"/>
  <c r="B58" i="160"/>
  <c r="C130" i="66"/>
  <c r="E130" i="66"/>
  <c r="F19" i="13"/>
  <c r="F128" i="66"/>
  <c r="F130" i="66" s="1"/>
  <c r="D72" i="129"/>
  <c r="D101" i="66"/>
  <c r="E72" i="129"/>
  <c r="E101" i="66"/>
  <c r="C36" i="30"/>
  <c r="C39" i="66" s="1"/>
  <c r="E28" i="5"/>
  <c r="E114" i="66" s="1"/>
  <c r="C41" i="8"/>
  <c r="C83" i="66" s="1"/>
  <c r="P59" i="43"/>
  <c r="D28" i="43"/>
  <c r="D59" i="43" s="1"/>
  <c r="D58" i="66" s="1"/>
  <c r="E28" i="129"/>
  <c r="I46" i="66"/>
  <c r="D16" i="129"/>
  <c r="D46" i="66"/>
  <c r="P55" i="17"/>
  <c r="C27" i="22"/>
  <c r="C42" i="129" s="1"/>
  <c r="E24" i="56"/>
  <c r="Q23" i="29"/>
  <c r="S23" i="29" s="1"/>
  <c r="D11" i="136"/>
  <c r="E11" i="136" s="1"/>
  <c r="D12" i="136"/>
  <c r="M20" i="104"/>
  <c r="AU29" i="6"/>
  <c r="G116" i="129"/>
  <c r="G120" i="129" s="1"/>
  <c r="I101" i="66"/>
  <c r="AG56" i="51"/>
  <c r="Z56" i="51"/>
  <c r="F64" i="51"/>
  <c r="F98" i="66" s="1"/>
  <c r="AT31" i="51"/>
  <c r="AN31" i="51"/>
  <c r="AD56" i="51"/>
  <c r="P46" i="11"/>
  <c r="I77" i="66"/>
  <c r="P20" i="18"/>
  <c r="P20" i="23"/>
  <c r="I20" i="23"/>
  <c r="P19" i="86"/>
  <c r="D33" i="35"/>
  <c r="D15" i="129" s="1"/>
  <c r="P28" i="33"/>
  <c r="D74" i="66"/>
  <c r="E9" i="129"/>
  <c r="E67" i="66"/>
  <c r="E35" i="129"/>
  <c r="E74" i="66"/>
  <c r="E41" i="129"/>
  <c r="E84" i="66"/>
  <c r="E57" i="129"/>
  <c r="E59" i="129" s="1"/>
  <c r="E30" i="129"/>
  <c r="E61" i="66"/>
  <c r="I85" i="66"/>
  <c r="I74" i="66"/>
  <c r="I43" i="66"/>
  <c r="C94" i="129"/>
  <c r="C116" i="66"/>
  <c r="E22" i="129"/>
  <c r="E52" i="66"/>
  <c r="F35" i="104"/>
  <c r="H4" i="104"/>
  <c r="I67" i="66"/>
  <c r="I26" i="9"/>
  <c r="H57" i="129" s="1"/>
  <c r="H59" i="129" s="1"/>
  <c r="I61" i="66"/>
  <c r="I23" i="77"/>
  <c r="I48" i="66" s="1"/>
  <c r="E42" i="129"/>
  <c r="E75" i="66"/>
  <c r="I52" i="66"/>
  <c r="F45" i="104"/>
  <c r="F48" i="104" s="1"/>
  <c r="D58" i="129"/>
  <c r="D85" i="66"/>
  <c r="E58" i="129"/>
  <c r="E85" i="66"/>
  <c r="L103" i="129"/>
  <c r="C21" i="47"/>
  <c r="C33" i="129" s="1"/>
  <c r="C64" i="66"/>
  <c r="Q6" i="104"/>
  <c r="R6" i="104" s="1"/>
  <c r="J7" i="104"/>
  <c r="Q7" i="104" s="1"/>
  <c r="R7" i="104" s="1"/>
  <c r="F42" i="104"/>
  <c r="Q42" i="104" s="1"/>
  <c r="R42" i="104" s="1"/>
  <c r="M34" i="104"/>
  <c r="N34" i="104" s="1"/>
  <c r="F20" i="104"/>
  <c r="F16" i="104"/>
  <c r="AS31" i="51"/>
  <c r="D21" i="129"/>
  <c r="D51" i="66"/>
  <c r="C22" i="129"/>
  <c r="C52" i="66"/>
  <c r="E21" i="47"/>
  <c r="E33" i="129" s="1"/>
  <c r="E64" i="66"/>
  <c r="C17" i="129"/>
  <c r="C47" i="66"/>
  <c r="C75" i="66"/>
  <c r="I51" i="66"/>
  <c r="D57" i="129"/>
  <c r="E62" i="129"/>
  <c r="I29" i="149"/>
  <c r="H17" i="129" s="1"/>
  <c r="E17" i="129"/>
  <c r="E47" i="66"/>
  <c r="I91" i="66"/>
  <c r="E75" i="129"/>
  <c r="I39" i="66"/>
  <c r="I38" i="38"/>
  <c r="H19" i="129" s="1"/>
  <c r="D9" i="129"/>
  <c r="D38" i="66"/>
  <c r="C19" i="129"/>
  <c r="C49" i="66"/>
  <c r="D21" i="47"/>
  <c r="D33" i="129" s="1"/>
  <c r="D64" i="66"/>
  <c r="D35" i="129"/>
  <c r="D67" i="66"/>
  <c r="D94" i="129"/>
  <c r="D116" i="66"/>
  <c r="I116" i="66"/>
  <c r="E94" i="129"/>
  <c r="E116" i="66"/>
  <c r="I121" i="66"/>
  <c r="C69" i="129"/>
  <c r="C98" i="66"/>
  <c r="I98" i="66"/>
  <c r="T259" i="66"/>
  <c r="T264" i="66" s="1"/>
  <c r="M40" i="104"/>
  <c r="N40" i="104" s="1"/>
  <c r="I83" i="66"/>
  <c r="E15" i="129"/>
  <c r="E45" i="66"/>
  <c r="I45" i="66"/>
  <c r="D75" i="129"/>
  <c r="D104" i="66"/>
  <c r="I104" i="66"/>
  <c r="C75" i="129"/>
  <c r="C77" i="129" s="1"/>
  <c r="C104" i="66"/>
  <c r="E17" i="15"/>
  <c r="I17" i="15"/>
  <c r="I55" i="15"/>
  <c r="E59" i="43"/>
  <c r="E58" i="66" s="1"/>
  <c r="C28" i="129"/>
  <c r="C59" i="66"/>
  <c r="I59" i="66"/>
  <c r="I59" i="43"/>
  <c r="M19" i="104"/>
  <c r="N19" i="104" s="1"/>
  <c r="C29" i="129"/>
  <c r="C60" i="66"/>
  <c r="C55" i="15"/>
  <c r="D55" i="15"/>
  <c r="E55" i="15"/>
  <c r="P17" i="15"/>
  <c r="D16" i="46"/>
  <c r="C29" i="49"/>
  <c r="W31" i="51"/>
  <c r="C16" i="46"/>
  <c r="E54" i="24"/>
  <c r="U56" i="51"/>
  <c r="N59" i="8"/>
  <c r="P59" i="8" s="1"/>
  <c r="I15" i="2"/>
  <c r="D21" i="77"/>
  <c r="D18" i="129" s="1"/>
  <c r="F26" i="104"/>
  <c r="F41" i="8"/>
  <c r="F83" i="66" s="1"/>
  <c r="F22" i="104"/>
  <c r="Q22" i="104" s="1"/>
  <c r="R22" i="104" s="1"/>
  <c r="M22" i="104"/>
  <c r="N22" i="104" s="1"/>
  <c r="AA56" i="6"/>
  <c r="AI56" i="6"/>
  <c r="P23" i="29"/>
  <c r="AC29" i="6"/>
  <c r="D18" i="7"/>
  <c r="C30" i="93"/>
  <c r="AX31" i="51"/>
  <c r="AU56" i="51"/>
  <c r="AQ56" i="51"/>
  <c r="AO56" i="51"/>
  <c r="AK31" i="51"/>
  <c r="AW31" i="51"/>
  <c r="AN56" i="51"/>
  <c r="AB56" i="51"/>
  <c r="V56" i="51"/>
  <c r="D26" i="60"/>
  <c r="D60" i="66" s="1"/>
  <c r="M29" i="104"/>
  <c r="N29" i="104" s="1"/>
  <c r="C28" i="5"/>
  <c r="C114" i="66" s="1"/>
  <c r="AM56" i="6"/>
  <c r="D35" i="44"/>
  <c r="S12" i="48"/>
  <c r="F28" i="33"/>
  <c r="F42" i="66" s="1"/>
  <c r="F35" i="44"/>
  <c r="F61" i="66" s="1"/>
  <c r="F29" i="49"/>
  <c r="F91" i="66" s="1"/>
  <c r="C26" i="9"/>
  <c r="E55" i="17"/>
  <c r="F51" i="104"/>
  <c r="F23" i="29"/>
  <c r="F38" i="66" s="1"/>
  <c r="F16" i="46"/>
  <c r="F63" i="66" s="1"/>
  <c r="F20" i="18"/>
  <c r="F74" i="66" s="1"/>
  <c r="D38" i="38"/>
  <c r="Q23" i="54"/>
  <c r="R23" i="54" s="1"/>
  <c r="E29" i="49"/>
  <c r="P29" i="49"/>
  <c r="P41" i="8"/>
  <c r="P32" i="40"/>
  <c r="L75" i="129"/>
  <c r="S20" i="53"/>
  <c r="F78" i="26"/>
  <c r="J78" i="26" s="1"/>
  <c r="AE56" i="51"/>
  <c r="AX56" i="51"/>
  <c r="AI56" i="51"/>
  <c r="AC56" i="51"/>
  <c r="Y31" i="51"/>
  <c r="AV31" i="51"/>
  <c r="AR31" i="51"/>
  <c r="AL56" i="51"/>
  <c r="AH56" i="51"/>
  <c r="AS56" i="6"/>
  <c r="AW29" i="6"/>
  <c r="AU56" i="6"/>
  <c r="AO56" i="6"/>
  <c r="AO29" i="6"/>
  <c r="C23" i="29"/>
  <c r="F36" i="30"/>
  <c r="F39" i="66" s="1"/>
  <c r="I28" i="33"/>
  <c r="H13" i="129" s="1"/>
  <c r="C28" i="33"/>
  <c r="C42" i="66" s="1"/>
  <c r="D28" i="33"/>
  <c r="N57" i="35"/>
  <c r="F33" i="35"/>
  <c r="F45" i="66" s="1"/>
  <c r="D29" i="149"/>
  <c r="D23" i="77"/>
  <c r="D48" i="66" s="1"/>
  <c r="F23" i="77"/>
  <c r="F48" i="66" s="1"/>
  <c r="N67" i="38"/>
  <c r="F32" i="40"/>
  <c r="F50" i="66" s="1"/>
  <c r="C59" i="43"/>
  <c r="F59" i="43"/>
  <c r="F58" i="66" s="1"/>
  <c r="N51" i="60"/>
  <c r="F26" i="60"/>
  <c r="F60" i="66" s="1"/>
  <c r="N55" i="44"/>
  <c r="P35" i="44"/>
  <c r="F25" i="104"/>
  <c r="Q25" i="104" s="1"/>
  <c r="R25" i="104" s="1"/>
  <c r="F19" i="86"/>
  <c r="F67" i="66" s="1"/>
  <c r="G26" i="104"/>
  <c r="K26" i="104" s="1"/>
  <c r="L26" i="104" s="1"/>
  <c r="F55" i="17"/>
  <c r="D16" i="17"/>
  <c r="D55" i="17" s="1"/>
  <c r="C20" i="23"/>
  <c r="E20" i="23"/>
  <c r="F20" i="23"/>
  <c r="C20" i="18"/>
  <c r="Q18" i="18"/>
  <c r="N31" i="18"/>
  <c r="N34" i="18" s="1"/>
  <c r="O34" i="18" s="1"/>
  <c r="P34" i="18" s="1"/>
  <c r="D27" i="22"/>
  <c r="C18" i="7"/>
  <c r="P18" i="7"/>
  <c r="N60" i="8"/>
  <c r="P60" i="8" s="1"/>
  <c r="D41" i="8"/>
  <c r="F26" i="9"/>
  <c r="F84" i="66" s="1"/>
  <c r="F46" i="11"/>
  <c r="F90" i="66" s="1"/>
  <c r="E64" i="51"/>
  <c r="F30" i="93"/>
  <c r="D30" i="93"/>
  <c r="C54" i="24"/>
  <c r="K51" i="104"/>
  <c r="L51" i="104" s="1"/>
  <c r="D12" i="5"/>
  <c r="D28" i="5" s="1"/>
  <c r="D114" i="66" s="1"/>
  <c r="Q28" i="5"/>
  <c r="Q29" i="5" s="1"/>
  <c r="R29" i="5" s="1"/>
  <c r="S12" i="5"/>
  <c r="S23" i="5"/>
  <c r="P28" i="5"/>
  <c r="H51" i="104"/>
  <c r="J51" i="104" s="1"/>
  <c r="C61" i="6"/>
  <c r="D56" i="6"/>
  <c r="D61" i="6" s="1"/>
  <c r="AN56" i="6"/>
  <c r="U56" i="6"/>
  <c r="Z56" i="6"/>
  <c r="AD56" i="6"/>
  <c r="AH29" i="6"/>
  <c r="AW56" i="6"/>
  <c r="AW61" i="6" s="1"/>
  <c r="P61" i="6"/>
  <c r="AV29" i="6"/>
  <c r="AQ56" i="6"/>
  <c r="AK56" i="6"/>
  <c r="Y56" i="6"/>
  <c r="AA29" i="6"/>
  <c r="AR56" i="6"/>
  <c r="AH56" i="6"/>
  <c r="AF29" i="6"/>
  <c r="AE56" i="6"/>
  <c r="AG56" i="6"/>
  <c r="AB56" i="6"/>
  <c r="AD29" i="6"/>
  <c r="V29" i="6"/>
  <c r="AJ29" i="6"/>
  <c r="I61" i="6"/>
  <c r="H93" i="129" s="1"/>
  <c r="E61" i="6"/>
  <c r="F61" i="6"/>
  <c r="F115" i="66" s="1"/>
  <c r="C11" i="129"/>
  <c r="C13" i="129"/>
  <c r="S14" i="32"/>
  <c r="S16" i="46"/>
  <c r="AG31" i="51"/>
  <c r="AJ56" i="51"/>
  <c r="S23" i="77"/>
  <c r="R48" i="66" s="1"/>
  <c r="I16" i="46"/>
  <c r="H32" i="129" s="1"/>
  <c r="F4" i="104"/>
  <c r="D17" i="15"/>
  <c r="AR56" i="51"/>
  <c r="AQ31" i="51"/>
  <c r="Q14" i="50"/>
  <c r="R14" i="50" s="1"/>
  <c r="Q93" i="66" s="1"/>
  <c r="H38" i="104"/>
  <c r="F36" i="104"/>
  <c r="F42" i="34"/>
  <c r="F43" i="66" s="1"/>
  <c r="S15" i="10"/>
  <c r="AM31" i="51"/>
  <c r="C19" i="86"/>
  <c r="C67" i="66" s="1"/>
  <c r="G12" i="104"/>
  <c r="J12" i="104" s="1"/>
  <c r="Q29" i="149"/>
  <c r="S26" i="5"/>
  <c r="M103" i="129" s="1"/>
  <c r="N103" i="129" s="1"/>
  <c r="O103" i="129" s="1"/>
  <c r="D32" i="40"/>
  <c r="D50" i="66" s="1"/>
  <c r="Q18" i="7"/>
  <c r="F32" i="104"/>
  <c r="E32" i="40"/>
  <c r="E41" i="8"/>
  <c r="S19" i="86"/>
  <c r="S18" i="41"/>
  <c r="K4" i="104"/>
  <c r="L4" i="104" s="1"/>
  <c r="C32" i="40"/>
  <c r="C50" i="66" s="1"/>
  <c r="F38" i="38"/>
  <c r="F49" i="66" s="1"/>
  <c r="F23" i="54"/>
  <c r="F28" i="5"/>
  <c r="F114" i="66" s="1"/>
  <c r="S20" i="31"/>
  <c r="P16" i="46"/>
  <c r="E26" i="60"/>
  <c r="F17" i="15"/>
  <c r="F55" i="15"/>
  <c r="M5" i="104"/>
  <c r="N5" i="104" s="1"/>
  <c r="F5" i="104"/>
  <c r="F8" i="104"/>
  <c r="M8" i="104"/>
  <c r="N8" i="104" s="1"/>
  <c r="F9" i="104"/>
  <c r="F10" i="104"/>
  <c r="H11" i="104"/>
  <c r="J11" i="104" s="1"/>
  <c r="Q11" i="104" s="1"/>
  <c r="R11" i="104" s="1"/>
  <c r="F17" i="104"/>
  <c r="M21" i="104"/>
  <c r="N21" i="104" s="1"/>
  <c r="F21" i="104"/>
  <c r="Q55" i="15"/>
  <c r="P55" i="15"/>
  <c r="F29" i="104"/>
  <c r="I27" i="22"/>
  <c r="H42" i="129" s="1"/>
  <c r="M32" i="104"/>
  <c r="N32" i="104" s="1"/>
  <c r="M33" i="104"/>
  <c r="N33" i="104" s="1"/>
  <c r="F33" i="104"/>
  <c r="M36" i="104"/>
  <c r="N36" i="104" s="1"/>
  <c r="F39" i="104"/>
  <c r="P30" i="93"/>
  <c r="I30" i="93"/>
  <c r="I28" i="5"/>
  <c r="I114" i="66" s="1"/>
  <c r="E53" i="104"/>
  <c r="AH31" i="51"/>
  <c r="U31" i="51"/>
  <c r="AP56" i="51"/>
  <c r="Q34" i="104"/>
  <c r="R34" i="104" s="1"/>
  <c r="Q40" i="104"/>
  <c r="R40" i="104" s="1"/>
  <c r="AW56" i="51"/>
  <c r="M9" i="104"/>
  <c r="N9" i="104" s="1"/>
  <c r="AM56" i="51"/>
  <c r="AO31" i="51"/>
  <c r="AA31" i="51"/>
  <c r="AP31" i="51"/>
  <c r="M6" i="104"/>
  <c r="N6" i="104" s="1"/>
  <c r="F14" i="104"/>
  <c r="D76" i="137"/>
  <c r="D78" i="137"/>
  <c r="D72" i="137"/>
  <c r="Q9" i="56"/>
  <c r="E32" i="2"/>
  <c r="Y25" i="66"/>
  <c r="X29" i="66" s="1"/>
  <c r="X263" i="66" s="1"/>
  <c r="T16" i="66"/>
  <c r="T9" i="66"/>
  <c r="V259" i="66"/>
  <c r="H85" i="26"/>
  <c r="F64" i="12"/>
  <c r="F112" i="66" s="1"/>
  <c r="M10" i="104"/>
  <c r="N10" i="104" s="1"/>
  <c r="D81" i="137"/>
  <c r="I46" i="11"/>
  <c r="M35" i="104"/>
  <c r="N35" i="104" s="1"/>
  <c r="F15" i="104"/>
  <c r="X134" i="66"/>
  <c r="X259" i="66" s="1"/>
  <c r="X264" i="66" s="1"/>
  <c r="I13" i="2"/>
  <c r="S16" i="36"/>
  <c r="J16" i="104"/>
  <c r="M16" i="104"/>
  <c r="N16" i="104" s="1"/>
  <c r="I41" i="104"/>
  <c r="P64" i="51"/>
  <c r="M26" i="104"/>
  <c r="N26" i="104" s="1"/>
  <c r="J18" i="104"/>
  <c r="Q18" i="104" s="1"/>
  <c r="R18" i="104" s="1"/>
  <c r="M14" i="104"/>
  <c r="N14" i="104" s="1"/>
  <c r="M15" i="104"/>
  <c r="N15" i="104" s="1"/>
  <c r="B18" i="167"/>
  <c r="J24" i="104"/>
  <c r="Q24" i="104" s="1"/>
  <c r="R24" i="104" s="1"/>
  <c r="M24" i="104"/>
  <c r="N24" i="104" s="1"/>
  <c r="F12" i="104"/>
  <c r="M12" i="104"/>
  <c r="N12" i="104" s="1"/>
  <c r="F29" i="149"/>
  <c r="F47" i="66" s="1"/>
  <c r="B28" i="133"/>
  <c r="E64" i="12"/>
  <c r="E112" i="66" s="1"/>
  <c r="C54" i="104"/>
  <c r="Q107" i="66" l="1"/>
  <c r="D107" i="66"/>
  <c r="R29" i="149"/>
  <c r="Q47" i="66" s="1"/>
  <c r="Q30" i="149"/>
  <c r="R30" i="149" s="1"/>
  <c r="P107" i="66"/>
  <c r="C59" i="179" s="1"/>
  <c r="D59" i="179" s="1"/>
  <c r="AS64" i="51"/>
  <c r="C61" i="66"/>
  <c r="E77" i="129"/>
  <c r="U55" i="15"/>
  <c r="R55" i="15"/>
  <c r="D38" i="137"/>
  <c r="S85" i="43"/>
  <c r="P64" i="11"/>
  <c r="D104" i="137" s="1"/>
  <c r="P58" i="11"/>
  <c r="D98" i="137" s="1"/>
  <c r="P45" i="30"/>
  <c r="Q9" i="30" s="1"/>
  <c r="N51" i="30" s="1"/>
  <c r="O51" i="30" s="1"/>
  <c r="P51" i="30" s="1"/>
  <c r="P81" i="12"/>
  <c r="D124" i="137" s="1"/>
  <c r="P41" i="60"/>
  <c r="D60" i="137" s="1"/>
  <c r="I152" i="141"/>
  <c r="I30" i="138"/>
  <c r="I29" i="138"/>
  <c r="H30" i="138"/>
  <c r="F27" i="138"/>
  <c r="P76" i="43" s="1"/>
  <c r="S76" i="43" s="1"/>
  <c r="D40" i="137" s="1"/>
  <c r="B26" i="138"/>
  <c r="I27" i="138"/>
  <c r="I26" i="138"/>
  <c r="P75" i="43"/>
  <c r="C56" i="129"/>
  <c r="D69" i="129"/>
  <c r="X56" i="51"/>
  <c r="Q38" i="51"/>
  <c r="X31" i="51"/>
  <c r="L92" i="26"/>
  <c r="O15" i="66"/>
  <c r="O29" i="66" s="1"/>
  <c r="O263" i="66" s="1"/>
  <c r="Z61" i="6"/>
  <c r="G11" i="2"/>
  <c r="I11" i="2" s="1"/>
  <c r="M35" i="129"/>
  <c r="N35" i="129" s="1"/>
  <c r="O35" i="129" s="1"/>
  <c r="R67" i="66"/>
  <c r="I92" i="66"/>
  <c r="G28" i="2"/>
  <c r="Q56" i="51"/>
  <c r="C69" i="143" s="1"/>
  <c r="D69" i="143" s="1"/>
  <c r="D88" i="143" s="1"/>
  <c r="D89" i="143" s="1"/>
  <c r="M34" i="129"/>
  <c r="N34" i="129" s="1"/>
  <c r="O34" i="129" s="1"/>
  <c r="R66" i="66"/>
  <c r="E102" i="129"/>
  <c r="E104" i="129" s="1"/>
  <c r="L9" i="129"/>
  <c r="R23" i="29"/>
  <c r="Q38" i="66" s="1"/>
  <c r="M21" i="129"/>
  <c r="N21" i="129" s="1"/>
  <c r="O21" i="129" s="1"/>
  <c r="R51" i="66"/>
  <c r="M58" i="129"/>
  <c r="N58" i="129" s="1"/>
  <c r="O58" i="129" s="1"/>
  <c r="R85" i="66"/>
  <c r="W56" i="51"/>
  <c r="W64" i="51" s="1"/>
  <c r="P114" i="66"/>
  <c r="R28" i="5"/>
  <c r="Q114" i="66" s="1"/>
  <c r="W56" i="6"/>
  <c r="D63" i="129"/>
  <c r="M9" i="129"/>
  <c r="N9" i="129" s="1"/>
  <c r="O9" i="129" s="1"/>
  <c r="R38" i="66"/>
  <c r="D29" i="129"/>
  <c r="M32" i="129"/>
  <c r="N32" i="129" s="1"/>
  <c r="O32" i="129" s="1"/>
  <c r="R63" i="66"/>
  <c r="L32" i="129"/>
  <c r="R16" i="46"/>
  <c r="Q63" i="66" s="1"/>
  <c r="M12" i="129"/>
  <c r="N12" i="129" s="1"/>
  <c r="O12" i="129" s="1"/>
  <c r="R41" i="66"/>
  <c r="M42" i="129"/>
  <c r="N42" i="129" s="1"/>
  <c r="O42" i="129" s="1"/>
  <c r="R75" i="66"/>
  <c r="M16" i="129"/>
  <c r="N16" i="129" s="1"/>
  <c r="O16" i="129" s="1"/>
  <c r="R46" i="66"/>
  <c r="P144" i="66"/>
  <c r="Q144" i="66"/>
  <c r="L44" i="129"/>
  <c r="R18" i="7"/>
  <c r="Q77" i="66" s="1"/>
  <c r="M75" i="129"/>
  <c r="N75" i="129" s="1"/>
  <c r="O75" i="129" s="1"/>
  <c r="R104" i="66"/>
  <c r="R107" i="66" s="1"/>
  <c r="M11" i="129"/>
  <c r="N11" i="129" s="1"/>
  <c r="O11" i="129" s="1"/>
  <c r="R40" i="66"/>
  <c r="P93" i="66"/>
  <c r="L65" i="129"/>
  <c r="AD31" i="51"/>
  <c r="E27" i="129"/>
  <c r="D39" i="66"/>
  <c r="S83" i="43"/>
  <c r="R17" i="66"/>
  <c r="V17" i="66"/>
  <c r="I50" i="66"/>
  <c r="P47" i="66"/>
  <c r="L17" i="129"/>
  <c r="Q16" i="104"/>
  <c r="R16" i="104" s="1"/>
  <c r="AT56" i="51"/>
  <c r="AT64" i="51" s="1"/>
  <c r="AA56" i="51"/>
  <c r="AA64" i="51" s="1"/>
  <c r="Q27" i="22"/>
  <c r="Q80" i="148"/>
  <c r="Q82" i="148" s="1"/>
  <c r="Q39" i="148"/>
  <c r="Q51" i="148" s="1"/>
  <c r="Q79" i="148" s="1"/>
  <c r="K56" i="141"/>
  <c r="K34" i="141" s="1"/>
  <c r="AJ61" i="6"/>
  <c r="AE61" i="6"/>
  <c r="F54" i="141"/>
  <c r="F32" i="141" s="1"/>
  <c r="P38" i="60"/>
  <c r="D57" i="137" s="1"/>
  <c r="P39" i="40"/>
  <c r="C26" i="148"/>
  <c r="C78" i="148" s="1"/>
  <c r="C80" i="148" s="1"/>
  <c r="C82" i="148" s="1"/>
  <c r="V49" i="148"/>
  <c r="V51" i="148" s="1"/>
  <c r="V79" i="148" s="1"/>
  <c r="V80" i="148" s="1"/>
  <c r="V82" i="148" s="1"/>
  <c r="L56" i="141"/>
  <c r="L34" i="141" s="1"/>
  <c r="AV37" i="6"/>
  <c r="AV56" i="6" s="1"/>
  <c r="AH49" i="148"/>
  <c r="AH51" i="148" s="1"/>
  <c r="AH79" i="148" s="1"/>
  <c r="AH80" i="148" s="1"/>
  <c r="AH82" i="148" s="1"/>
  <c r="W29" i="6"/>
  <c r="W61" i="6" s="1"/>
  <c r="AC64" i="51"/>
  <c r="L48" i="141"/>
  <c r="L26" i="141" s="1"/>
  <c r="L57" i="141"/>
  <c r="L35" i="141" s="1"/>
  <c r="L49" i="141"/>
  <c r="L27" i="141" s="1"/>
  <c r="L52" i="141"/>
  <c r="L30" i="141" s="1"/>
  <c r="P74" i="43"/>
  <c r="D26" i="138"/>
  <c r="P65" i="11"/>
  <c r="D105" i="137" s="1"/>
  <c r="P59" i="11"/>
  <c r="X38" i="6"/>
  <c r="J49" i="148"/>
  <c r="K50" i="141"/>
  <c r="K28" i="141" s="1"/>
  <c r="C14" i="129"/>
  <c r="G80" i="148"/>
  <c r="G82" i="148" s="1"/>
  <c r="M80" i="148"/>
  <c r="M82" i="148" s="1"/>
  <c r="N81" i="43"/>
  <c r="P81" i="43" s="1"/>
  <c r="N82" i="43"/>
  <c r="P82" i="43" s="1"/>
  <c r="K48" i="141"/>
  <c r="K26" i="141" s="1"/>
  <c r="K57" i="141"/>
  <c r="K35" i="141" s="1"/>
  <c r="K49" i="141"/>
  <c r="K27" i="141" s="1"/>
  <c r="K52" i="141"/>
  <c r="K30" i="141" s="1"/>
  <c r="D190" i="141"/>
  <c r="D191" i="141"/>
  <c r="D162" i="141"/>
  <c r="N39" i="148"/>
  <c r="N51" i="148" s="1"/>
  <c r="N79" i="148" s="1"/>
  <c r="N80" i="148" s="1"/>
  <c r="N82" i="148" s="1"/>
  <c r="AK13" i="6"/>
  <c r="AK29" i="6" s="1"/>
  <c r="W39" i="148"/>
  <c r="C51" i="148"/>
  <c r="C79" i="148" s="1"/>
  <c r="C54" i="141"/>
  <c r="C32" i="141" s="1"/>
  <c r="W51" i="148"/>
  <c r="W79" i="148" s="1"/>
  <c r="W80" i="148" s="1"/>
  <c r="W82" i="148" s="1"/>
  <c r="K119" i="141"/>
  <c r="AG64" i="51"/>
  <c r="D116" i="129"/>
  <c r="D120" i="129" s="1"/>
  <c r="AC56" i="6"/>
  <c r="AG80" i="148"/>
  <c r="AG82" i="148" s="1"/>
  <c r="D6" i="137"/>
  <c r="L58" i="141"/>
  <c r="L36" i="141" s="1"/>
  <c r="P72" i="15"/>
  <c r="D70" i="137" s="1"/>
  <c r="AE51" i="148"/>
  <c r="AE79" i="148" s="1"/>
  <c r="AE80" i="148" s="1"/>
  <c r="AE82" i="148" s="1"/>
  <c r="P60" i="11"/>
  <c r="D100" i="137" s="1"/>
  <c r="P63" i="11"/>
  <c r="D103" i="137" s="1"/>
  <c r="AX38" i="6"/>
  <c r="AX56" i="6" s="1"/>
  <c r="AX61" i="6" s="1"/>
  <c r="AJ49" i="148"/>
  <c r="AT14" i="6"/>
  <c r="AT29" i="6" s="1"/>
  <c r="AF39" i="148"/>
  <c r="AI61" i="6"/>
  <c r="C10" i="129"/>
  <c r="K58" i="141"/>
  <c r="K36" i="141" s="1"/>
  <c r="H152" i="141"/>
  <c r="K149" i="141"/>
  <c r="E54" i="141"/>
  <c r="E32" i="141" s="1"/>
  <c r="D54" i="141"/>
  <c r="D32" i="141" s="1"/>
  <c r="AF49" i="148"/>
  <c r="AF51" i="148" s="1"/>
  <c r="AF79" i="148" s="1"/>
  <c r="AF80" i="148" s="1"/>
  <c r="AF82" i="148" s="1"/>
  <c r="AT39" i="6"/>
  <c r="AT56" i="6" s="1"/>
  <c r="AJ39" i="148"/>
  <c r="AX14" i="6"/>
  <c r="AX29" i="6" s="1"/>
  <c r="K51" i="141"/>
  <c r="K29" i="141" s="1"/>
  <c r="E14" i="129"/>
  <c r="L50" i="141"/>
  <c r="L28" i="141" s="1"/>
  <c r="L51" i="141"/>
  <c r="L29" i="141" s="1"/>
  <c r="P86" i="43"/>
  <c r="P61" i="24"/>
  <c r="Q10" i="24" s="1"/>
  <c r="N77" i="24" s="1"/>
  <c r="P44" i="35"/>
  <c r="D20" i="137" s="1"/>
  <c r="P60" i="24"/>
  <c r="D125" i="137"/>
  <c r="P67" i="11"/>
  <c r="D106" i="137" s="1"/>
  <c r="V39" i="6"/>
  <c r="V56" i="6" s="1"/>
  <c r="H49" i="148"/>
  <c r="H51" i="148" s="1"/>
  <c r="H79" i="148" s="1"/>
  <c r="H80" i="148" s="1"/>
  <c r="H82" i="148" s="1"/>
  <c r="X14" i="6"/>
  <c r="J39" i="148"/>
  <c r="D59" i="129"/>
  <c r="AN61" i="6"/>
  <c r="Q10" i="35"/>
  <c r="N55" i="35" s="1"/>
  <c r="AY31" i="51"/>
  <c r="AY32" i="51"/>
  <c r="H24" i="129"/>
  <c r="R128" i="66"/>
  <c r="D29" i="136" s="1"/>
  <c r="E29" i="136" s="1"/>
  <c r="S128" i="66"/>
  <c r="D18" i="167"/>
  <c r="D43" i="66"/>
  <c r="J66" i="129"/>
  <c r="H62" i="129"/>
  <c r="H66" i="129" s="1"/>
  <c r="C97" i="141"/>
  <c r="C130" i="141"/>
  <c r="C129" i="141"/>
  <c r="C128" i="141"/>
  <c r="H97" i="141"/>
  <c r="H130" i="141"/>
  <c r="H129" i="141"/>
  <c r="H128" i="141"/>
  <c r="N79" i="43"/>
  <c r="P79" i="43" s="1"/>
  <c r="S79" i="43" s="1"/>
  <c r="D43" i="137" s="1"/>
  <c r="N78" i="43"/>
  <c r="P78" i="43" s="1"/>
  <c r="N77" i="43"/>
  <c r="P77" i="43" s="1"/>
  <c r="K97" i="141"/>
  <c r="K130" i="141"/>
  <c r="K128" i="141"/>
  <c r="K129" i="141"/>
  <c r="C71" i="26"/>
  <c r="C72" i="26" s="1"/>
  <c r="C79" i="26" s="1"/>
  <c r="C92" i="26" s="1"/>
  <c r="D77" i="169"/>
  <c r="D78" i="169" s="1"/>
  <c r="D85" i="169" s="1"/>
  <c r="D95" i="169" s="1"/>
  <c r="B141" i="141"/>
  <c r="B170" i="141"/>
  <c r="B171" i="141"/>
  <c r="K98" i="141"/>
  <c r="K131" i="141"/>
  <c r="E141" i="141"/>
  <c r="E171" i="141"/>
  <c r="E170" i="141"/>
  <c r="N73" i="43"/>
  <c r="P73" i="43" s="1"/>
  <c r="S73" i="43" s="1"/>
  <c r="D37" i="137" s="1"/>
  <c r="N72" i="43"/>
  <c r="P72" i="43" s="1"/>
  <c r="P71" i="43"/>
  <c r="G97" i="141"/>
  <c r="G130" i="141"/>
  <c r="G128" i="141"/>
  <c r="G129" i="141"/>
  <c r="G98" i="141"/>
  <c r="G131" i="141"/>
  <c r="J119" i="141"/>
  <c r="J151" i="141"/>
  <c r="J150" i="141"/>
  <c r="J149" i="141"/>
  <c r="I58" i="66"/>
  <c r="H27" i="129"/>
  <c r="H36" i="129" s="1"/>
  <c r="C119" i="143"/>
  <c r="O23" i="135"/>
  <c r="P23" i="135" s="1"/>
  <c r="I98" i="141"/>
  <c r="I131" i="141"/>
  <c r="P37" i="60"/>
  <c r="D56" i="137" s="1"/>
  <c r="P49" i="34"/>
  <c r="D16" i="137" s="1"/>
  <c r="P43" i="44"/>
  <c r="D64" i="137" s="1"/>
  <c r="I129" i="141"/>
  <c r="I97" i="141"/>
  <c r="I130" i="141"/>
  <c r="I128" i="141"/>
  <c r="P70" i="43"/>
  <c r="J98" i="141"/>
  <c r="J131" i="141"/>
  <c r="P70" i="15"/>
  <c r="P44" i="30"/>
  <c r="J104" i="129"/>
  <c r="H102" i="129"/>
  <c r="H104" i="129" s="1"/>
  <c r="D45" i="66"/>
  <c r="H95" i="129"/>
  <c r="I77" i="169"/>
  <c r="I78" i="169" s="1"/>
  <c r="I85" i="169" s="1"/>
  <c r="I95" i="169" s="1"/>
  <c r="E77" i="169"/>
  <c r="E78" i="169" s="1"/>
  <c r="E85" i="169" s="1"/>
  <c r="E95" i="169" s="1"/>
  <c r="AL61" i="6"/>
  <c r="F119" i="141"/>
  <c r="F151" i="141"/>
  <c r="F150" i="141"/>
  <c r="F149" i="141"/>
  <c r="H131" i="141"/>
  <c r="H98" i="141"/>
  <c r="M13" i="104"/>
  <c r="N13" i="104" s="1"/>
  <c r="C90" i="66"/>
  <c r="V264" i="66"/>
  <c r="G73" i="169"/>
  <c r="G78" i="169" s="1"/>
  <c r="G85" i="169" s="1"/>
  <c r="G95" i="169" s="1"/>
  <c r="D95" i="66"/>
  <c r="L102" i="129"/>
  <c r="N26" i="144"/>
  <c r="D77" i="66"/>
  <c r="D44" i="129"/>
  <c r="P77" i="66"/>
  <c r="P38" i="66"/>
  <c r="C107" i="66"/>
  <c r="AB64" i="51"/>
  <c r="Y80" i="148"/>
  <c r="Y82" i="148" s="1"/>
  <c r="AN64" i="51"/>
  <c r="AE64" i="51"/>
  <c r="I80" i="148"/>
  <c r="I82" i="148" s="1"/>
  <c r="U64" i="51"/>
  <c r="C15" i="129"/>
  <c r="D77" i="129"/>
  <c r="C20" i="129"/>
  <c r="D62" i="129"/>
  <c r="AI64" i="51"/>
  <c r="S29" i="149"/>
  <c r="J95" i="129"/>
  <c r="I60" i="66"/>
  <c r="J24" i="129"/>
  <c r="D40" i="143"/>
  <c r="C30" i="143"/>
  <c r="C39" i="143" s="1"/>
  <c r="C41" i="143" s="1"/>
  <c r="R145" i="66" s="1"/>
  <c r="B16" i="167" s="1"/>
  <c r="C53" i="143"/>
  <c r="C54" i="143" s="1"/>
  <c r="C48" i="143"/>
  <c r="F95" i="66"/>
  <c r="AU61" i="6"/>
  <c r="AK61" i="6"/>
  <c r="AS61" i="6"/>
  <c r="Q26" i="93"/>
  <c r="Q30" i="93" s="1"/>
  <c r="P248" i="66" s="1"/>
  <c r="Q248" i="66" s="1"/>
  <c r="R248" i="66" s="1"/>
  <c r="U248" i="66" s="1"/>
  <c r="U257" i="66" s="1"/>
  <c r="N49" i="93"/>
  <c r="N51" i="93" s="1"/>
  <c r="C44" i="129"/>
  <c r="C77" i="66"/>
  <c r="O57" i="35"/>
  <c r="P57" i="35" s="1"/>
  <c r="O55" i="44"/>
  <c r="P55" i="44" s="1"/>
  <c r="O67" i="38"/>
  <c r="P67" i="38" s="1"/>
  <c r="H71" i="26"/>
  <c r="D71" i="26"/>
  <c r="S55" i="15"/>
  <c r="H27" i="104"/>
  <c r="M37" i="104"/>
  <c r="N37" i="104" s="1"/>
  <c r="F37" i="104"/>
  <c r="Q37" i="104" s="1"/>
  <c r="R37" i="104" s="1"/>
  <c r="AU64" i="51"/>
  <c r="I72" i="66"/>
  <c r="F27" i="104"/>
  <c r="E24" i="136"/>
  <c r="I107" i="66"/>
  <c r="O51" i="60"/>
  <c r="P51" i="60" s="1"/>
  <c r="AO61" i="6"/>
  <c r="AR61" i="6"/>
  <c r="Z64" i="51"/>
  <c r="V64" i="51"/>
  <c r="AM61" i="6"/>
  <c r="AO64" i="51"/>
  <c r="AH64" i="51"/>
  <c r="AM64" i="51"/>
  <c r="O59" i="8"/>
  <c r="Y64" i="51"/>
  <c r="AV64" i="51"/>
  <c r="AW64" i="51"/>
  <c r="AQ64" i="51"/>
  <c r="AD64" i="51"/>
  <c r="I63" i="66"/>
  <c r="C32" i="129"/>
  <c r="C63" i="66"/>
  <c r="D32" i="129"/>
  <c r="D63" i="66"/>
  <c r="C43" i="104"/>
  <c r="C56" i="104" s="1"/>
  <c r="D27" i="129"/>
  <c r="S14" i="50"/>
  <c r="P60" i="15"/>
  <c r="O60" i="8"/>
  <c r="D60" i="15"/>
  <c r="D72" i="66" s="1"/>
  <c r="F118" i="66"/>
  <c r="D7" i="136"/>
  <c r="E7" i="136" s="1"/>
  <c r="AJ64" i="51"/>
  <c r="E93" i="129"/>
  <c r="E115" i="66"/>
  <c r="E118" i="66" s="1"/>
  <c r="D42" i="129"/>
  <c r="D75" i="66"/>
  <c r="I42" i="66"/>
  <c r="C9" i="129"/>
  <c r="C38" i="66"/>
  <c r="C55" i="66" s="1"/>
  <c r="D30" i="129"/>
  <c r="D61" i="66"/>
  <c r="J4" i="104"/>
  <c r="Q4" i="104" s="1"/>
  <c r="R4" i="104" s="1"/>
  <c r="M4" i="104"/>
  <c r="N4" i="104" s="1"/>
  <c r="D20" i="129"/>
  <c r="I38" i="66"/>
  <c r="I115" i="66"/>
  <c r="D102" i="129"/>
  <c r="D104" i="129" s="1"/>
  <c r="D17" i="129"/>
  <c r="D47" i="66"/>
  <c r="C57" i="129"/>
  <c r="C59" i="129" s="1"/>
  <c r="C84" i="66"/>
  <c r="C63" i="129"/>
  <c r="C66" i="129" s="1"/>
  <c r="C91" i="66"/>
  <c r="D93" i="129"/>
  <c r="D95" i="129" s="1"/>
  <c r="D115" i="66"/>
  <c r="C93" i="129"/>
  <c r="C95" i="129" s="1"/>
  <c r="C115" i="66"/>
  <c r="D13" i="129"/>
  <c r="D42" i="66"/>
  <c r="D19" i="129"/>
  <c r="D49" i="66"/>
  <c r="C102" i="129"/>
  <c r="C104" i="129" s="1"/>
  <c r="I90" i="66"/>
  <c r="I75" i="66"/>
  <c r="C41" i="129"/>
  <c r="C74" i="66"/>
  <c r="E63" i="129"/>
  <c r="E66" i="129" s="1"/>
  <c r="E91" i="66"/>
  <c r="E95" i="66" s="1"/>
  <c r="I49" i="66"/>
  <c r="I47" i="66"/>
  <c r="I84" i="66"/>
  <c r="I87" i="66" s="1"/>
  <c r="C116" i="129"/>
  <c r="C120" i="129" s="1"/>
  <c r="C121" i="66"/>
  <c r="E116" i="129"/>
  <c r="E120" i="129" s="1"/>
  <c r="E121" i="66"/>
  <c r="E69" i="129"/>
  <c r="E98" i="66"/>
  <c r="F55" i="66"/>
  <c r="E20" i="129"/>
  <c r="E50" i="66"/>
  <c r="E55" i="66" s="1"/>
  <c r="AA61" i="6"/>
  <c r="AF61" i="6"/>
  <c r="D112" i="66"/>
  <c r="I112" i="66"/>
  <c r="C112" i="66"/>
  <c r="F69" i="66"/>
  <c r="D56" i="129"/>
  <c r="D83" i="66"/>
  <c r="E56" i="129"/>
  <c r="E83" i="66"/>
  <c r="I60" i="15"/>
  <c r="H39" i="129" s="1"/>
  <c r="H45" i="129" s="1"/>
  <c r="E60" i="15"/>
  <c r="E39" i="129" s="1"/>
  <c r="E45" i="129" s="1"/>
  <c r="C60" i="15"/>
  <c r="F19" i="104"/>
  <c r="C27" i="129"/>
  <c r="C58" i="66"/>
  <c r="E29" i="129"/>
  <c r="E60" i="66"/>
  <c r="E69" i="66" s="1"/>
  <c r="AR64" i="51"/>
  <c r="AK64" i="51"/>
  <c r="AX64" i="51"/>
  <c r="AV61" i="6"/>
  <c r="K12" i="104"/>
  <c r="V61" i="6"/>
  <c r="U61" i="6"/>
  <c r="AC61" i="6"/>
  <c r="L76" i="129"/>
  <c r="S23" i="54"/>
  <c r="M76" i="129" s="1"/>
  <c r="N76" i="129" s="1"/>
  <c r="O76" i="129" s="1"/>
  <c r="G78" i="26"/>
  <c r="H78" i="26"/>
  <c r="X266" i="66"/>
  <c r="AQ61" i="6"/>
  <c r="AF64" i="51"/>
  <c r="AL64" i="51"/>
  <c r="AD61" i="6"/>
  <c r="AH61" i="6"/>
  <c r="S18" i="7"/>
  <c r="K25" i="104"/>
  <c r="L25" i="104" s="1"/>
  <c r="J26" i="104"/>
  <c r="Q26" i="104" s="1"/>
  <c r="R26" i="104" s="1"/>
  <c r="Q12" i="56"/>
  <c r="N32" i="56"/>
  <c r="N43" i="56" s="1"/>
  <c r="Q13" i="23"/>
  <c r="Q20" i="23" s="1"/>
  <c r="N26" i="23"/>
  <c r="N33" i="23" s="1"/>
  <c r="F60" i="15"/>
  <c r="F72" i="66" s="1"/>
  <c r="F79" i="66" s="1"/>
  <c r="H28" i="104"/>
  <c r="Q20" i="18"/>
  <c r="R20" i="18" s="1"/>
  <c r="Q74" i="66" s="1"/>
  <c r="O31" i="18"/>
  <c r="P31" i="18" s="1"/>
  <c r="P97" i="15"/>
  <c r="N36" i="22"/>
  <c r="N49" i="22" s="1"/>
  <c r="M11" i="104"/>
  <c r="N11" i="104" s="1"/>
  <c r="X64" i="51"/>
  <c r="S28" i="5"/>
  <c r="M102" i="129" s="1"/>
  <c r="Q51" i="104"/>
  <c r="R51" i="104" s="1"/>
  <c r="M51" i="104"/>
  <c r="N51" i="104" s="1"/>
  <c r="Y61" i="6"/>
  <c r="AB61" i="6"/>
  <c r="AG61" i="6"/>
  <c r="D54" i="104"/>
  <c r="T29" i="66"/>
  <c r="T263" i="66" s="1"/>
  <c r="T266" i="66" s="1"/>
  <c r="C35" i="129"/>
  <c r="M38" i="104"/>
  <c r="N38" i="104" s="1"/>
  <c r="J38" i="104"/>
  <c r="Q38" i="104" s="1"/>
  <c r="R38" i="104" s="1"/>
  <c r="F23" i="104"/>
  <c r="Q23" i="104" s="1"/>
  <c r="R23" i="104" s="1"/>
  <c r="K23" i="104"/>
  <c r="L23" i="104" s="1"/>
  <c r="Q12" i="104"/>
  <c r="R12" i="104" s="1"/>
  <c r="F41" i="104"/>
  <c r="E43" i="104"/>
  <c r="E54" i="104"/>
  <c r="F53" i="104"/>
  <c r="AP64" i="51"/>
  <c r="F66" i="26"/>
  <c r="G18" i="66" s="1"/>
  <c r="J17" i="104"/>
  <c r="Q17" i="104" s="1"/>
  <c r="R17" i="104" s="1"/>
  <c r="M17" i="104"/>
  <c r="N17" i="104" s="1"/>
  <c r="I10" i="2"/>
  <c r="I28" i="2" s="1"/>
  <c r="G25" i="2"/>
  <c r="I43" i="104"/>
  <c r="O41" i="104"/>
  <c r="J41" i="104"/>
  <c r="G29" i="104"/>
  <c r="I95" i="66" l="1"/>
  <c r="Q75" i="66"/>
  <c r="Q28" i="22"/>
  <c r="R28" i="22" s="1"/>
  <c r="R20" i="23"/>
  <c r="Q21" i="23"/>
  <c r="R21" i="23" s="1"/>
  <c r="D66" i="129"/>
  <c r="O77" i="24"/>
  <c r="P77" i="24"/>
  <c r="O51" i="93"/>
  <c r="P51" i="93"/>
  <c r="E36" i="129"/>
  <c r="Q64" i="51"/>
  <c r="S145" i="66"/>
  <c r="D16" i="167" s="1"/>
  <c r="P145" i="66"/>
  <c r="P257" i="66" s="1"/>
  <c r="Q145" i="66"/>
  <c r="Q257" i="66" s="1"/>
  <c r="R257" i="66"/>
  <c r="C71" i="179"/>
  <c r="O259" i="66"/>
  <c r="O264" i="66" s="1"/>
  <c r="O266" i="66" s="1"/>
  <c r="M78" i="26"/>
  <c r="K78" i="26"/>
  <c r="D9" i="137"/>
  <c r="D67" i="137"/>
  <c r="P40" i="60"/>
  <c r="D59" i="137" s="1"/>
  <c r="S68" i="43"/>
  <c r="P62" i="11"/>
  <c r="D102" i="137" s="1"/>
  <c r="P61" i="11"/>
  <c r="D101" i="137" s="1"/>
  <c r="P84" i="43"/>
  <c r="X29" i="6"/>
  <c r="Q14" i="6"/>
  <c r="Q29" i="6" s="1"/>
  <c r="X56" i="6"/>
  <c r="X61" i="6" s="1"/>
  <c r="Q38" i="6"/>
  <c r="Q56" i="6" s="1"/>
  <c r="Q73" i="51"/>
  <c r="AY29" i="6"/>
  <c r="E24" i="129"/>
  <c r="R30" i="93"/>
  <c r="M17" i="129"/>
  <c r="N17" i="129" s="1"/>
  <c r="O17" i="129" s="1"/>
  <c r="R47" i="66"/>
  <c r="M65" i="129"/>
  <c r="N65" i="129" s="1"/>
  <c r="O65" i="129" s="1"/>
  <c r="R93" i="66"/>
  <c r="L42" i="129"/>
  <c r="C90" i="143"/>
  <c r="C87" i="143"/>
  <c r="C88" i="143" s="1"/>
  <c r="M44" i="129"/>
  <c r="N44" i="129" s="1"/>
  <c r="O44" i="129" s="1"/>
  <c r="R77" i="66"/>
  <c r="Q24" i="56"/>
  <c r="R24" i="56"/>
  <c r="AY30" i="6"/>
  <c r="AT61" i="6"/>
  <c r="M104" i="129"/>
  <c r="N104" i="129" s="1"/>
  <c r="O104" i="129" s="1"/>
  <c r="N102" i="129"/>
  <c r="O102" i="129" s="1"/>
  <c r="Q8" i="30"/>
  <c r="M77" i="129"/>
  <c r="N77" i="129" s="1"/>
  <c r="O77" i="129" s="1"/>
  <c r="P75" i="66"/>
  <c r="P74" i="66"/>
  <c r="L41" i="129"/>
  <c r="D47" i="137"/>
  <c r="B9" i="167"/>
  <c r="D9" i="167" s="1"/>
  <c r="T9" i="167" s="1"/>
  <c r="B30" i="160"/>
  <c r="J106" i="129"/>
  <c r="D48" i="137"/>
  <c r="C10" i="107"/>
  <c r="C28" i="107" s="1"/>
  <c r="D28" i="107" s="1"/>
  <c r="Q9" i="24"/>
  <c r="D113" i="137"/>
  <c r="P55" i="38"/>
  <c r="D99" i="137"/>
  <c r="J51" i="148"/>
  <c r="J79" i="148" s="1"/>
  <c r="J80" i="148" s="1"/>
  <c r="J82" i="148" s="1"/>
  <c r="P36" i="60"/>
  <c r="D55" i="137" s="1"/>
  <c r="P56" i="11"/>
  <c r="D97" i="137" s="1"/>
  <c r="D114" i="137"/>
  <c r="D50" i="137"/>
  <c r="Q10" i="43"/>
  <c r="P39" i="60"/>
  <c r="D58" i="137" s="1"/>
  <c r="P39" i="49"/>
  <c r="P50" i="8"/>
  <c r="P43" i="35"/>
  <c r="D21" i="137" s="1"/>
  <c r="AJ51" i="148"/>
  <c r="AJ79" i="148" s="1"/>
  <c r="AJ80" i="148" s="1"/>
  <c r="AJ82" i="148" s="1"/>
  <c r="D141" i="141"/>
  <c r="D170" i="141"/>
  <c r="D171" i="141"/>
  <c r="E68" i="143"/>
  <c r="E88" i="143" s="1"/>
  <c r="AY33" i="51"/>
  <c r="R114" i="66"/>
  <c r="L104" i="129"/>
  <c r="C31" i="143"/>
  <c r="S71" i="43"/>
  <c r="D35" i="137" s="1"/>
  <c r="S72" i="43"/>
  <c r="D36" i="137" s="1"/>
  <c r="S70" i="43"/>
  <c r="S81" i="43"/>
  <c r="D45" i="137" s="1"/>
  <c r="S77" i="43"/>
  <c r="D41" i="137" s="1"/>
  <c r="S82" i="43"/>
  <c r="D46" i="137" s="1"/>
  <c r="S78" i="43"/>
  <c r="D42" i="137" s="1"/>
  <c r="D15" i="66"/>
  <c r="D29" i="66" s="1"/>
  <c r="C95" i="66"/>
  <c r="H79" i="129"/>
  <c r="F97" i="141"/>
  <c r="F130" i="141"/>
  <c r="F129" i="141"/>
  <c r="F128" i="141"/>
  <c r="B119" i="141"/>
  <c r="B151" i="141"/>
  <c r="B150" i="141"/>
  <c r="B149" i="141"/>
  <c r="K107" i="141"/>
  <c r="K108" i="141"/>
  <c r="K106" i="141"/>
  <c r="K75" i="141"/>
  <c r="K53" i="141" s="1"/>
  <c r="K31" i="141" s="1"/>
  <c r="L97" i="141"/>
  <c r="D8" i="137"/>
  <c r="G76" i="141"/>
  <c r="G54" i="141" s="1"/>
  <c r="G99" i="141"/>
  <c r="D68" i="137"/>
  <c r="I76" i="141"/>
  <c r="I54" i="141" s="1"/>
  <c r="I99" i="141"/>
  <c r="H76" i="141"/>
  <c r="H54" i="141" s="1"/>
  <c r="H99" i="141"/>
  <c r="E119" i="141"/>
  <c r="E151" i="141"/>
  <c r="E150" i="141"/>
  <c r="E149" i="141"/>
  <c r="C107" i="141"/>
  <c r="C106" i="141"/>
  <c r="C75" i="141"/>
  <c r="C53" i="141" s="1"/>
  <c r="C31" i="141" s="1"/>
  <c r="C108" i="141"/>
  <c r="I108" i="141"/>
  <c r="I107" i="141"/>
  <c r="I106" i="141"/>
  <c r="I75" i="141"/>
  <c r="I53" i="141" s="1"/>
  <c r="I31" i="141" s="1"/>
  <c r="J76" i="141"/>
  <c r="J54" i="141" s="1"/>
  <c r="J99" i="141"/>
  <c r="G75" i="141"/>
  <c r="G53" i="141" s="1"/>
  <c r="G31" i="141" s="1"/>
  <c r="G106" i="141"/>
  <c r="G107" i="141"/>
  <c r="G108" i="141"/>
  <c r="K76" i="141"/>
  <c r="K54" i="141" s="1"/>
  <c r="L98" i="141"/>
  <c r="K99" i="141"/>
  <c r="S144" i="66"/>
  <c r="B17" i="167"/>
  <c r="J97" i="141"/>
  <c r="J129" i="141"/>
  <c r="J130" i="141"/>
  <c r="J128" i="141"/>
  <c r="H106" i="129"/>
  <c r="H108" i="141"/>
  <c r="H107" i="141"/>
  <c r="H75" i="141"/>
  <c r="H53" i="141" s="1"/>
  <c r="H31" i="141" s="1"/>
  <c r="H106" i="141"/>
  <c r="D43" i="104"/>
  <c r="D56" i="104" s="1"/>
  <c r="D39" i="129"/>
  <c r="D45" i="129" s="1"/>
  <c r="O49" i="22"/>
  <c r="P49" i="22" s="1"/>
  <c r="C36" i="129"/>
  <c r="D36" i="129"/>
  <c r="O33" i="23"/>
  <c r="P33" i="23" s="1"/>
  <c r="O43" i="56"/>
  <c r="P43" i="56" s="1"/>
  <c r="D24" i="129"/>
  <c r="S30" i="93"/>
  <c r="M77" i="169" s="1"/>
  <c r="C24" i="129"/>
  <c r="I79" i="66"/>
  <c r="I69" i="66"/>
  <c r="O49" i="93"/>
  <c r="P49" i="93" s="1"/>
  <c r="O36" i="22"/>
  <c r="P36" i="22" s="1"/>
  <c r="O32" i="56"/>
  <c r="P32" i="56" s="1"/>
  <c r="F87" i="66"/>
  <c r="F109" i="66" s="1"/>
  <c r="F134" i="66" s="1"/>
  <c r="O55" i="35"/>
  <c r="P55" i="35" s="1"/>
  <c r="O26" i="23"/>
  <c r="P26" i="23" s="1"/>
  <c r="D72" i="26"/>
  <c r="D79" i="26" s="1"/>
  <c r="D92" i="26" s="1"/>
  <c r="E15" i="66"/>
  <c r="E29" i="66" s="1"/>
  <c r="I15" i="66"/>
  <c r="D25" i="136"/>
  <c r="E25" i="136" s="1"/>
  <c r="B59" i="160"/>
  <c r="D106" i="129"/>
  <c r="C106" i="129"/>
  <c r="D118" i="66"/>
  <c r="C69" i="66"/>
  <c r="C118" i="66"/>
  <c r="M27" i="104"/>
  <c r="N27" i="104" s="1"/>
  <c r="D69" i="66"/>
  <c r="D79" i="66"/>
  <c r="F72" i="26"/>
  <c r="D55" i="66"/>
  <c r="I55" i="66"/>
  <c r="I118" i="66"/>
  <c r="S146" i="66"/>
  <c r="C112" i="143"/>
  <c r="E72" i="66"/>
  <c r="E79" i="66" s="1"/>
  <c r="C72" i="66"/>
  <c r="C79" i="66" s="1"/>
  <c r="C39" i="129"/>
  <c r="C45" i="129" s="1"/>
  <c r="L77" i="129"/>
  <c r="F52" i="104"/>
  <c r="F54" i="104" s="1"/>
  <c r="S75" i="43"/>
  <c r="D39" i="137" s="1"/>
  <c r="S20" i="23"/>
  <c r="S20" i="18"/>
  <c r="J28" i="104"/>
  <c r="Q28" i="104" s="1"/>
  <c r="R28" i="104" s="1"/>
  <c r="M28" i="104"/>
  <c r="N28" i="104" s="1"/>
  <c r="G30" i="2"/>
  <c r="G32" i="2" s="1"/>
  <c r="L15" i="66"/>
  <c r="E56" i="104"/>
  <c r="F43" i="104"/>
  <c r="Q41" i="104"/>
  <c r="R41" i="104" s="1"/>
  <c r="C111" i="143"/>
  <c r="I25" i="2"/>
  <c r="O43" i="104"/>
  <c r="P41" i="104"/>
  <c r="J29" i="104"/>
  <c r="Q29" i="104" s="1"/>
  <c r="R29" i="104" s="1"/>
  <c r="K29" i="104"/>
  <c r="L29" i="104" s="1"/>
  <c r="D25" i="137" l="1"/>
  <c r="AA55" i="38"/>
  <c r="R64" i="51"/>
  <c r="Q98" i="66" s="1"/>
  <c r="Q65" i="51"/>
  <c r="R65" i="51" s="1"/>
  <c r="S64" i="51"/>
  <c r="L69" i="129"/>
  <c r="H39" i="104"/>
  <c r="P98" i="66"/>
  <c r="C57" i="179" s="1"/>
  <c r="D57" i="179" s="1"/>
  <c r="S24" i="56"/>
  <c r="Q25" i="56"/>
  <c r="R25" i="56" s="1"/>
  <c r="D32" i="137"/>
  <c r="Q10" i="11"/>
  <c r="N77" i="11" s="1"/>
  <c r="O77" i="11" s="1"/>
  <c r="P77" i="11" s="1"/>
  <c r="S257" i="66"/>
  <c r="K55" i="141"/>
  <c r="K32" i="141"/>
  <c r="G55" i="141"/>
  <c r="G32" i="141"/>
  <c r="H55" i="141"/>
  <c r="H32" i="141"/>
  <c r="J55" i="141"/>
  <c r="J32" i="141"/>
  <c r="I55" i="141"/>
  <c r="I32" i="141"/>
  <c r="D10" i="107"/>
  <c r="Q61" i="6"/>
  <c r="M69" i="129"/>
  <c r="N69" i="129" s="1"/>
  <c r="O69" i="129" s="1"/>
  <c r="R98" i="66"/>
  <c r="N93" i="43"/>
  <c r="O93" i="43" s="1"/>
  <c r="P93" i="43" s="1"/>
  <c r="M41" i="129"/>
  <c r="N41" i="129" s="1"/>
  <c r="O41" i="129" s="1"/>
  <c r="R74" i="66"/>
  <c r="D90" i="137"/>
  <c r="Q8" i="60"/>
  <c r="R19" i="60" s="1"/>
  <c r="D34" i="137"/>
  <c r="S84" i="43"/>
  <c r="D119" i="141"/>
  <c r="D151" i="141"/>
  <c r="D150" i="141"/>
  <c r="D149" i="141"/>
  <c r="I63" i="141"/>
  <c r="I62" i="141"/>
  <c r="I64" i="141"/>
  <c r="Q16" i="24"/>
  <c r="N76" i="24"/>
  <c r="G62" i="141"/>
  <c r="G64" i="141"/>
  <c r="G63" i="141"/>
  <c r="C63" i="141"/>
  <c r="C62" i="141"/>
  <c r="C64" i="141"/>
  <c r="H64" i="141"/>
  <c r="H63" i="141"/>
  <c r="H62" i="141"/>
  <c r="K64" i="141"/>
  <c r="K63" i="141"/>
  <c r="K62" i="141"/>
  <c r="Q10" i="49"/>
  <c r="N47" i="49" s="1"/>
  <c r="O47" i="49" s="1"/>
  <c r="P47" i="49" s="1"/>
  <c r="D110" i="137"/>
  <c r="D17" i="167"/>
  <c r="G85" i="141"/>
  <c r="G86" i="141"/>
  <c r="G84" i="141"/>
  <c r="E129" i="141"/>
  <c r="E97" i="141"/>
  <c r="E130" i="141"/>
  <c r="E128" i="141"/>
  <c r="G77" i="141"/>
  <c r="N50" i="30"/>
  <c r="Q19" i="30"/>
  <c r="J77" i="141"/>
  <c r="C85" i="141"/>
  <c r="C84" i="141"/>
  <c r="C86" i="141"/>
  <c r="L99" i="141"/>
  <c r="L76" i="141"/>
  <c r="L54" i="141" s="1"/>
  <c r="I85" i="141"/>
  <c r="I86" i="141"/>
  <c r="I84" i="141"/>
  <c r="L107" i="141"/>
  <c r="L108" i="141"/>
  <c r="L75" i="141"/>
  <c r="L53" i="141" s="1"/>
  <c r="L31" i="141" s="1"/>
  <c r="L106" i="141"/>
  <c r="B129" i="141"/>
  <c r="B130" i="141"/>
  <c r="B128" i="141"/>
  <c r="K77" i="141"/>
  <c r="K85" i="141"/>
  <c r="K86" i="141"/>
  <c r="K84" i="141"/>
  <c r="H77" i="141"/>
  <c r="H85" i="141"/>
  <c r="H84" i="141"/>
  <c r="H86" i="141"/>
  <c r="J107" i="141"/>
  <c r="J106" i="141"/>
  <c r="J108" i="141"/>
  <c r="J75" i="141"/>
  <c r="J53" i="141" s="1"/>
  <c r="J31" i="141" s="1"/>
  <c r="I77" i="141"/>
  <c r="Q9" i="8"/>
  <c r="F75" i="141"/>
  <c r="F53" i="141" s="1"/>
  <c r="F31" i="141" s="1"/>
  <c r="F106" i="141"/>
  <c r="F107" i="141"/>
  <c r="F108" i="141"/>
  <c r="M78" i="169"/>
  <c r="N77" i="169"/>
  <c r="N78" i="169" s="1"/>
  <c r="M11" i="26"/>
  <c r="M20" i="169"/>
  <c r="B60" i="160"/>
  <c r="M71" i="26"/>
  <c r="D87" i="66"/>
  <c r="D109" i="66" s="1"/>
  <c r="D134" i="66" s="1"/>
  <c r="C87" i="66"/>
  <c r="C109" i="66" s="1"/>
  <c r="C134" i="66" s="1"/>
  <c r="E87" i="66"/>
  <c r="E109" i="66" s="1"/>
  <c r="E134" i="66" s="1"/>
  <c r="J16" i="26"/>
  <c r="A70" i="24"/>
  <c r="J72" i="26"/>
  <c r="I109" i="66"/>
  <c r="D26" i="136"/>
  <c r="E26" i="136" s="1"/>
  <c r="C113" i="143"/>
  <c r="C118" i="143" s="1"/>
  <c r="F8" i="26"/>
  <c r="F56" i="104"/>
  <c r="I30" i="2"/>
  <c r="I32" i="2" s="1"/>
  <c r="J39" i="104"/>
  <c r="Q39" i="104" s="1"/>
  <c r="R39" i="104" s="1"/>
  <c r="M39" i="104"/>
  <c r="H43" i="104"/>
  <c r="P43" i="104"/>
  <c r="O76" i="24" l="1"/>
  <c r="Q14" i="171"/>
  <c r="Q18" i="171" s="1"/>
  <c r="N83" i="24"/>
  <c r="H33" i="141"/>
  <c r="I33" i="141"/>
  <c r="J33" i="141"/>
  <c r="G33" i="141"/>
  <c r="K33" i="141"/>
  <c r="L55" i="141"/>
  <c r="L32" i="141"/>
  <c r="R61" i="6"/>
  <c r="Q115" i="66" s="1"/>
  <c r="L93" i="129"/>
  <c r="H52" i="104"/>
  <c r="S61" i="6"/>
  <c r="M93" i="129" s="1"/>
  <c r="N93" i="129" s="1"/>
  <c r="O93" i="129" s="1"/>
  <c r="N27" i="144"/>
  <c r="P115" i="66"/>
  <c r="R115" i="66" s="1"/>
  <c r="C98" i="143"/>
  <c r="C9" i="179"/>
  <c r="C72" i="179"/>
  <c r="C84" i="179" s="1"/>
  <c r="D84" i="179" s="1"/>
  <c r="R22" i="8"/>
  <c r="N46" i="60"/>
  <c r="O46" i="60" s="1"/>
  <c r="P46" i="60" s="1"/>
  <c r="Q19" i="60"/>
  <c r="Q26" i="60" s="1"/>
  <c r="Q27" i="60" s="1"/>
  <c r="R27" i="60" s="1"/>
  <c r="B7" i="167"/>
  <c r="D49" i="137"/>
  <c r="C42" i="141"/>
  <c r="C41" i="141"/>
  <c r="C40" i="141"/>
  <c r="J62" i="141"/>
  <c r="J63" i="141"/>
  <c r="J64" i="141"/>
  <c r="I40" i="141"/>
  <c r="I41" i="141"/>
  <c r="I42" i="141"/>
  <c r="G45" i="104"/>
  <c r="G48" i="104" s="1"/>
  <c r="H41" i="141"/>
  <c r="H40" i="141"/>
  <c r="H42" i="141"/>
  <c r="F64" i="141"/>
  <c r="F63" i="141"/>
  <c r="F62" i="141"/>
  <c r="L62" i="141"/>
  <c r="L63" i="141"/>
  <c r="L64" i="141"/>
  <c r="K42" i="141"/>
  <c r="K41" i="141"/>
  <c r="K40" i="141"/>
  <c r="G41" i="141"/>
  <c r="G40" i="141"/>
  <c r="G42" i="141"/>
  <c r="D97" i="141"/>
  <c r="D130" i="141"/>
  <c r="D128" i="141"/>
  <c r="D129" i="141"/>
  <c r="M13" i="26"/>
  <c r="M16" i="26" s="1"/>
  <c r="B15" i="133"/>
  <c r="F85" i="141"/>
  <c r="F86" i="141"/>
  <c r="F84" i="141"/>
  <c r="L85" i="141"/>
  <c r="L84" i="141"/>
  <c r="L86" i="141"/>
  <c r="O50" i="30"/>
  <c r="P50" i="30" s="1"/>
  <c r="N71" i="30"/>
  <c r="O71" i="30" s="1"/>
  <c r="P71" i="30" s="1"/>
  <c r="J85" i="141"/>
  <c r="J86" i="141"/>
  <c r="J84" i="141"/>
  <c r="E107" i="141"/>
  <c r="E75" i="141"/>
  <c r="E53" i="141" s="1"/>
  <c r="E31" i="141" s="1"/>
  <c r="E106" i="141"/>
  <c r="E108" i="141"/>
  <c r="L77" i="141"/>
  <c r="G5" i="104"/>
  <c r="Q36" i="30"/>
  <c r="Q37" i="30" s="1"/>
  <c r="R37" i="30" s="1"/>
  <c r="N20" i="169"/>
  <c r="N22" i="169" s="1"/>
  <c r="N25" i="169" s="1"/>
  <c r="P15" i="66"/>
  <c r="L6" i="66"/>
  <c r="I134" i="66"/>
  <c r="I259" i="66" s="1"/>
  <c r="I264" i="66" s="1"/>
  <c r="D23" i="136"/>
  <c r="E23" i="136" s="1"/>
  <c r="B57" i="160"/>
  <c r="C32" i="136"/>
  <c r="C114" i="143"/>
  <c r="F9" i="26"/>
  <c r="U259" i="66"/>
  <c r="U264" i="66" s="1"/>
  <c r="C120" i="143"/>
  <c r="C121" i="143" s="1"/>
  <c r="N39" i="104"/>
  <c r="M43" i="104"/>
  <c r="H13" i="26"/>
  <c r="H16" i="26" s="1"/>
  <c r="F13" i="26" l="1"/>
  <c r="F16" i="26" s="1"/>
  <c r="G5" i="26"/>
  <c r="R18" i="171"/>
  <c r="Q123" i="66" s="1"/>
  <c r="Q19" i="171"/>
  <c r="R19" i="171" s="1"/>
  <c r="N33" i="171"/>
  <c r="P76" i="24"/>
  <c r="O83" i="24"/>
  <c r="P83" i="24"/>
  <c r="N61" i="60"/>
  <c r="O61" i="60" s="1"/>
  <c r="P61" i="60" s="1"/>
  <c r="L33" i="141"/>
  <c r="M52" i="104"/>
  <c r="N52" i="104" s="1"/>
  <c r="J52" i="104"/>
  <c r="Q52" i="104" s="1"/>
  <c r="R52" i="104" s="1"/>
  <c r="D9" i="179"/>
  <c r="D11" i="179" s="1"/>
  <c r="D14" i="179" s="1"/>
  <c r="D49" i="179" s="1"/>
  <c r="D86" i="179" s="1"/>
  <c r="C11" i="179"/>
  <c r="C14" i="179" s="1"/>
  <c r="C49" i="179" s="1"/>
  <c r="C86" i="179" s="1"/>
  <c r="G20" i="104"/>
  <c r="J20" i="104" s="1"/>
  <c r="Q20" i="104" s="1"/>
  <c r="R20" i="104" s="1"/>
  <c r="L29" i="129"/>
  <c r="R26" i="60"/>
  <c r="Q60" i="66" s="1"/>
  <c r="L10" i="129"/>
  <c r="R36" i="30"/>
  <c r="Q39" i="66" s="1"/>
  <c r="Q15" i="66"/>
  <c r="O33" i="171"/>
  <c r="P33" i="171" s="1"/>
  <c r="N36" i="171"/>
  <c r="O36" i="171" s="1"/>
  <c r="P36" i="171" s="1"/>
  <c r="S18" i="171"/>
  <c r="P123" i="66"/>
  <c r="L119" i="129"/>
  <c r="I47" i="104"/>
  <c r="F41" i="141"/>
  <c r="F42" i="141"/>
  <c r="F40" i="141"/>
  <c r="J40" i="141"/>
  <c r="J42" i="141"/>
  <c r="J41" i="141"/>
  <c r="D106" i="141"/>
  <c r="D108" i="141"/>
  <c r="D107" i="141"/>
  <c r="D75" i="141"/>
  <c r="E64" i="141"/>
  <c r="E63" i="141"/>
  <c r="E62" i="141"/>
  <c r="L40" i="141"/>
  <c r="L42" i="141"/>
  <c r="L41" i="141"/>
  <c r="K45" i="104"/>
  <c r="P69" i="43"/>
  <c r="Q9" i="43" s="1"/>
  <c r="P57" i="38"/>
  <c r="D89" i="137"/>
  <c r="D96" i="137"/>
  <c r="Q9" i="11"/>
  <c r="P71" i="11"/>
  <c r="P60" i="66"/>
  <c r="S26" i="60"/>
  <c r="D19" i="137"/>
  <c r="Q9" i="35"/>
  <c r="P6" i="66"/>
  <c r="P32" i="9"/>
  <c r="P39" i="66"/>
  <c r="S36" i="30"/>
  <c r="D28" i="137"/>
  <c r="Q9" i="40"/>
  <c r="E85" i="141"/>
  <c r="E84" i="141"/>
  <c r="E86" i="141"/>
  <c r="K5" i="104"/>
  <c r="L5" i="104" s="1"/>
  <c r="J5" i="104"/>
  <c r="Q5" i="104" s="1"/>
  <c r="R5" i="104" s="1"/>
  <c r="D63" i="137"/>
  <c r="Q9" i="44"/>
  <c r="P71" i="15"/>
  <c r="Q9" i="17" s="1"/>
  <c r="C97" i="143"/>
  <c r="B14" i="133"/>
  <c r="B16" i="133" s="1"/>
  <c r="B3" i="160"/>
  <c r="Q78" i="51"/>
  <c r="Q79" i="51" s="1"/>
  <c r="Q74" i="51"/>
  <c r="Q75" i="51" s="1"/>
  <c r="R15" i="66"/>
  <c r="D31" i="136"/>
  <c r="E31" i="136" s="1"/>
  <c r="B28" i="160"/>
  <c r="I6" i="66"/>
  <c r="F29" i="66"/>
  <c r="G6" i="66"/>
  <c r="G29" i="66" s="1"/>
  <c r="F79" i="26"/>
  <c r="F92" i="26" s="1"/>
  <c r="N43" i="104"/>
  <c r="Q9" i="38" l="1"/>
  <c r="Z58" i="38"/>
  <c r="Z60" i="38" s="1"/>
  <c r="K20" i="104"/>
  <c r="L20" i="104" s="1"/>
  <c r="M29" i="129"/>
  <c r="N29" i="129" s="1"/>
  <c r="O29" i="129" s="1"/>
  <c r="R60" i="66"/>
  <c r="M10" i="129"/>
  <c r="N10" i="129" s="1"/>
  <c r="O10" i="129" s="1"/>
  <c r="R39" i="66"/>
  <c r="R6" i="66"/>
  <c r="Q6" i="66"/>
  <c r="N46" i="40"/>
  <c r="O46" i="40" s="1"/>
  <c r="P46" i="40" s="1"/>
  <c r="Q13" i="40"/>
  <c r="J47" i="104"/>
  <c r="Q47" i="104" s="1"/>
  <c r="R47" i="104" s="1"/>
  <c r="I48" i="104"/>
  <c r="O47" i="104"/>
  <c r="M119" i="129"/>
  <c r="N119" i="129" s="1"/>
  <c r="O119" i="129" s="1"/>
  <c r="R123" i="66"/>
  <c r="M63" i="169"/>
  <c r="L45" i="104"/>
  <c r="L48" i="104" s="1"/>
  <c r="K48" i="104"/>
  <c r="E41" i="141"/>
  <c r="E42" i="141"/>
  <c r="E40" i="141"/>
  <c r="D53" i="141"/>
  <c r="D31" i="141" s="1"/>
  <c r="D85" i="141"/>
  <c r="D84" i="141"/>
  <c r="D86" i="141"/>
  <c r="D69" i="137"/>
  <c r="P95" i="15"/>
  <c r="P98" i="15" s="1"/>
  <c r="D24" i="137"/>
  <c r="D93" i="137"/>
  <c r="Q9" i="9"/>
  <c r="D12" i="137"/>
  <c r="Q9" i="33"/>
  <c r="N76" i="11"/>
  <c r="Q16" i="11"/>
  <c r="D15" i="137"/>
  <c r="P51" i="34"/>
  <c r="Q8" i="34" s="1"/>
  <c r="Q20" i="44"/>
  <c r="N49" i="44"/>
  <c r="S69" i="43"/>
  <c r="S87" i="43" s="1"/>
  <c r="Q14" i="43" s="1"/>
  <c r="D109" i="137"/>
  <c r="Q9" i="49"/>
  <c r="N58" i="8"/>
  <c r="Q22" i="8"/>
  <c r="N54" i="35"/>
  <c r="Q16" i="35"/>
  <c r="U15" i="66"/>
  <c r="G7" i="167" s="1"/>
  <c r="D10" i="136"/>
  <c r="E10" i="136" s="1"/>
  <c r="H31" i="136"/>
  <c r="H72" i="26"/>
  <c r="R16" i="17" l="1"/>
  <c r="R55" i="17" s="1"/>
  <c r="R9" i="15"/>
  <c r="P47" i="104"/>
  <c r="P48" i="104" s="1"/>
  <c r="O48" i="104"/>
  <c r="D8" i="173"/>
  <c r="D42" i="141"/>
  <c r="D40" i="141"/>
  <c r="D41" i="141"/>
  <c r="D63" i="141"/>
  <c r="D62" i="141"/>
  <c r="D64" i="141"/>
  <c r="N46" i="49"/>
  <c r="Q13" i="49"/>
  <c r="S20" i="44"/>
  <c r="S35" i="44" s="1"/>
  <c r="G21" i="104"/>
  <c r="Q35" i="44"/>
  <c r="Q36" i="44" s="1"/>
  <c r="R36" i="44" s="1"/>
  <c r="N57" i="34"/>
  <c r="Q16" i="34"/>
  <c r="N38" i="9"/>
  <c r="Q11" i="9"/>
  <c r="Q33" i="35"/>
  <c r="Q34" i="35" s="1"/>
  <c r="R34" i="35" s="1"/>
  <c r="G10" i="104"/>
  <c r="N92" i="43"/>
  <c r="O54" i="35"/>
  <c r="P54" i="35" s="1"/>
  <c r="N75" i="35"/>
  <c r="O75" i="35" s="1"/>
  <c r="P75" i="35" s="1"/>
  <c r="D33" i="137"/>
  <c r="G35" i="104"/>
  <c r="Q46" i="11"/>
  <c r="Q47" i="11" s="1"/>
  <c r="R47" i="11" s="1"/>
  <c r="N62" i="38"/>
  <c r="O76" i="11"/>
  <c r="P76" i="11" s="1"/>
  <c r="J106" i="11"/>
  <c r="M106" i="11" s="1"/>
  <c r="N38" i="33"/>
  <c r="Q11" i="33"/>
  <c r="G32" i="104"/>
  <c r="Q41" i="8"/>
  <c r="Q9" i="15"/>
  <c r="N63" i="17"/>
  <c r="N103" i="17" s="1"/>
  <c r="Q16" i="17"/>
  <c r="Q55" i="17" s="1"/>
  <c r="O58" i="8"/>
  <c r="P58" i="8" s="1"/>
  <c r="N85" i="8"/>
  <c r="N69" i="44"/>
  <c r="O69" i="44" s="1"/>
  <c r="P69" i="44" s="1"/>
  <c r="O49" i="44"/>
  <c r="P49" i="44" s="1"/>
  <c r="D7" i="167"/>
  <c r="T7" i="167" s="1"/>
  <c r="G12" i="167"/>
  <c r="U29" i="66"/>
  <c r="U263" i="66" s="1"/>
  <c r="U266" i="66" s="1"/>
  <c r="M48" i="26"/>
  <c r="D6" i="136"/>
  <c r="E6" i="136" s="1"/>
  <c r="S6" i="66"/>
  <c r="R41" i="8" l="1"/>
  <c r="Q83" i="66" s="1"/>
  <c r="Q42" i="8"/>
  <c r="R42" i="8" s="1"/>
  <c r="S55" i="17"/>
  <c r="Q56" i="17"/>
  <c r="R56" i="17" s="1"/>
  <c r="P106" i="11"/>
  <c r="N106" i="11"/>
  <c r="L62" i="129"/>
  <c r="R46" i="11"/>
  <c r="Q90" i="66" s="1"/>
  <c r="L15" i="129"/>
  <c r="R33" i="35"/>
  <c r="Q45" i="66" s="1"/>
  <c r="M30" i="129"/>
  <c r="N30" i="129" s="1"/>
  <c r="O30" i="129" s="1"/>
  <c r="R61" i="66"/>
  <c r="L30" i="129"/>
  <c r="R35" i="44"/>
  <c r="Q61" i="66" s="1"/>
  <c r="Q17" i="15"/>
  <c r="D118" i="137"/>
  <c r="P84" i="12"/>
  <c r="Q9" i="12"/>
  <c r="N55" i="169"/>
  <c r="N57" i="169" s="1"/>
  <c r="D9" i="173"/>
  <c r="S41" i="8"/>
  <c r="L56" i="129"/>
  <c r="O92" i="43"/>
  <c r="P92" i="43" s="1"/>
  <c r="O85" i="8"/>
  <c r="P85" i="8" s="1"/>
  <c r="Q28" i="43"/>
  <c r="P83" i="66"/>
  <c r="N52" i="9"/>
  <c r="O52" i="9" s="1"/>
  <c r="P52" i="9" s="1"/>
  <c r="O38" i="9"/>
  <c r="P38" i="9" s="1"/>
  <c r="J32" i="104"/>
  <c r="Q32" i="104" s="1"/>
  <c r="R32" i="104" s="1"/>
  <c r="K32" i="104"/>
  <c r="L32" i="104" s="1"/>
  <c r="N85" i="38"/>
  <c r="O85" i="38" s="1"/>
  <c r="P85" i="38" s="1"/>
  <c r="O62" i="38"/>
  <c r="P62" i="38" s="1"/>
  <c r="G9" i="104"/>
  <c r="Q42" i="34"/>
  <c r="Q43" i="34" s="1"/>
  <c r="R43" i="34" s="1"/>
  <c r="G8" i="104"/>
  <c r="Q28" i="33"/>
  <c r="Q18" i="38"/>
  <c r="N83" i="34"/>
  <c r="O83" i="34" s="1"/>
  <c r="P83" i="34" s="1"/>
  <c r="O57" i="34"/>
  <c r="P57" i="34" s="1"/>
  <c r="N54" i="33"/>
  <c r="O54" i="33" s="1"/>
  <c r="P54" i="33" s="1"/>
  <c r="O38" i="33"/>
  <c r="P38" i="33" s="1"/>
  <c r="S46" i="11"/>
  <c r="P90" i="66"/>
  <c r="P61" i="66"/>
  <c r="G13" i="167"/>
  <c r="G21" i="167"/>
  <c r="O103" i="17"/>
  <c r="P103" i="17" s="1"/>
  <c r="O63" i="17"/>
  <c r="P63" i="17" s="1"/>
  <c r="J35" i="104"/>
  <c r="Q35" i="104" s="1"/>
  <c r="R35" i="104" s="1"/>
  <c r="K35" i="104"/>
  <c r="L35" i="104" s="1"/>
  <c r="J21" i="104"/>
  <c r="Q21" i="104" s="1"/>
  <c r="R21" i="104" s="1"/>
  <c r="K21" i="104"/>
  <c r="L21" i="104" s="1"/>
  <c r="N97" i="43"/>
  <c r="J10" i="104"/>
  <c r="Q10" i="104" s="1"/>
  <c r="R10" i="104" s="1"/>
  <c r="K10" i="104"/>
  <c r="L10" i="104" s="1"/>
  <c r="P45" i="66"/>
  <c r="C5" i="107"/>
  <c r="S33" i="35"/>
  <c r="G36" i="104"/>
  <c r="Q29" i="49"/>
  <c r="Q30" i="49" s="1"/>
  <c r="R30" i="49" s="1"/>
  <c r="M22" i="144"/>
  <c r="Q26" i="9"/>
  <c r="G33" i="104"/>
  <c r="N59" i="49"/>
  <c r="O59" i="49" s="1"/>
  <c r="P59" i="49" s="1"/>
  <c r="O46" i="49"/>
  <c r="P46" i="49" s="1"/>
  <c r="M54" i="26"/>
  <c r="B20" i="133"/>
  <c r="H48" i="26"/>
  <c r="H54" i="26" s="1"/>
  <c r="S17" i="15" l="1"/>
  <c r="R72" i="66" s="1"/>
  <c r="R79" i="66" s="1"/>
  <c r="R17" i="15"/>
  <c r="R60" i="15" s="1"/>
  <c r="Q59" i="43"/>
  <c r="R28" i="43"/>
  <c r="R59" i="43" s="1"/>
  <c r="Q58" i="66" s="1"/>
  <c r="Q69" i="66" s="1"/>
  <c r="L13" i="129"/>
  <c r="R28" i="33"/>
  <c r="Q42" i="66" s="1"/>
  <c r="Q14" i="12"/>
  <c r="R14" i="12" s="1"/>
  <c r="M56" i="129"/>
  <c r="N56" i="129" s="1"/>
  <c r="O56" i="129" s="1"/>
  <c r="R83" i="66"/>
  <c r="L63" i="129"/>
  <c r="L66" i="129" s="1"/>
  <c r="R29" i="49"/>
  <c r="Q91" i="66" s="1"/>
  <c r="Q95" i="66" s="1"/>
  <c r="Q60" i="15"/>
  <c r="G27" i="104"/>
  <c r="K27" i="104" s="1"/>
  <c r="L27" i="104" s="1"/>
  <c r="P72" i="66"/>
  <c r="P79" i="66" s="1"/>
  <c r="C54" i="179" s="1"/>
  <c r="M62" i="129"/>
  <c r="N62" i="129" s="1"/>
  <c r="O62" i="129" s="1"/>
  <c r="R90" i="66"/>
  <c r="L14" i="129"/>
  <c r="R42" i="34"/>
  <c r="Q43" i="66" s="1"/>
  <c r="L57" i="129"/>
  <c r="L59" i="129" s="1"/>
  <c r="R26" i="9"/>
  <c r="Q84" i="66" s="1"/>
  <c r="Q87" i="66" s="1"/>
  <c r="M15" i="129"/>
  <c r="N15" i="129" s="1"/>
  <c r="O15" i="129" s="1"/>
  <c r="R45" i="66"/>
  <c r="N90" i="12"/>
  <c r="C23" i="170"/>
  <c r="C28" i="170" s="1"/>
  <c r="C29" i="170" s="1"/>
  <c r="N63" i="169"/>
  <c r="N85" i="169"/>
  <c r="D10" i="173"/>
  <c r="G19" i="104"/>
  <c r="K19" i="104" s="1"/>
  <c r="L19" i="104" s="1"/>
  <c r="S28" i="43"/>
  <c r="P58" i="66"/>
  <c r="P69" i="66" s="1"/>
  <c r="C53" i="179" s="1"/>
  <c r="D53" i="179" s="1"/>
  <c r="S59" i="43"/>
  <c r="P91" i="66"/>
  <c r="P95" i="66" s="1"/>
  <c r="C56" i="179" s="1"/>
  <c r="D56" i="179" s="1"/>
  <c r="S29" i="49"/>
  <c r="G14" i="104"/>
  <c r="Q38" i="38"/>
  <c r="Q39" i="38" s="1"/>
  <c r="R39" i="38" s="1"/>
  <c r="J36" i="104"/>
  <c r="Q36" i="104" s="1"/>
  <c r="R36" i="104" s="1"/>
  <c r="K36" i="104"/>
  <c r="L36" i="104" s="1"/>
  <c r="C4" i="107"/>
  <c r="P42" i="66"/>
  <c r="S28" i="33"/>
  <c r="G46" i="167"/>
  <c r="G47" i="167" s="1"/>
  <c r="G22" i="167"/>
  <c r="J8" i="104"/>
  <c r="Q8" i="104" s="1"/>
  <c r="R8" i="104" s="1"/>
  <c r="K8" i="104"/>
  <c r="L8" i="104" s="1"/>
  <c r="S42" i="34"/>
  <c r="P43" i="66"/>
  <c r="D5" i="107"/>
  <c r="C24" i="107"/>
  <c r="D24" i="107" s="1"/>
  <c r="J33" i="104"/>
  <c r="Q33" i="104" s="1"/>
  <c r="R33" i="104" s="1"/>
  <c r="K33" i="104"/>
  <c r="L33" i="104" s="1"/>
  <c r="N138" i="43"/>
  <c r="O97" i="43"/>
  <c r="P97" i="43" s="1"/>
  <c r="J9" i="104"/>
  <c r="Q9" i="104" s="1"/>
  <c r="R9" i="104" s="1"/>
  <c r="K9" i="104"/>
  <c r="L9" i="104" s="1"/>
  <c r="P84" i="66"/>
  <c r="P87" i="66" s="1"/>
  <c r="C55" i="179" s="1"/>
  <c r="D55" i="179" s="1"/>
  <c r="S26" i="9"/>
  <c r="P8" i="66"/>
  <c r="B5" i="160"/>
  <c r="C100" i="143"/>
  <c r="J48" i="26"/>
  <c r="J79" i="26" s="1"/>
  <c r="I8" i="66"/>
  <c r="C29" i="133"/>
  <c r="C32" i="133" s="1"/>
  <c r="C33" i="133" s="1"/>
  <c r="C35" i="133" s="1"/>
  <c r="H79" i="26"/>
  <c r="C42" i="170" l="1"/>
  <c r="L39" i="129"/>
  <c r="L45" i="129" s="1"/>
  <c r="Q61" i="15"/>
  <c r="R61" i="15" s="1"/>
  <c r="L27" i="129"/>
  <c r="L36" i="129" s="1"/>
  <c r="Q60" i="43"/>
  <c r="R60" i="43" s="1"/>
  <c r="S60" i="15"/>
  <c r="M39" i="129" s="1"/>
  <c r="M13" i="129"/>
  <c r="N13" i="129" s="1"/>
  <c r="O13" i="129" s="1"/>
  <c r="R42" i="66"/>
  <c r="D54" i="179"/>
  <c r="J27" i="104"/>
  <c r="Q27" i="104" s="1"/>
  <c r="R27" i="104" s="1"/>
  <c r="M63" i="129"/>
  <c r="N63" i="129" s="1"/>
  <c r="O63" i="129" s="1"/>
  <c r="R91" i="66"/>
  <c r="R95" i="66" s="1"/>
  <c r="M27" i="129"/>
  <c r="N27" i="129" s="1"/>
  <c r="O27" i="129" s="1"/>
  <c r="R58" i="66"/>
  <c r="R69" i="66" s="1"/>
  <c r="L19" i="129"/>
  <c r="R38" i="38"/>
  <c r="Q49" i="66" s="1"/>
  <c r="M14" i="129"/>
  <c r="N14" i="129" s="1"/>
  <c r="O14" i="129" s="1"/>
  <c r="R43" i="66"/>
  <c r="M57" i="129"/>
  <c r="N57" i="129" s="1"/>
  <c r="O57" i="129" s="1"/>
  <c r="R84" i="66"/>
  <c r="R87" i="66" s="1"/>
  <c r="D3" i="167"/>
  <c r="Q8" i="66"/>
  <c r="Q14" i="4"/>
  <c r="Q15" i="4" s="1"/>
  <c r="G50" i="104"/>
  <c r="S14" i="12"/>
  <c r="O90" i="12"/>
  <c r="P90" i="12" s="1"/>
  <c r="E5" i="173"/>
  <c r="E6" i="173"/>
  <c r="E4" i="173"/>
  <c r="E7" i="173"/>
  <c r="E8" i="173"/>
  <c r="E9" i="173"/>
  <c r="J19" i="104"/>
  <c r="Q19" i="104" s="1"/>
  <c r="R19" i="104" s="1"/>
  <c r="O138" i="43"/>
  <c r="P138" i="43" s="1"/>
  <c r="D20" i="136"/>
  <c r="E20" i="136" s="1"/>
  <c r="B54" i="160"/>
  <c r="S38" i="38"/>
  <c r="P49" i="66"/>
  <c r="J14" i="104"/>
  <c r="Q14" i="104" s="1"/>
  <c r="R14" i="104" s="1"/>
  <c r="K14" i="104"/>
  <c r="L14" i="104" s="1"/>
  <c r="C23" i="107"/>
  <c r="D23" i="107" s="1"/>
  <c r="D30" i="107" s="1"/>
  <c r="Q46" i="24" s="1"/>
  <c r="N112" i="24" s="1"/>
  <c r="D4" i="107"/>
  <c r="D12" i="107" s="1"/>
  <c r="P18" i="66"/>
  <c r="B24" i="133"/>
  <c r="B27" i="133" s="1"/>
  <c r="B29" i="133" s="1"/>
  <c r="M72" i="26"/>
  <c r="M79" i="26" s="1"/>
  <c r="J54" i="26"/>
  <c r="C101" i="143"/>
  <c r="C104" i="143" s="1"/>
  <c r="D105" i="143" s="1"/>
  <c r="H92" i="26"/>
  <c r="G52" i="15"/>
  <c r="G55" i="15" s="1"/>
  <c r="G60" i="15" s="1"/>
  <c r="S118" i="66" l="1"/>
  <c r="D58" i="170"/>
  <c r="Q59" i="12"/>
  <c r="Q64" i="12" s="1"/>
  <c r="Q65" i="12" s="1"/>
  <c r="R65" i="12" s="1"/>
  <c r="Q53" i="12"/>
  <c r="N129" i="12" s="1"/>
  <c r="O129" i="12" s="1"/>
  <c r="P129" i="12" s="1"/>
  <c r="O112" i="24"/>
  <c r="N114" i="24"/>
  <c r="D33" i="133"/>
  <c r="B32" i="133" s="1"/>
  <c r="B33" i="133" s="1"/>
  <c r="B35" i="133" s="1"/>
  <c r="Q13" i="13"/>
  <c r="N39" i="129"/>
  <c r="O39" i="129" s="1"/>
  <c r="M45" i="129"/>
  <c r="N45" i="129" s="1"/>
  <c r="O45" i="129" s="1"/>
  <c r="Q72" i="66"/>
  <c r="Q79" i="66" s="1"/>
  <c r="M66" i="129"/>
  <c r="N66" i="129" s="1"/>
  <c r="O66" i="129" s="1"/>
  <c r="M36" i="129"/>
  <c r="N36" i="129" s="1"/>
  <c r="O36" i="129" s="1"/>
  <c r="N19" i="144"/>
  <c r="N33" i="144" s="1"/>
  <c r="C66" i="179"/>
  <c r="D66" i="179" s="1"/>
  <c r="M19" i="129"/>
  <c r="N19" i="129" s="1"/>
  <c r="O19" i="129" s="1"/>
  <c r="R49" i="66"/>
  <c r="M59" i="129"/>
  <c r="N59" i="129" s="1"/>
  <c r="O59" i="129" s="1"/>
  <c r="R18" i="66"/>
  <c r="V18" i="66" s="1"/>
  <c r="V29" i="66" s="1"/>
  <c r="V263" i="66" s="1"/>
  <c r="V266" i="66" s="1"/>
  <c r="Q18" i="66"/>
  <c r="K50" i="104"/>
  <c r="G54" i="104"/>
  <c r="N33" i="4"/>
  <c r="Q18" i="4"/>
  <c r="E10" i="173"/>
  <c r="Q47" i="24"/>
  <c r="Q54" i="24" s="1"/>
  <c r="Q55" i="24" s="1"/>
  <c r="R55" i="24" s="1"/>
  <c r="B9" i="160"/>
  <c r="D21" i="136"/>
  <c r="E21" i="136" s="1"/>
  <c r="D19" i="136"/>
  <c r="E19" i="136" s="1"/>
  <c r="B55" i="160"/>
  <c r="B56" i="160"/>
  <c r="D22" i="136"/>
  <c r="E22" i="136" s="1"/>
  <c r="B53" i="160"/>
  <c r="L8" i="66"/>
  <c r="R8" i="66"/>
  <c r="I29" i="66"/>
  <c r="I263" i="66" s="1"/>
  <c r="I266" i="66" s="1"/>
  <c r="F39" i="129"/>
  <c r="F45" i="129" s="1"/>
  <c r="G72" i="66"/>
  <c r="R18" i="4" l="1"/>
  <c r="Q116" i="66" s="1"/>
  <c r="Q19" i="4"/>
  <c r="R19" i="4" s="1"/>
  <c r="P112" i="24"/>
  <c r="O114" i="24"/>
  <c r="P114" i="24" s="1"/>
  <c r="N22" i="144"/>
  <c r="D9" i="136"/>
  <c r="N135" i="12"/>
  <c r="H50" i="104"/>
  <c r="R59" i="12"/>
  <c r="R64" i="12" s="1"/>
  <c r="N36" i="4"/>
  <c r="O36" i="4" s="1"/>
  <c r="P36" i="4" s="1"/>
  <c r="O33" i="4"/>
  <c r="P33" i="4" s="1"/>
  <c r="L50" i="104"/>
  <c r="K54" i="104"/>
  <c r="L54" i="104" s="1"/>
  <c r="L94" i="129"/>
  <c r="N28" i="144"/>
  <c r="S18" i="4"/>
  <c r="M94" i="129" s="1"/>
  <c r="N94" i="129" s="1"/>
  <c r="O94" i="129" s="1"/>
  <c r="P116" i="66"/>
  <c r="R116" i="66" s="1"/>
  <c r="I53" i="104"/>
  <c r="H45" i="104"/>
  <c r="Q14" i="13"/>
  <c r="T13" i="13"/>
  <c r="T14" i="13" s="1"/>
  <c r="S59" i="12"/>
  <c r="S64" i="12" s="1"/>
  <c r="S8" i="66"/>
  <c r="S29" i="66" s="1"/>
  <c r="S263" i="66" s="1"/>
  <c r="D8" i="136"/>
  <c r="G79" i="66"/>
  <c r="G87" i="66" s="1"/>
  <c r="D34" i="133"/>
  <c r="D35" i="133" s="1"/>
  <c r="Q112" i="66" l="1"/>
  <c r="Q118" i="66" s="1"/>
  <c r="D61" i="170"/>
  <c r="E61" i="170" s="1"/>
  <c r="D60" i="170"/>
  <c r="E60" i="170" s="1"/>
  <c r="A71" i="24"/>
  <c r="A72" i="24" s="1"/>
  <c r="R54" i="24"/>
  <c r="Q121" i="66" s="1"/>
  <c r="Q125" i="66" s="1"/>
  <c r="P129" i="66"/>
  <c r="R14" i="13"/>
  <c r="Q129" i="66" s="1"/>
  <c r="Q130" i="66" s="1"/>
  <c r="S69" i="12"/>
  <c r="S65" i="12"/>
  <c r="P112" i="66"/>
  <c r="I24" i="107" s="1"/>
  <c r="O53" i="104"/>
  <c r="I54" i="104"/>
  <c r="I56" i="104" s="1"/>
  <c r="J53" i="104"/>
  <c r="Q53" i="104" s="1"/>
  <c r="R53" i="104" s="1"/>
  <c r="R112" i="66"/>
  <c r="R118" i="66" s="1"/>
  <c r="M91" i="129"/>
  <c r="N91" i="129" s="1"/>
  <c r="O91" i="129" s="1"/>
  <c r="L116" i="129"/>
  <c r="L120" i="129" s="1"/>
  <c r="S54" i="24"/>
  <c r="P121" i="66"/>
  <c r="H48" i="104"/>
  <c r="M45" i="104"/>
  <c r="J45" i="104"/>
  <c r="Q19" i="13"/>
  <c r="Q20" i="13" s="1"/>
  <c r="R20" i="13" s="1"/>
  <c r="S14" i="13"/>
  <c r="O135" i="12"/>
  <c r="P135" i="12" s="1"/>
  <c r="H54" i="104"/>
  <c r="H56" i="104" s="1"/>
  <c r="J50" i="104"/>
  <c r="M50" i="104"/>
  <c r="L91" i="129"/>
  <c r="E91" i="129"/>
  <c r="E95" i="129" s="1"/>
  <c r="E106" i="129" s="1"/>
  <c r="N25" i="144"/>
  <c r="N31" i="144" s="1"/>
  <c r="N34" i="144" s="1"/>
  <c r="E8" i="136"/>
  <c r="G109" i="66"/>
  <c r="G134" i="66" s="1"/>
  <c r="M116" i="129" l="1"/>
  <c r="N116" i="129" s="1"/>
  <c r="O116" i="129" s="1"/>
  <c r="R129" i="66"/>
  <c r="D30" i="136" s="1"/>
  <c r="H30" i="136" s="1"/>
  <c r="C64" i="179"/>
  <c r="D64" i="179" s="1"/>
  <c r="R130" i="66"/>
  <c r="S129" i="66"/>
  <c r="S130" i="66" s="1"/>
  <c r="P130" i="66"/>
  <c r="M71" i="24"/>
  <c r="S19" i="13"/>
  <c r="R19" i="13"/>
  <c r="Q68" i="12"/>
  <c r="Q70" i="12"/>
  <c r="O54" i="104"/>
  <c r="P53" i="104"/>
  <c r="Q45" i="104"/>
  <c r="J48" i="104"/>
  <c r="N45" i="104"/>
  <c r="N48" i="104" s="1"/>
  <c r="M48" i="104"/>
  <c r="I25" i="107"/>
  <c r="R121" i="66"/>
  <c r="R125" i="66" s="1"/>
  <c r="P125" i="66"/>
  <c r="M120" i="129"/>
  <c r="N120" i="129" s="1"/>
  <c r="O120" i="129" s="1"/>
  <c r="M95" i="129"/>
  <c r="N35" i="144"/>
  <c r="N36" i="144" s="1"/>
  <c r="N37" i="144"/>
  <c r="B6" i="167"/>
  <c r="B26" i="160"/>
  <c r="D27" i="136"/>
  <c r="N50" i="104"/>
  <c r="M54" i="104"/>
  <c r="J54" i="104"/>
  <c r="Q54" i="104" s="1"/>
  <c r="R54" i="104" s="1"/>
  <c r="Q50" i="104"/>
  <c r="R50" i="104" s="1"/>
  <c r="P118" i="66"/>
  <c r="L95" i="129"/>
  <c r="E30" i="136"/>
  <c r="D29" i="137"/>
  <c r="B10" i="167" l="1"/>
  <c r="D10" i="167" s="1"/>
  <c r="T10" i="167" s="1"/>
  <c r="B29" i="160"/>
  <c r="O56" i="104"/>
  <c r="P56" i="104" s="1"/>
  <c r="P54" i="104"/>
  <c r="M106" i="129"/>
  <c r="N106" i="129" s="1"/>
  <c r="O106" i="129" s="1"/>
  <c r="N95" i="129"/>
  <c r="O95" i="129" s="1"/>
  <c r="D28" i="136"/>
  <c r="E28" i="136" s="1"/>
  <c r="G25" i="107"/>
  <c r="B27" i="160"/>
  <c r="Z125" i="66"/>
  <c r="B8" i="167"/>
  <c r="R45" i="104"/>
  <c r="R48" i="104" s="1"/>
  <c r="Q48" i="104"/>
  <c r="G24" i="107"/>
  <c r="Y118" i="66"/>
  <c r="E27" i="136"/>
  <c r="L106" i="129"/>
  <c r="N54" i="104"/>
  <c r="M56" i="104"/>
  <c r="N56" i="104" s="1"/>
  <c r="G15" i="104"/>
  <c r="N47" i="40"/>
  <c r="N65" i="40" s="1"/>
  <c r="O65" i="40" s="1"/>
  <c r="P65" i="40" s="1"/>
  <c r="H28" i="136" l="1"/>
  <c r="Z134" i="66"/>
  <c r="F8" i="167"/>
  <c r="Y134" i="66"/>
  <c r="Y259" i="66" s="1"/>
  <c r="M87" i="26" s="1"/>
  <c r="E6" i="167"/>
  <c r="Q32" i="40"/>
  <c r="Q33" i="40" s="1"/>
  <c r="R33" i="40" s="1"/>
  <c r="O47" i="40"/>
  <c r="P47" i="40"/>
  <c r="J15" i="104"/>
  <c r="K15" i="104"/>
  <c r="G43" i="104"/>
  <c r="G56" i="104" s="1"/>
  <c r="L20" i="129" l="1"/>
  <c r="L24" i="129" s="1"/>
  <c r="R32" i="40"/>
  <c r="Q50" i="66" s="1"/>
  <c r="Q55" i="66" s="1"/>
  <c r="Q109" i="66" s="1"/>
  <c r="Q134" i="66" s="1"/>
  <c r="Q259" i="66" s="1"/>
  <c r="Q264" i="66" s="1"/>
  <c r="E12" i="167"/>
  <c r="E21" i="167" s="1"/>
  <c r="E46" i="167" s="1"/>
  <c r="D6" i="167"/>
  <c r="M92" i="169"/>
  <c r="Y264" i="66"/>
  <c r="S32" i="40"/>
  <c r="R50" i="66" s="1"/>
  <c r="R55" i="66" s="1"/>
  <c r="R109" i="66" s="1"/>
  <c r="R134" i="66" s="1"/>
  <c r="P50" i="66"/>
  <c r="P55" i="66" s="1"/>
  <c r="C52" i="179" s="1"/>
  <c r="J43" i="104"/>
  <c r="Q15" i="104"/>
  <c r="R15" i="104" s="1"/>
  <c r="K43" i="104"/>
  <c r="L15" i="104"/>
  <c r="D52" i="179" l="1"/>
  <c r="D60" i="179" s="1"/>
  <c r="C60" i="179"/>
  <c r="C87" i="179" s="1"/>
  <c r="M20" i="129"/>
  <c r="N20" i="129" s="1"/>
  <c r="O20" i="129" s="1"/>
  <c r="T6" i="167"/>
  <c r="P109" i="66"/>
  <c r="P134" i="66" s="1"/>
  <c r="P259" i="66" s="1"/>
  <c r="L43" i="104"/>
  <c r="K56" i="104"/>
  <c r="L56" i="104" s="1"/>
  <c r="J56" i="104"/>
  <c r="Q56" i="104" s="1"/>
  <c r="R56" i="104" s="1"/>
  <c r="Q43" i="104"/>
  <c r="R43" i="104" s="1"/>
  <c r="D87" i="179" l="1"/>
  <c r="D89" i="179" s="1"/>
  <c r="C89" i="179"/>
  <c r="M24" i="129"/>
  <c r="I23" i="107"/>
  <c r="I26" i="107" s="1"/>
  <c r="J23" i="107" s="1"/>
  <c r="P264" i="66"/>
  <c r="G23" i="107"/>
  <c r="Q69" i="51"/>
  <c r="D18" i="136"/>
  <c r="B52" i="160"/>
  <c r="B61" i="160" s="1"/>
  <c r="B2" i="66" l="1"/>
  <c r="R259" i="66"/>
  <c r="R264" i="66" s="1"/>
  <c r="M79" i="129"/>
  <c r="N24" i="129"/>
  <c r="O24" i="129" s="1"/>
  <c r="S109" i="66"/>
  <c r="B25" i="160"/>
  <c r="B31" i="160" s="1"/>
  <c r="B5" i="167"/>
  <c r="Q70" i="51"/>
  <c r="D32" i="136"/>
  <c r="E32" i="136" s="1"/>
  <c r="H26" i="136"/>
  <c r="H32" i="136" s="1"/>
  <c r="J25" i="107"/>
  <c r="K25" i="107" s="1"/>
  <c r="J24" i="107"/>
  <c r="K24" i="107" s="1"/>
  <c r="G26" i="107"/>
  <c r="H23" i="107" s="1"/>
  <c r="E18" i="136"/>
  <c r="D5" i="167" l="1"/>
  <c r="T5" i="167" s="1"/>
  <c r="N79" i="129"/>
  <c r="O79" i="129" s="1"/>
  <c r="B12" i="167"/>
  <c r="B21" i="167" s="1"/>
  <c r="B46" i="167" s="1"/>
  <c r="G30" i="136"/>
  <c r="G28" i="136"/>
  <c r="G31" i="136"/>
  <c r="H24" i="107"/>
  <c r="H25" i="107"/>
  <c r="G26" i="136"/>
  <c r="S134" i="66"/>
  <c r="S259" i="66" s="1"/>
  <c r="S264" i="66" s="1"/>
  <c r="S266" i="66" s="1"/>
  <c r="L28" i="66"/>
  <c r="C15" i="136" s="1"/>
  <c r="J92" i="26"/>
  <c r="L27" i="66"/>
  <c r="P27" i="66"/>
  <c r="Q27" i="66" s="1"/>
  <c r="C31" i="167" l="1"/>
  <c r="C17" i="167"/>
  <c r="C27" i="167"/>
  <c r="C30" i="167"/>
  <c r="C15" i="167"/>
  <c r="C9" i="167"/>
  <c r="C29" i="167"/>
  <c r="C10" i="167"/>
  <c r="C36" i="167"/>
  <c r="C35" i="167"/>
  <c r="C26" i="167"/>
  <c r="C8" i="167"/>
  <c r="C32" i="167"/>
  <c r="C34" i="167"/>
  <c r="C24" i="167"/>
  <c r="C7" i="167"/>
  <c r="C18" i="167"/>
  <c r="C33" i="167"/>
  <c r="C19" i="167"/>
  <c r="C6" i="167"/>
  <c r="C5" i="167"/>
  <c r="G32" i="136"/>
  <c r="Z259" i="66"/>
  <c r="N92" i="169" s="1"/>
  <c r="N95" i="169" s="1"/>
  <c r="F12" i="167"/>
  <c r="F21" i="167" s="1"/>
  <c r="F46" i="167" s="1"/>
  <c r="L29" i="66"/>
  <c r="R27" i="66"/>
  <c r="E3" i="167" l="1"/>
  <c r="B6" i="160"/>
  <c r="N6" i="144"/>
  <c r="Z264" i="66"/>
  <c r="M93" i="169"/>
  <c r="D8" i="167"/>
  <c r="M90" i="26"/>
  <c r="M92" i="26" s="1"/>
  <c r="L263" i="66"/>
  <c r="L266" i="66" s="1"/>
  <c r="L32" i="66"/>
  <c r="D14" i="136"/>
  <c r="E14" i="136" s="1"/>
  <c r="Y27" i="66"/>
  <c r="Y29" i="66" s="1"/>
  <c r="E22" i="167" l="1"/>
  <c r="E13" i="167"/>
  <c r="E47" i="167"/>
  <c r="T8" i="167"/>
  <c r="T12" i="167" s="1"/>
  <c r="D12" i="167"/>
  <c r="P28" i="66"/>
  <c r="Y263" i="66"/>
  <c r="Y266" i="66" s="1"/>
  <c r="R28" i="66" l="1"/>
  <c r="Q28" i="66"/>
  <c r="Q29" i="66" s="1"/>
  <c r="Q263" i="66" s="1"/>
  <c r="Q266" i="66" s="1"/>
  <c r="P29" i="66"/>
  <c r="P263" i="66" s="1"/>
  <c r="P266" i="66" s="1"/>
  <c r="T21" i="167"/>
  <c r="T13" i="167"/>
  <c r="D13" i="167"/>
  <c r="D21" i="167"/>
  <c r="D46" i="167" s="1"/>
  <c r="D47" i="167" s="1"/>
  <c r="D13" i="136" l="1"/>
  <c r="D15" i="136" s="1"/>
  <c r="E15" i="136" s="1"/>
  <c r="R29" i="66"/>
  <c r="R32" i="66" s="1"/>
  <c r="B7" i="160"/>
  <c r="B10" i="160" s="1"/>
  <c r="F3" i="167"/>
  <c r="F22" i="167" s="1"/>
  <c r="Z28" i="66"/>
  <c r="Z29" i="66" s="1"/>
  <c r="Z263" i="66" s="1"/>
  <c r="Z266" i="66" s="1"/>
  <c r="P32" i="66"/>
  <c r="T46" i="167"/>
  <c r="T47" i="167" s="1"/>
  <c r="T22" i="167"/>
  <c r="D22" i="167"/>
  <c r="E13" i="136" l="1"/>
  <c r="F47" i="167"/>
  <c r="R30" i="66"/>
  <c r="R263" i="66"/>
  <c r="R266" i="66" s="1"/>
  <c r="F13" i="167"/>
  <c r="L79" i="129"/>
  <c r="J79" i="129"/>
  <c r="F79" i="129"/>
  <c r="G79" i="129"/>
  <c r="D79" i="129"/>
  <c r="C79" i="129"/>
  <c r="E79" i="129"/>
  <c r="D80" i="129" l="1"/>
  <c r="E80" i="129"/>
  <c r="O14" i="169" l="1"/>
  <c r="P12" i="169"/>
  <c r="M12" i="169" s="1"/>
  <c r="M14" i="169" s="1"/>
  <c r="M19" i="169" s="1"/>
  <c r="M22" i="169" s="1"/>
  <c r="M25" i="169" s="1"/>
  <c r="M85" i="169" s="1"/>
  <c r="M95" i="169" l="1"/>
  <c r="M86" i="169"/>
  <c r="P14" i="169"/>
</calcChain>
</file>

<file path=xl/sharedStrings.xml><?xml version="1.0" encoding="utf-8"?>
<sst xmlns="http://schemas.openxmlformats.org/spreadsheetml/2006/main" count="8519" uniqueCount="2548">
  <si>
    <t>Table of Contents</t>
  </si>
  <si>
    <t>General</t>
  </si>
  <si>
    <t>Revenues</t>
  </si>
  <si>
    <t>Dept Budgets</t>
  </si>
  <si>
    <t>To Do and Changes</t>
  </si>
  <si>
    <t>WPCF Revenue Detail</t>
  </si>
  <si>
    <t>113 Town Meeting</t>
  </si>
  <si>
    <t>GMRSD Allocation Summary</t>
  </si>
  <si>
    <t>Revenue Projections</t>
  </si>
  <si>
    <t>122 Selectboard</t>
  </si>
  <si>
    <t>Financial Policy Numbers</t>
  </si>
  <si>
    <t>131 Finance Committee</t>
  </si>
  <si>
    <t>Working Budget with Funding Detail</t>
  </si>
  <si>
    <t>132 Reserve Fund</t>
  </si>
  <si>
    <t>135 Town Accountant</t>
  </si>
  <si>
    <t>Background/Details</t>
  </si>
  <si>
    <t>141 Board of Assessors</t>
  </si>
  <si>
    <t>WPCF Overhead</t>
  </si>
  <si>
    <t>145 Treasurer/Tax Collector</t>
  </si>
  <si>
    <t>Debt Exclusion Caluclation</t>
  </si>
  <si>
    <t>151 Legal</t>
  </si>
  <si>
    <t>Police Wages</t>
  </si>
  <si>
    <t>155 Information Technology</t>
  </si>
  <si>
    <t>DPW/Sewer Wages</t>
  </si>
  <si>
    <t>159 Shared Costs</t>
  </si>
  <si>
    <t>NAGE &amp; Non-Union Wages</t>
  </si>
  <si>
    <t>161 Town Clerk</t>
  </si>
  <si>
    <t>Longevity</t>
  </si>
  <si>
    <t>175 Planning</t>
  </si>
  <si>
    <t>Split Dept Service</t>
  </si>
  <si>
    <t>176 Zoning Board of Appeals</t>
  </si>
  <si>
    <t>Combined Debt Schedule</t>
  </si>
  <si>
    <t>182 MEDIC</t>
  </si>
  <si>
    <t>Kearsarge Lease</t>
  </si>
  <si>
    <t>190 Public Buildings Utilities</t>
  </si>
  <si>
    <t>211 Police</t>
  </si>
  <si>
    <t>Report Information</t>
  </si>
  <si>
    <t>212 Dispatch</t>
  </si>
  <si>
    <t>241 Building Inspector</t>
  </si>
  <si>
    <t>Wages by Position</t>
  </si>
  <si>
    <t>244 Sealer of Weights</t>
  </si>
  <si>
    <t>Report to Town Meeting</t>
  </si>
  <si>
    <t>291 Emergency Management</t>
  </si>
  <si>
    <t>Wages and Benefits</t>
  </si>
  <si>
    <t>292 Animal Control</t>
  </si>
  <si>
    <t>Charts for Report</t>
  </si>
  <si>
    <t>294 Forest Warden</t>
  </si>
  <si>
    <t>Revenue Allocation Chart</t>
  </si>
  <si>
    <t>299 Tree Warden</t>
  </si>
  <si>
    <t>300 Education</t>
  </si>
  <si>
    <t>420 DPW-Consolidated</t>
  </si>
  <si>
    <t>192 DPW-Public Buildings</t>
  </si>
  <si>
    <t>422 DPW-Streets/Maintenance</t>
  </si>
  <si>
    <t>652 DPW-Parks</t>
  </si>
  <si>
    <t>423 Snow &amp; Ice</t>
  </si>
  <si>
    <t>433 Solid Waste</t>
  </si>
  <si>
    <t>480 Charging Stations</t>
  </si>
  <si>
    <t>491 Cemeteries</t>
  </si>
  <si>
    <t>511 Board of Health</t>
  </si>
  <si>
    <t>541 Council on Aging</t>
  </si>
  <si>
    <t>543 Veterans Benefits</t>
  </si>
  <si>
    <t>610 Libraries</t>
  </si>
  <si>
    <t>630 Parks &amp; Recreation</t>
  </si>
  <si>
    <t>691 Historical Commission</t>
  </si>
  <si>
    <t>693 Soldiers Memorials</t>
  </si>
  <si>
    <t>700 Town Debt</t>
  </si>
  <si>
    <t>840 Intergovernmental</t>
  </si>
  <si>
    <t>910 Town Benefits</t>
  </si>
  <si>
    <t>946 General Insurance</t>
  </si>
  <si>
    <t>228 Colle</t>
  </si>
  <si>
    <t>600-482 Airport</t>
  </si>
  <si>
    <t>661-440 WPCF Main Budget</t>
  </si>
  <si>
    <t>661-449 WPCF DPW Subsidiary</t>
  </si>
  <si>
    <t>661-700 WPCF Debt</t>
  </si>
  <si>
    <t>661-910 WPCF Benefits</t>
  </si>
  <si>
    <t>Tabs for binders</t>
  </si>
  <si>
    <t>Strikethroughs - don't include in budget for website/public binders</t>
  </si>
  <si>
    <t>To Do/Changes</t>
  </si>
  <si>
    <t>note that not all tabs are printed as some are more for internal use.</t>
  </si>
  <si>
    <t>Policies to Review</t>
  </si>
  <si>
    <t>Prelim</t>
  </si>
  <si>
    <t>Est WPCF Rate Increase</t>
  </si>
  <si>
    <t>Revenue Forecasting</t>
  </si>
  <si>
    <t>Revenue Projections Detail</t>
  </si>
  <si>
    <t>Affordable Assessment</t>
  </si>
  <si>
    <t>Main</t>
  </si>
  <si>
    <t>Budget Summary</t>
  </si>
  <si>
    <t>Town Meeting</t>
  </si>
  <si>
    <t>Selectboard</t>
  </si>
  <si>
    <t>Finance Committee</t>
  </si>
  <si>
    <t>Reserve Fund</t>
  </si>
  <si>
    <t>Accountant</t>
  </si>
  <si>
    <t>Assessors</t>
  </si>
  <si>
    <t>Treasurer</t>
  </si>
  <si>
    <t>Legal</t>
  </si>
  <si>
    <t>IT</t>
  </si>
  <si>
    <t>Shared</t>
  </si>
  <si>
    <t>Clerk</t>
  </si>
  <si>
    <t xml:space="preserve">Planning </t>
  </si>
  <si>
    <t>ZBA</t>
  </si>
  <si>
    <t>MEDIC</t>
  </si>
  <si>
    <t>Public Bldg Utilities</t>
  </si>
  <si>
    <t>Police</t>
  </si>
  <si>
    <t>Dispatch</t>
  </si>
  <si>
    <t>Building Inspector</t>
  </si>
  <si>
    <t>Sealer of Weights</t>
  </si>
  <si>
    <t>Emergency Management</t>
  </si>
  <si>
    <t>Animal Control</t>
  </si>
  <si>
    <t>Forest Warden</t>
  </si>
  <si>
    <t>Tree Warden</t>
  </si>
  <si>
    <t>Schools</t>
  </si>
  <si>
    <t>DPW-Combined</t>
  </si>
  <si>
    <t>DPW-Public Buildings</t>
  </si>
  <si>
    <t>DPW-Streets/Maint</t>
  </si>
  <si>
    <t>DPW-Parks</t>
  </si>
  <si>
    <t>Snow &amp; Ice</t>
  </si>
  <si>
    <t>Solid Waste</t>
  </si>
  <si>
    <t>EV Charging Stations</t>
  </si>
  <si>
    <t>Cemeteries</t>
  </si>
  <si>
    <t>Board of Health</t>
  </si>
  <si>
    <t>Council on Aging</t>
  </si>
  <si>
    <t>Veterans Benefits</t>
  </si>
  <si>
    <t>Libraries</t>
  </si>
  <si>
    <t>Parks &amp; Rec</t>
  </si>
  <si>
    <t>Soldiers Memorials</t>
  </si>
  <si>
    <t>Debt (Town)</t>
  </si>
  <si>
    <t>Intergovernmental</t>
  </si>
  <si>
    <t>Employee Benefits</t>
  </si>
  <si>
    <t>General Ins</t>
  </si>
  <si>
    <t>Colle</t>
  </si>
  <si>
    <t>600-482</t>
  </si>
  <si>
    <t>Airport</t>
  </si>
  <si>
    <t>600-700</t>
  </si>
  <si>
    <t>Airport - Debt</t>
  </si>
  <si>
    <t>600-910</t>
  </si>
  <si>
    <t>Airport - Benefits</t>
  </si>
  <si>
    <t>661-440</t>
  </si>
  <si>
    <t>WPCF</t>
  </si>
  <si>
    <t>661-449</t>
  </si>
  <si>
    <t>WPCF-DPW Sub</t>
  </si>
  <si>
    <t>661-700</t>
  </si>
  <si>
    <t>WPCF-Debt</t>
  </si>
  <si>
    <t>661-910</t>
  </si>
  <si>
    <t>WPCF-Benefits</t>
  </si>
  <si>
    <t>Tax share WPCF</t>
  </si>
  <si>
    <t>links</t>
  </si>
  <si>
    <t>don't print for public binders</t>
  </si>
  <si>
    <t>Overhead</t>
  </si>
  <si>
    <t>Debt Exclusion</t>
  </si>
  <si>
    <t>UE Wages</t>
  </si>
  <si>
    <t>NAGE/Non-Union Wages</t>
  </si>
  <si>
    <t>Split Debt Service</t>
  </si>
  <si>
    <t>Combined Debt Service</t>
  </si>
  <si>
    <t>Town Meeting Wages by Position</t>
  </si>
  <si>
    <t>Wages &amp; Benefits</t>
  </si>
  <si>
    <t>Pie Charts</t>
  </si>
  <si>
    <t>Local Receipts for Report</t>
  </si>
  <si>
    <t>Table of Contents - Report</t>
  </si>
  <si>
    <t>Tax Impact</t>
  </si>
  <si>
    <t>Tabs</t>
  </si>
  <si>
    <t>Marginal impact of COLA adjustment</t>
  </si>
  <si>
    <t>Estimated tax rate impact of additional spending*</t>
  </si>
  <si>
    <t>FY23 (Total Wages Excluding OT)</t>
  </si>
  <si>
    <t>1. Allocate Amount to Raise to Levy Class (total levy times levy percentage from LA5)</t>
  </si>
  <si>
    <t>no cola</t>
  </si>
  <si>
    <t>Cumulative Inc</t>
  </si>
  <si>
    <t>Incremental Inc</t>
  </si>
  <si>
    <t>FY22 Levy</t>
  </si>
  <si>
    <t>1% COLA</t>
  </si>
  <si>
    <t>2% COLA</t>
  </si>
  <si>
    <t>Category</t>
  </si>
  <si>
    <t>Levy %</t>
  </si>
  <si>
    <t>Valuation</t>
  </si>
  <si>
    <t>Raise &amp; Appropriate</t>
  </si>
  <si>
    <t>tax rate</t>
  </si>
  <si>
    <t>3% COLA</t>
  </si>
  <si>
    <t>Residential</t>
  </si>
  <si>
    <t>4% COLA</t>
  </si>
  <si>
    <t>CIP</t>
  </si>
  <si>
    <t>5% COLA</t>
  </si>
  <si>
    <t>base wages only -does not include OT</t>
  </si>
  <si>
    <t>2. Divide Raise &amp; Appropriate by valuation (then multiply by 1K) to get tax rate</t>
  </si>
  <si>
    <t>3. Divide Raise &amp; Appropriate by valuation (then multiply by 1K) to get tax rate</t>
  </si>
  <si>
    <t>Raise &amp; Appropriate additonal funds</t>
  </si>
  <si>
    <t>Increase in Rate</t>
  </si>
  <si>
    <t>Residential cost impact: Mean House Value</t>
  </si>
  <si>
    <t>Marginal Added Cost</t>
  </si>
  <si>
    <t>Mean Value in FY22</t>
  </si>
  <si>
    <t>/$1000</t>
  </si>
  <si>
    <t>Additional Cost</t>
  </si>
  <si>
    <t>* Note that this tool offers only a preliminary estimate of actual tax rate impact. It holds valuation and levy figures</t>
  </si>
  <si>
    <t>from FY22 as constants, when in reality they are quite dynamic. Nonetheless, this tool offers useful perspective</t>
  </si>
  <si>
    <t>that can be a useful input to policy and budget decisions.</t>
  </si>
  <si>
    <t>Total</t>
  </si>
  <si>
    <t>Cost</t>
  </si>
  <si>
    <t>Asst Town Admin</t>
  </si>
  <si>
    <t>Police Sgt</t>
  </si>
  <si>
    <t>TOC</t>
  </si>
  <si>
    <t>Minimum Wage Changes</t>
  </si>
  <si>
    <t>minimum for FY21</t>
  </si>
  <si>
    <t>minimum for FY22</t>
  </si>
  <si>
    <t>minimum for FY23</t>
  </si>
  <si>
    <t>minimum for FY24</t>
  </si>
  <si>
    <t>copied FY23 FINAL  budget file</t>
  </si>
  <si>
    <t>Added/adjusted columns/headings/cell references</t>
  </si>
  <si>
    <t>updated Financial Policies numbers EXCEPT for current FC, Stab balances, as these will change dramatically after fall STM</t>
  </si>
  <si>
    <t>added FY22 Actual Expenditures to dept tabs</t>
  </si>
  <si>
    <t>updated Rev Proj Detail File and Working Budget file</t>
  </si>
  <si>
    <t>update longevity yrs and $$</t>
  </si>
  <si>
    <t>Add FY24 Wages Schedules</t>
  </si>
  <si>
    <t>adjusted hours in each step for all but Police Officers and Dispatchers on 4/2 schedule.</t>
  </si>
  <si>
    <t>Hours FY24</t>
  </si>
  <si>
    <t>TH</t>
  </si>
  <si>
    <t>DPW</t>
  </si>
  <si>
    <t>Other</t>
  </si>
  <si>
    <t>7/1/22 is Saturday</t>
  </si>
  <si>
    <t>6/30/24 is Sunday</t>
  </si>
  <si>
    <t>52.0 5 day wk</t>
  </si>
  <si>
    <t>52.0 4 day wk</t>
  </si>
  <si>
    <t>35 hr week</t>
  </si>
  <si>
    <t>35 hr TH</t>
  </si>
  <si>
    <t xml:space="preserve">40 hr week </t>
  </si>
  <si>
    <t>40 hr DPW</t>
  </si>
  <si>
    <t>37.5 hr week</t>
  </si>
  <si>
    <t>na salaried</t>
  </si>
  <si>
    <t>37.69 hr wk</t>
  </si>
  <si>
    <t>(same every year)</t>
  </si>
  <si>
    <t>updated steps, links to FY24 wage scales</t>
  </si>
  <si>
    <t>updated FY23 budget for STM votes</t>
  </si>
  <si>
    <t>updated rev projections using revenue forecast #s</t>
  </si>
  <si>
    <t>removed all descriptions from blue areas</t>
  </si>
  <si>
    <t>updated longevity amounts</t>
  </si>
  <si>
    <t>adjusted rev projections so total ER = rev forecast, but reallocated amts in specific line items</t>
  </si>
  <si>
    <t>added line for library substitutes</t>
  </si>
  <si>
    <t>updated Rev Forecasting tab with forecasting use of FC, fixed links for SRO income</t>
  </si>
  <si>
    <t>ITEMS TO NOTE:</t>
  </si>
  <si>
    <t>Increases in hours</t>
  </si>
  <si>
    <t>Reclassification Requests</t>
  </si>
  <si>
    <t>COA Director 17 to 21</t>
  </si>
  <si>
    <t>Airport Operations Manager 19hrs to 30</t>
  </si>
  <si>
    <t>Airport Manager Step 7 to Step 9</t>
  </si>
  <si>
    <t>New Positions</t>
  </si>
  <si>
    <t>BOH AA</t>
  </si>
  <si>
    <t>WPCF Chief Op to WPCF Foreman (name change)</t>
  </si>
  <si>
    <t>Dispatcher</t>
  </si>
  <si>
    <t>SB AA/HR</t>
  </si>
  <si>
    <t>WPCF Lab Manager</t>
  </si>
  <si>
    <t>P&amp;R PT summer groundskeeper</t>
  </si>
  <si>
    <t>Policies to review annually</t>
  </si>
  <si>
    <t>Intro to polices says FC shall review all policies annually by 10/1</t>
  </si>
  <si>
    <t>Annual Budget Process</t>
  </si>
  <si>
    <t>Capital Planning</t>
  </si>
  <si>
    <t>Debt Management</t>
  </si>
  <si>
    <t>Enterprise Funds</t>
  </si>
  <si>
    <t>Financial Reserves</t>
  </si>
  <si>
    <t xml:space="preserve">Investments </t>
  </si>
  <si>
    <t>Other Post Employment Benefits</t>
  </si>
  <si>
    <t>Enforcment of Property Tax Collections</t>
  </si>
  <si>
    <t>Tax Rate Setting</t>
  </si>
  <si>
    <t>Revenue &amp; Expenditure Forecasting</t>
  </si>
  <si>
    <t>Annual Audit</t>
  </si>
  <si>
    <t>User Fees</t>
  </si>
  <si>
    <t>Cash and Receivable Reconciliations</t>
  </si>
  <si>
    <t xml:space="preserve">Grant Management </t>
  </si>
  <si>
    <t>Employee Reimbursements</t>
  </si>
  <si>
    <t>Anti-Fraud</t>
  </si>
  <si>
    <t>Revenue Processing</t>
  </si>
  <si>
    <t>FY2013</t>
  </si>
  <si>
    <t>FY2014</t>
  </si>
  <si>
    <t>FY2015</t>
  </si>
  <si>
    <t>FY2016</t>
  </si>
  <si>
    <t>FY2017</t>
  </si>
  <si>
    <t>FY2018</t>
  </si>
  <si>
    <t>FY2019</t>
  </si>
  <si>
    <t>FY2020</t>
  </si>
  <si>
    <t>FY21</t>
  </si>
  <si>
    <t>FY22</t>
  </si>
  <si>
    <t>FY23</t>
  </si>
  <si>
    <t>YTD</t>
  </si>
  <si>
    <t>Budget</t>
  </si>
  <si>
    <t>Actual</t>
  </si>
  <si>
    <t>Actuals</t>
  </si>
  <si>
    <t>Actual Rev</t>
  </si>
  <si>
    <t>Est Rev</t>
  </si>
  <si>
    <t xml:space="preserve"> Amount Needed (from budget requests)</t>
  </si>
  <si>
    <t>WPCF Tax Liens Redeemed</t>
  </si>
  <si>
    <t>WPCF Sewer Liens Redeemed</t>
  </si>
  <si>
    <t>WPCF Interest &amp; Demands</t>
  </si>
  <si>
    <t>WPCF Industrial Sewer</t>
  </si>
  <si>
    <t>losing lightlife see analysis on FY22 Receivables Analysis</t>
  </si>
  <si>
    <t>WPCF Residential Sewer</t>
  </si>
  <si>
    <t>WPCF Septage Fees</t>
  </si>
  <si>
    <t>WPCF Biosolids Handling</t>
  </si>
  <si>
    <t>WPCF Investment Income</t>
  </si>
  <si>
    <t>WPCF Misc Revenue</t>
  </si>
  <si>
    <t>WPCF MWPAT Subsidy</t>
  </si>
  <si>
    <t>WPCF Bond Premiums</t>
  </si>
  <si>
    <t>WPCF Transfer from GF-I&amp;I</t>
  </si>
  <si>
    <t>WPCF Transfer from CPF</t>
  </si>
  <si>
    <t>Retained Earnings to reduce rates</t>
  </si>
  <si>
    <t>WPCF Operating Budget</t>
  </si>
  <si>
    <t>WPCF DPW Subsidiary</t>
  </si>
  <si>
    <t>WPCF Debt</t>
  </si>
  <si>
    <t>WPCF Employee Benefits</t>
  </si>
  <si>
    <t>remove MF overage and Budgeted Surplus</t>
  </si>
  <si>
    <t>Special Articles from SUF</t>
  </si>
  <si>
    <t>Special Articles from SUF WAG</t>
  </si>
  <si>
    <t>UE</t>
  </si>
  <si>
    <t>8/31 adj for laborer budgeted at B5, not B2, added add'l WW Tech less 3 mos</t>
  </si>
  <si>
    <t>Total Needed</t>
  </si>
  <si>
    <t>Nage</t>
  </si>
  <si>
    <t>Non-Union</t>
  </si>
  <si>
    <t>less fixed revenues</t>
  </si>
  <si>
    <t>Elect</t>
  </si>
  <si>
    <t>Residential rev needed</t>
  </si>
  <si>
    <t>Increase from PY Commitments</t>
  </si>
  <si>
    <t>% increase from PY based on PY1 Commitments</t>
  </si>
  <si>
    <t>started at 9.31% using only 200K as est septage</t>
  </si>
  <si>
    <t>% increase if no Sp Articles</t>
  </si>
  <si>
    <t>Tax Levy - New Growth forecast at avg 10 year growth by class, adjusted for known impacts/deviations</t>
  </si>
  <si>
    <t>State Aid - use 5 year historical (actuals) average, adjusted for known impacts/deviations</t>
  </si>
  <si>
    <t>Local Receipts - use 5 year historical average, adjusted for known impacts/deviations</t>
  </si>
  <si>
    <t>Revenue Estimates for FY2023</t>
  </si>
  <si>
    <t>FY2012</t>
  </si>
  <si>
    <t>FY2021</t>
  </si>
  <si>
    <t>FY2022</t>
  </si>
  <si>
    <t>FY2023</t>
  </si>
  <si>
    <t>Cumulative</t>
  </si>
  <si>
    <t>Time</t>
  </si>
  <si>
    <t>Recap</t>
  </si>
  <si>
    <t>Proposed</t>
  </si>
  <si>
    <t>Current</t>
  </si>
  <si>
    <t>Average</t>
  </si>
  <si>
    <t>CY Rate</t>
  </si>
  <si>
    <t>Notes for FY23</t>
  </si>
  <si>
    <t>Formula Based</t>
  </si>
  <si>
    <t>Estimates</t>
  </si>
  <si>
    <t>Valuation amount of NG from LA-13</t>
  </si>
  <si>
    <t>New Growth Residential</t>
  </si>
  <si>
    <t>New Growth Other</t>
  </si>
  <si>
    <t>Tax Levy - From Recap</t>
  </si>
  <si>
    <t>Prior Year Limit</t>
  </si>
  <si>
    <t>New Growth</t>
  </si>
  <si>
    <t>Excess Capacity (LA-5) adj to = levy</t>
  </si>
  <si>
    <t>may need to dip into this to meet budget needs</t>
  </si>
  <si>
    <t>Subtotal Tax Levy</t>
  </si>
  <si>
    <t>Less Allowance for A&amp;E</t>
  </si>
  <si>
    <t>reduced to reflect more recent years' actuals</t>
  </si>
  <si>
    <t>Net Levy</t>
  </si>
  <si>
    <t>State Aid - Actual Revenue</t>
  </si>
  <si>
    <t>final CS-not used on recap</t>
  </si>
  <si>
    <t>Unrestricted Aid</t>
  </si>
  <si>
    <t>State Aid - use 5 year historical average FY18-22</t>
  </si>
  <si>
    <t>no expectation of reduction from PY</t>
  </si>
  <si>
    <t>Veterans' Benefits</t>
  </si>
  <si>
    <t>generally trending down</t>
  </si>
  <si>
    <t>Exemptions V/B/SS/Eld</t>
  </si>
  <si>
    <t>no significant difference between current estimate and proposed formula</t>
  </si>
  <si>
    <t>State Owned Land</t>
  </si>
  <si>
    <t>Public Libraries</t>
  </si>
  <si>
    <t>immaterial to budget</t>
  </si>
  <si>
    <t>less offset</t>
  </si>
  <si>
    <t>Subtotal Cherry Sheet</t>
  </si>
  <si>
    <t>Less State Charges</t>
  </si>
  <si>
    <t>Net State Revenue</t>
  </si>
  <si>
    <t>Local Receipts - Actual Revenue</t>
  </si>
  <si>
    <t>current budget amt</t>
  </si>
  <si>
    <t>Motor Vehicle Excise</t>
  </si>
  <si>
    <t>Avg 5 yr FY17-21</t>
  </si>
  <si>
    <t>Other Excise</t>
  </si>
  <si>
    <t>Meals Tax</t>
  </si>
  <si>
    <t>using 4 years average</t>
  </si>
  <si>
    <t>Penalties &amp; Interest</t>
  </si>
  <si>
    <t>5 Yr avg &amp;17-21) less highest year</t>
  </si>
  <si>
    <t>PILOT</t>
  </si>
  <si>
    <t>Charges for Trash Disposal</t>
  </si>
  <si>
    <t>Rental - 50% of Kearsarge</t>
  </si>
  <si>
    <t>based on actual known amount</t>
  </si>
  <si>
    <t>Other Charges for Service</t>
  </si>
  <si>
    <t>Licenses &amp; Permits</t>
  </si>
  <si>
    <t>using 6 year avg, dropping 3 highest years</t>
  </si>
  <si>
    <t>Fines &amp; Forfeits</t>
  </si>
  <si>
    <t>Investment Income</t>
  </si>
  <si>
    <t>based on FY21 actual</t>
  </si>
  <si>
    <t>Medicare part D Reimb</t>
  </si>
  <si>
    <t>FCTS reimb for SRO-shown below</t>
  </si>
  <si>
    <t>Miscellaneous Recurring</t>
  </si>
  <si>
    <t>Misc. Non-Recurring</t>
  </si>
  <si>
    <t>Total Local Receipts For AA</t>
  </si>
  <si>
    <t>Other Local Receipts</t>
  </si>
  <si>
    <t>FCTS SRO Reimb</t>
  </si>
  <si>
    <t xml:space="preserve">forecasting includes with other categories with x% annual increase. I used info from rev proj detail </t>
  </si>
  <si>
    <t>GMRSD SRO Reimb</t>
  </si>
  <si>
    <t>50% Kearsarge Lease</t>
  </si>
  <si>
    <t>Grand Total Local Receipts</t>
  </si>
  <si>
    <t>Available Funds</t>
  </si>
  <si>
    <t>One-Time State Aid</t>
  </si>
  <si>
    <t>Existing Sp Art Balances</t>
  </si>
  <si>
    <t>Capital Stabilization</t>
  </si>
  <si>
    <t>used actual budget numbers</t>
  </si>
  <si>
    <t>GMRSD Stabilization</t>
  </si>
  <si>
    <t>FCTS Stabilization</t>
  </si>
  <si>
    <t>Transportation Infrastructure</t>
  </si>
  <si>
    <t>Res for Excluded Debt</t>
  </si>
  <si>
    <t>Town Stabilization for Sp Articles</t>
  </si>
  <si>
    <t>Town Stabilization For GM</t>
  </si>
  <si>
    <t>Cannabis Impact Stab</t>
  </si>
  <si>
    <t>Sale of RE &amp; Chapter 90</t>
  </si>
  <si>
    <t>Receipts Res for Approp</t>
  </si>
  <si>
    <t>Total Available Funds</t>
  </si>
  <si>
    <t>Free Cash</t>
  </si>
  <si>
    <t>Individual Articles</t>
  </si>
  <si>
    <t>Reduce Levy</t>
  </si>
  <si>
    <t>Total Free Cash</t>
  </si>
  <si>
    <t>Grand Total General Revenue</t>
  </si>
  <si>
    <t>Borrowing</t>
  </si>
  <si>
    <t xml:space="preserve">Town </t>
  </si>
  <si>
    <t>Total Borrowing</t>
  </si>
  <si>
    <t>Sewer User Fees</t>
  </si>
  <si>
    <t>Airport User Fees</t>
  </si>
  <si>
    <t>Grand Total All Sources</t>
  </si>
  <si>
    <t>Kearsarge Rental Breakdown</t>
  </si>
  <si>
    <t>50% General Revenue -Operating</t>
  </si>
  <si>
    <t>50% Stabilization</t>
  </si>
  <si>
    <t>GRMSD 48.5% Operating to Allocation</t>
  </si>
  <si>
    <t>Town 51.5% Operating to Town Capital Stabilization</t>
  </si>
  <si>
    <t>GRMSD 48.5% Capital to GMRSD Stabilization Fund</t>
  </si>
  <si>
    <t>Town 51.5% Capital to Town Capital Stabilization</t>
  </si>
  <si>
    <t>Total allocation</t>
  </si>
  <si>
    <t>Revenue Estimates for FY2022</t>
  </si>
  <si>
    <t>FY2024</t>
  </si>
  <si>
    <t>Est</t>
  </si>
  <si>
    <t>using forecasting</t>
  </si>
  <si>
    <t>Tax Levy</t>
  </si>
  <si>
    <t>Excess Capacity</t>
  </si>
  <si>
    <t xml:space="preserve">State Aid </t>
  </si>
  <si>
    <t>FC</t>
  </si>
  <si>
    <t>Gov Budg</t>
  </si>
  <si>
    <t>Local Receipts</t>
  </si>
  <si>
    <t>Rental - 50% of Kearsarge + other rents</t>
  </si>
  <si>
    <t>Building Permits</t>
  </si>
  <si>
    <t>WPCF Capital Stabilization</t>
  </si>
  <si>
    <t>Cannabis Impact Stabilization</t>
  </si>
  <si>
    <t>Town Gen Stab to make up for lost Rev</t>
  </si>
  <si>
    <t>Overlay Surplus</t>
  </si>
  <si>
    <t>Sewer Retained Earnings</t>
  </si>
  <si>
    <t>To allocate 50% of the Kearsarge lease revenue as general revenue to be included in the affordable assessment calculation. The remaining 50% will be split 48.5% to the GMRSD Stabilization Fund and 51.5% percent to the Town Capital Stabilization Fund. The Finance Committee shall then increase the appropriation to the Town Capital Stabilization Fund by our 51.5% of the 50% of general revenue.  The GMRSD will end up with 48.5% of the total Kearsarge lease revenue, half of the 48.5% in affordable assessment and half of the 48.5% in the GMRSD Stabilization Fund. The town ends up with 51.5% of the total lease revenue in the Town Capital Stabilization Fund.</t>
  </si>
  <si>
    <t>NOTE: THE FINAL AFFORDABLE ASSESSMENT MUST BE</t>
  </si>
  <si>
    <t xml:space="preserve">COMMUNICATED TO THE GMRSD BEFORE THE </t>
  </si>
  <si>
    <t xml:space="preserve">SCHOOL COMMITTEE VOTES ON THEIR FINAL BUDGET, WHICH </t>
  </si>
  <si>
    <t>IS REQUIRED AT LEAST 45 DAYS BEFORE THE ATM.</t>
  </si>
  <si>
    <t xml:space="preserve">FOR FY24, THE SCHOOL COMMITTEE WILL HAVE THEIR FINAL VOTE ON </t>
  </si>
  <si>
    <t>THE GMRSD BUDGET ON MARCH 7. FC SHOULD DECIDE FINAL AA # FEB 28th</t>
  </si>
  <si>
    <t>includes leaving excess capacity</t>
  </si>
  <si>
    <t>FY24 Affordable Assessment Calculation</t>
  </si>
  <si>
    <t>Original</t>
  </si>
  <si>
    <t>In future, consider also eliminating from available revenues:</t>
  </si>
  <si>
    <t xml:space="preserve">Current Allocation Methodology Summary </t>
  </si>
  <si>
    <t>Estimated</t>
  </si>
  <si>
    <t>Revenue</t>
  </si>
  <si>
    <t>Net Levy (Total less allowance for Abatements)</t>
  </si>
  <si>
    <t>Less Excluded Debt (+ GMRSD Debt for town bldgs)</t>
  </si>
  <si>
    <t>Available Levy</t>
  </si>
  <si>
    <t>Net State Aid (Total less Charges &amp; Offsets)</t>
  </si>
  <si>
    <t xml:space="preserve">Local Receipts </t>
  </si>
  <si>
    <t>Free Cash recomended for Operating Expenses</t>
  </si>
  <si>
    <t>Total Available Sources for Operating Expenses</t>
  </si>
  <si>
    <t>Total Sources for GMRSD Operating</t>
  </si>
  <si>
    <t>48.5 % of Available Sources to GMRSD Operating</t>
  </si>
  <si>
    <t>Montague's share Excluded GMRSD Debt</t>
  </si>
  <si>
    <t>Requested Assessment</t>
  </si>
  <si>
    <t>Amount above "affordable" (From GMRSD Stabilization)</t>
  </si>
  <si>
    <t xml:space="preserve">     </t>
  </si>
  <si>
    <t>Increase</t>
  </si>
  <si>
    <t>Taxation share</t>
  </si>
  <si>
    <t>% incr</t>
  </si>
  <si>
    <t xml:space="preserve">FY24 Finance Policy Guidelines/Calculations </t>
  </si>
  <si>
    <t xml:space="preserve">FY22 Operating Revenues: </t>
  </si>
  <si>
    <t>Net Levy less excluded debt PLUS actual State Aid PLUS local estimated receipts</t>
  </si>
  <si>
    <t xml:space="preserve">Net Levy </t>
  </si>
  <si>
    <t>Source</t>
  </si>
  <si>
    <t>Gross Levy</t>
  </si>
  <si>
    <t>Recap P1</t>
  </si>
  <si>
    <t>Allow A &amp; E</t>
  </si>
  <si>
    <t>Recap p 2</t>
  </si>
  <si>
    <t>Excluded Debt</t>
  </si>
  <si>
    <t>Recap DE1</t>
  </si>
  <si>
    <t>#1</t>
  </si>
  <si>
    <t>Levy to use</t>
  </si>
  <si>
    <t>For Actual State Aid plus local receipts, backed into #:</t>
  </si>
  <si>
    <t>Total GF Rev</t>
  </si>
  <si>
    <t>EOY Budget Report</t>
  </si>
  <si>
    <t>Transfers In</t>
  </si>
  <si>
    <t>PP revenue</t>
  </si>
  <si>
    <t>RE revenue</t>
  </si>
  <si>
    <t>Tax Lien/Foreclosure rev</t>
  </si>
  <si>
    <t>#2</t>
  </si>
  <si>
    <t>State Aid + LER</t>
  </si>
  <si>
    <t>FY22 General Operating Revenues (PYGOR)</t>
  </si>
  <si>
    <t>Sum of #1, #2</t>
  </si>
  <si>
    <t>Est 3/4/22</t>
  </si>
  <si>
    <t>One-Time Revenues</t>
  </si>
  <si>
    <t>To be used for Capital Improvements, Reserves, or as legally restricted</t>
  </si>
  <si>
    <t>Total Stabilization Funds plus Free Cash shall be maintained at 5-10% of PYGOR</t>
  </si>
  <si>
    <t>FY22 GOR</t>
  </si>
  <si>
    <t>Town Gen Stab</t>
  </si>
  <si>
    <t>Minimum</t>
  </si>
  <si>
    <t>GMRSD Stab</t>
  </si>
  <si>
    <t>Maximum</t>
  </si>
  <si>
    <t>FCTS Stab</t>
  </si>
  <si>
    <t>Town Cap Stab</t>
  </si>
  <si>
    <t>Free Cash 7/1/22</t>
  </si>
  <si>
    <t>Available Stabilizations 7/1/22 (non-sewer)</t>
  </si>
  <si>
    <t>% of PYGOR</t>
  </si>
  <si>
    <t>General Stabilization Fund to be maintained at minimum of 5% PYGOR</t>
  </si>
  <si>
    <t>FY24 Minimum</t>
  </si>
  <si>
    <t xml:space="preserve">Current balance </t>
  </si>
  <si>
    <t>need to add</t>
  </si>
  <si>
    <t>In order to meet this target, BOS can recommend transfer of up to 35% certified Free Cash</t>
  </si>
  <si>
    <t>35% of cert FC</t>
  </si>
  <si>
    <t>Annually appropriate 0.3% of PYGOR to General Stabilization as part of operating budget</t>
  </si>
  <si>
    <t>.3% PYGOR</t>
  </si>
  <si>
    <t>Free Cash in excess of 3% of PYGOR should be used for non-recurring or emergency expenditures or moved to Stab.</t>
  </si>
  <si>
    <t>3% PYGOR</t>
  </si>
  <si>
    <t>for Non-recurring, emerg, or to Stab</t>
  </si>
  <si>
    <t>Capital Improvement Stabilization Fund :should have annual appropriation of 0.2% PYGOR</t>
  </si>
  <si>
    <t>.2% PYGOR</t>
  </si>
  <si>
    <t>In Annual Budget, Debt Service plus PAYGO Cap Projects should be 6-8% of PYGOR</t>
  </si>
  <si>
    <t>Debt Only</t>
  </si>
  <si>
    <t>Non-Excluded Debt Only</t>
  </si>
  <si>
    <t>4% PYGOR</t>
  </si>
  <si>
    <t>6% PYGOR</t>
  </si>
  <si>
    <t>8% PYGOR</t>
  </si>
  <si>
    <t>Uses:</t>
  </si>
  <si>
    <t>Town LTD Princ</t>
  </si>
  <si>
    <t>From DE-1</t>
  </si>
  <si>
    <t>Town LTD Int</t>
  </si>
  <si>
    <t xml:space="preserve">GMRSD Debt </t>
  </si>
  <si>
    <t>Cruiser</t>
  </si>
  <si>
    <t xml:space="preserve">Flail Lease </t>
  </si>
  <si>
    <t>DPW Equip (Est)</t>
  </si>
  <si>
    <t>Total requests exceed amt needed</t>
  </si>
  <si>
    <t>Need to meet Min</t>
  </si>
  <si>
    <t>Debt s/b 4-6% PYGOR</t>
  </si>
  <si>
    <t>Need to meet max</t>
  </si>
  <si>
    <r>
      <t xml:space="preserve">PAYGO Building Renewal &amp; Equipment Replacement will be budgeted at 2% of </t>
    </r>
    <r>
      <rPr>
        <b/>
        <sz val="12"/>
        <rFont val="Arial"/>
        <family val="2"/>
      </rPr>
      <t>Budget</t>
    </r>
    <r>
      <rPr>
        <sz val="12"/>
        <rFont val="Arial"/>
        <family val="2"/>
      </rPr>
      <t xml:space="preserve"> year est GOR</t>
    </r>
  </si>
  <si>
    <t>FY24 Operating Revenues: Net Levy less excluded debt + actual State Aid + local estimated receipts</t>
  </si>
  <si>
    <t>Less Excl Debt</t>
  </si>
  <si>
    <t>Net State Aid</t>
  </si>
  <si>
    <t>Est Rec</t>
  </si>
  <si>
    <t>Total Budgeted GOR</t>
  </si>
  <si>
    <t>2% Budgeted GOR</t>
  </si>
  <si>
    <t>Available for PAYGO Bldg/equip</t>
  </si>
  <si>
    <t>Debt:</t>
  </si>
  <si>
    <t>GF Debt Service/PYGOR</t>
  </si>
  <si>
    <t>GF Debt</t>
  </si>
  <si>
    <t>Ratio</t>
  </si>
  <si>
    <t>Net GF Debt Svc less Excluded Debt</t>
  </si>
  <si>
    <t>Total GF Debt</t>
  </si>
  <si>
    <t>Less GF Excluded debt</t>
  </si>
  <si>
    <t>Net GF Debt</t>
  </si>
  <si>
    <t>ratio</t>
  </si>
  <si>
    <t>Under Minimum</t>
  </si>
  <si>
    <t>FY13</t>
  </si>
  <si>
    <t>FY14</t>
  </si>
  <si>
    <t>Fy15</t>
  </si>
  <si>
    <t>FY16</t>
  </si>
  <si>
    <t>FY17</t>
  </si>
  <si>
    <t>FY18</t>
  </si>
  <si>
    <t>FY19</t>
  </si>
  <si>
    <t>FY20</t>
  </si>
  <si>
    <t>FY24</t>
  </si>
  <si>
    <t>Town Capital</t>
  </si>
  <si>
    <t>Requested</t>
  </si>
  <si>
    <t xml:space="preserve">BOS </t>
  </si>
  <si>
    <t>FC Recommend</t>
  </si>
  <si>
    <t>Taxation</t>
  </si>
  <si>
    <t>Available</t>
  </si>
  <si>
    <t>Stabilization</t>
  </si>
  <si>
    <t xml:space="preserve">FCTS </t>
  </si>
  <si>
    <t>GMRSD</t>
  </si>
  <si>
    <t>Sewer</t>
  </si>
  <si>
    <t xml:space="preserve">Airport </t>
  </si>
  <si>
    <t>Exp</t>
  </si>
  <si>
    <t>Level Services</t>
  </si>
  <si>
    <t>Recommend</t>
  </si>
  <si>
    <t>Funds</t>
  </si>
  <si>
    <t>Fees</t>
  </si>
  <si>
    <t>updated since FY23 budget file</t>
  </si>
  <si>
    <t>SOURCES</t>
  </si>
  <si>
    <t>NET LEVY</t>
  </si>
  <si>
    <t>STATE AID (NET OF CHARGES)</t>
  </si>
  <si>
    <t>LOCAL RECEIPTS</t>
  </si>
  <si>
    <t>FREE CASH</t>
  </si>
  <si>
    <t>OTHER AVAILABLE FUNDS</t>
  </si>
  <si>
    <t xml:space="preserve">  Sp Article Balances</t>
  </si>
  <si>
    <t xml:space="preserve">  Transportation Infrastructure RRA</t>
  </si>
  <si>
    <t xml:space="preserve">  Reserve for Excluded Debt</t>
  </si>
  <si>
    <t xml:space="preserve">  Overlay Surplus</t>
  </si>
  <si>
    <t xml:space="preserve">   Colle Receipts Reserved for Appropriation</t>
  </si>
  <si>
    <t>FREE CASH FOR SPECIAL ARTICLES</t>
  </si>
  <si>
    <t>TOWN CAPITAL STABILIZATION</t>
  </si>
  <si>
    <t>TOWN STABILIZATION</t>
  </si>
  <si>
    <t>FCTS STABILIZATION</t>
  </si>
  <si>
    <t>GMRSD STABILIZATION</t>
  </si>
  <si>
    <t>WPCF CAPITAL STABILIZATION</t>
  </si>
  <si>
    <t>CANNABIS IMPACT STABILIZATION</t>
  </si>
  <si>
    <t>BORROWING IN ANTICIPATION OF GRANTS</t>
  </si>
  <si>
    <t>TOWN BORROWING</t>
  </si>
  <si>
    <t>CWF BORROWING</t>
  </si>
  <si>
    <t>CWF RETAINED EARNINGS</t>
  </si>
  <si>
    <t>CWF USER FEES</t>
  </si>
  <si>
    <t>AIRPORT USER FEES</t>
  </si>
  <si>
    <t>TOTAL ESTIMATED SOURCES</t>
  </si>
  <si>
    <t xml:space="preserve">GENERAL FUND SOURCES - NET OF </t>
  </si>
  <si>
    <t xml:space="preserve">BORROWING, TFHS DEBT BALANCE, </t>
  </si>
  <si>
    <t>CWF, AIRPORT, COLLE</t>
  </si>
  <si>
    <t>SB Recommend</t>
  </si>
  <si>
    <t>GENERAL GOVERNMENT</t>
  </si>
  <si>
    <t>TOWN MEETING</t>
  </si>
  <si>
    <t>SELECTBOARD</t>
  </si>
  <si>
    <t>FINANCE COMMITTEE</t>
  </si>
  <si>
    <t>RESERVE FUND</t>
  </si>
  <si>
    <t>TOWN ACCOUNTANT</t>
  </si>
  <si>
    <t>ASSESSORS</t>
  </si>
  <si>
    <t>ASSESSORS ABATEMENT SOFTWARE</t>
  </si>
  <si>
    <t>TREASURER/COLLECTOR</t>
  </si>
  <si>
    <t>TOWN COUNSEL</t>
  </si>
  <si>
    <t>INFORMATION TECHNOLOGY</t>
  </si>
  <si>
    <t>SHARED COSTS</t>
  </si>
  <si>
    <t>TOWN CLERK</t>
  </si>
  <si>
    <t>PLANNING</t>
  </si>
  <si>
    <t>ZONING BOARD OF APPEALS</t>
  </si>
  <si>
    <t>PUBLIC BLDG UTILITIES</t>
  </si>
  <si>
    <t>TOTAL GENERAL GOVERNMENT</t>
  </si>
  <si>
    <t>PUBLIC SAFETY</t>
  </si>
  <si>
    <t>POLICE</t>
  </si>
  <si>
    <t>POLICE CRUISER</t>
  </si>
  <si>
    <t>DISPATCH</t>
  </si>
  <si>
    <t>BUILDING INSPECTOR</t>
  </si>
  <si>
    <t xml:space="preserve">SEALER OF WEIGHTS </t>
  </si>
  <si>
    <t>EMERGENCY MANAGEMENT</t>
  </si>
  <si>
    <t>ANIMAL CONTROL</t>
  </si>
  <si>
    <t>ANIMAL CONTROL CAPITAL OUTLAY</t>
  </si>
  <si>
    <t>FOREST WARDEN</t>
  </si>
  <si>
    <t>TREE WARDEN</t>
  </si>
  <si>
    <t>TOTAL PUBLIC SAFETY</t>
  </si>
  <si>
    <t>PUBLIC WORKS</t>
  </si>
  <si>
    <t>DEPT OF PUBLIC WORKS</t>
  </si>
  <si>
    <t>DPW CAPITAL LEASE</t>
  </si>
  <si>
    <t>SNOW &amp; ICE</t>
  </si>
  <si>
    <t>SOLID WASTE</t>
  </si>
  <si>
    <t>CHARGING STATIONS</t>
  </si>
  <si>
    <t>CEMETERIES</t>
  </si>
  <si>
    <t>TOTAL PUBLIC WORKS</t>
  </si>
  <si>
    <t>HUMAN SERVICES</t>
  </si>
  <si>
    <t>BOARD OF HEALTH</t>
  </si>
  <si>
    <t>COUNCIL ON AGING</t>
  </si>
  <si>
    <t>VETERANS' SERVICES</t>
  </si>
  <si>
    <t>TOTAL HUMAN SERVICES</t>
  </si>
  <si>
    <t>CULTURE &amp; RECREATION</t>
  </si>
  <si>
    <t>LIBRARIES</t>
  </si>
  <si>
    <t>PARKS &amp; RECREATION</t>
  </si>
  <si>
    <t>HISTORICAL COMMISSION</t>
  </si>
  <si>
    <t>WAR MEMORIALS</t>
  </si>
  <si>
    <t>TOTAL CULTURE &amp; RECREATION</t>
  </si>
  <si>
    <t>DEBT SERVICE</t>
  </si>
  <si>
    <t>INTERGOVERNMENTAL</t>
  </si>
  <si>
    <t>MISCELLANEOUS</t>
  </si>
  <si>
    <t>EMPLOYEE BENEFITS</t>
  </si>
  <si>
    <t>GENERAL INSURANCE</t>
  </si>
  <si>
    <t>TOTAL MISCELLANEOUS</t>
  </si>
  <si>
    <t>GRAND TOTAL GENERAL FUND</t>
  </si>
  <si>
    <t xml:space="preserve">WATER POLLUTION CONTROL </t>
  </si>
  <si>
    <t>DPW SUBSIDIARY</t>
  </si>
  <si>
    <t>WPCF DEBT</t>
  </si>
  <si>
    <t>WPCF EMPLOYEE BENEFITS</t>
  </si>
  <si>
    <t>TOTAL WPCF</t>
  </si>
  <si>
    <t>AIRPORT</t>
  </si>
  <si>
    <t>AIRPORT DEBT</t>
  </si>
  <si>
    <t>AIRPORT EMPLOYEE BENEFITS</t>
  </si>
  <si>
    <t>TOTAL AIRPORT</t>
  </si>
  <si>
    <t>EDUCATION</t>
  </si>
  <si>
    <t>FCTS</t>
  </si>
  <si>
    <t>TOTAL EDUCATION</t>
  </si>
  <si>
    <t>RAISE DEBT SERVICE DEFICIT</t>
  </si>
  <si>
    <t>GRAND TOTAL</t>
  </si>
  <si>
    <t>PLUS SPECIAL ARTICLES/NEW REQUESTS</t>
  </si>
  <si>
    <t>Policy: Taxation transfer to FCTS Stabilization</t>
  </si>
  <si>
    <t>SPECIAL ARTICLES</t>
  </si>
  <si>
    <t>Operating Appropriation to OPEB</t>
  </si>
  <si>
    <t>Add'l Appropriation to OPEB</t>
  </si>
  <si>
    <t>Operating Appropriation to CI Stab</t>
  </si>
  <si>
    <t>Operating Appropriation to Town Gen Stab</t>
  </si>
  <si>
    <t>Add'l Approp to Town GSF to meet minimum</t>
  </si>
  <si>
    <t>Add'l Approp to FCTS Stab per policy</t>
  </si>
  <si>
    <t>50% Kearsarge Lease - 48.5 % to GM Stab</t>
  </si>
  <si>
    <t>50% Kearsarge Lease - 51.5 % to Town Cap Stab</t>
  </si>
  <si>
    <t>Add'l to Town Cap Stab</t>
  </si>
  <si>
    <t>FY20 Cannabis Tax to Town Cap Stab</t>
  </si>
  <si>
    <t>FY20 Cannabis Impact Fee</t>
  </si>
  <si>
    <t>Town Hall Main Roof</t>
  </si>
  <si>
    <t>Shea Front Roof</t>
  </si>
  <si>
    <t xml:space="preserve">Assessors Utility Valuation </t>
  </si>
  <si>
    <t xml:space="preserve">Assessors Hydroelectric Valuation </t>
  </si>
  <si>
    <t>Unsafe/Unhealth Buildings</t>
  </si>
  <si>
    <t>Unexpected Engineering Expenses</t>
  </si>
  <si>
    <t>Unexpected Project Shortfalls</t>
  </si>
  <si>
    <t>Bld Assessment and Capital Plan</t>
  </si>
  <si>
    <t>TFHS Sidewalks</t>
  </si>
  <si>
    <t>Sheffield Columns</t>
  </si>
  <si>
    <t>500 Ave A Phase II Environmental Study</t>
  </si>
  <si>
    <t>Add to Conservation Fund</t>
  </si>
  <si>
    <t>GM Entry Canopy</t>
  </si>
  <si>
    <t>GMRSD Bldg Assessment Study - Hillcrest</t>
  </si>
  <si>
    <t>GMRSD Bldg Assessment Study - Sheffield</t>
  </si>
  <si>
    <t>GMRSD Bldg Assessment Study - TFHS</t>
  </si>
  <si>
    <t>GM Truck</t>
  </si>
  <si>
    <t>Sheffield Library Wall - withdrawn</t>
  </si>
  <si>
    <t>Hillcrest Façade</t>
  </si>
  <si>
    <t>Sheffield Façade</t>
  </si>
  <si>
    <t>Sheffield Fire Alarm Upgrade</t>
  </si>
  <si>
    <t>Turners Falls Tennis Courts (Mont share)</t>
  </si>
  <si>
    <t>Hillcrest Roof</t>
  </si>
  <si>
    <t>MC Park Master Plan</t>
  </si>
  <si>
    <t>Smith Votech Tuition/Trans (FY22-FY24)</t>
  </si>
  <si>
    <t>MC Park Surveying</t>
  </si>
  <si>
    <t>Town wide map storage</t>
  </si>
  <si>
    <t>Election Tabulators</t>
  </si>
  <si>
    <t>EDIC Signage</t>
  </si>
  <si>
    <t>Town Hall Awning</t>
  </si>
  <si>
    <t>Design/Feasibility MF Rd &amp; Ind Blvd</t>
  </si>
  <si>
    <t>afterschool STEM enrichment programming</t>
  </si>
  <si>
    <t>MC Library Moisture Remediation</t>
  </si>
  <si>
    <t>MF Library Moisture Remediation</t>
  </si>
  <si>
    <t>Carnegie Doors</t>
  </si>
  <si>
    <t>Hillcrest Security Entrance</t>
  </si>
  <si>
    <t>Computer Equipment/Software</t>
  </si>
  <si>
    <t>Police Discretionary (to budget for FY21)</t>
  </si>
  <si>
    <t>COA front stairs/porch</t>
  </si>
  <si>
    <t>GMRSD Upgrade BMA</t>
  </si>
  <si>
    <t>Sheffield Intercom</t>
  </si>
  <si>
    <t>Hillcrest Intercom</t>
  </si>
  <si>
    <t>Colle Building Renovations</t>
  </si>
  <si>
    <t>WPCF Solar Array</t>
  </si>
  <si>
    <t>Line, clean, inspect, GIS drains, rehabilitate 1868 drain</t>
  </si>
  <si>
    <t>Flail Mower Lease (FY18-FY22) to 422</t>
  </si>
  <si>
    <t>WPCF Feasibility Study</t>
  </si>
  <si>
    <t>WPCF Increase Capital Stabilization Fund</t>
  </si>
  <si>
    <t>Replace 2 pump stations</t>
  </si>
  <si>
    <t>DPW 6 wheel dump truck</t>
  </si>
  <si>
    <t>WPCF Capital Discretionary Article</t>
  </si>
  <si>
    <t>WPCF Pump Station Controls</t>
  </si>
  <si>
    <t>Tech School Pump Station Upgrade</t>
  </si>
  <si>
    <t>Compost Facility Engineering</t>
  </si>
  <si>
    <t xml:space="preserve">Millers Falls I &amp; I </t>
  </si>
  <si>
    <t>Resurface Tennis Courts</t>
  </si>
  <si>
    <t>GM Brick/Concrete Repair Admin Bldg</t>
  </si>
  <si>
    <t>Sewer Vac and Router Truck Lease</t>
  </si>
  <si>
    <t>Sidewalks and Paving</t>
  </si>
  <si>
    <t>5th St Bridge Easement</t>
  </si>
  <si>
    <t>PV Mosquito Control Dist</t>
  </si>
  <si>
    <t>COA Roof Replacement</t>
  </si>
  <si>
    <t>Hillcrest Façade &amp; Roof</t>
  </si>
  <si>
    <t>Stair and walking path repairs</t>
  </si>
  <si>
    <t>Green Burial Phase 1 - to budget</t>
  </si>
  <si>
    <t>Carnegie Drainage/Moisture/Flooring</t>
  </si>
  <si>
    <t>MC Library Masonry</t>
  </si>
  <si>
    <t>BOH Vehcile- SB to discuss first</t>
  </si>
  <si>
    <t>WPCF  Fine Bubble Diffuser</t>
  </si>
  <si>
    <t>WPCF Replace Primary Sludge Pump #2</t>
  </si>
  <si>
    <t>Add'l for WPCF Oil Tank/Vault Removal</t>
  </si>
  <si>
    <t>WPCF Screw Pumps</t>
  </si>
  <si>
    <t xml:space="preserve">Use Cannabis Impact Stabilization </t>
  </si>
  <si>
    <t>Colle RRA</t>
  </si>
  <si>
    <t>Sewer Maintenance</t>
  </si>
  <si>
    <t>Sewer Rehab</t>
  </si>
  <si>
    <t>Transfer FCTS decrease to FCTS Stabilization</t>
  </si>
  <si>
    <t>Records Storage</t>
  </si>
  <si>
    <t>Skateboard Park - Town Share</t>
  </si>
  <si>
    <t>Add'l amts for UE Pay &amp; Class Implement</t>
  </si>
  <si>
    <t>Total Special Articles</t>
  </si>
  <si>
    <t>TOTAL ESTIMATED USES</t>
  </si>
  <si>
    <t>SUMMARY</t>
  </si>
  <si>
    <t>ESTIMATED SHORTFALL</t>
  </si>
  <si>
    <t>Notes:</t>
  </si>
  <si>
    <t>Free</t>
  </si>
  <si>
    <t>Town</t>
  </si>
  <si>
    <t>Cannabis</t>
  </si>
  <si>
    <t xml:space="preserve">WPCF </t>
  </si>
  <si>
    <t>Sale of</t>
  </si>
  <si>
    <t>Town  Gen</t>
  </si>
  <si>
    <t>% of Total</t>
  </si>
  <si>
    <t>RRA</t>
  </si>
  <si>
    <t>Cash</t>
  </si>
  <si>
    <t>Cap St</t>
  </si>
  <si>
    <t>Stab</t>
  </si>
  <si>
    <t>Ret Earn</t>
  </si>
  <si>
    <t>Real Estate</t>
  </si>
  <si>
    <t>Recommended</t>
  </si>
  <si>
    <t>Town Operating</t>
  </si>
  <si>
    <t>WPCF Operating</t>
  </si>
  <si>
    <t>Colle Operating</t>
  </si>
  <si>
    <t>Aiport Operating</t>
  </si>
  <si>
    <t>FCTS Assessment</t>
  </si>
  <si>
    <t>GMRSD Assessment</t>
  </si>
  <si>
    <t xml:space="preserve">Operating Subtotal </t>
  </si>
  <si>
    <t>Surplus/Shortfall</t>
  </si>
  <si>
    <t>Add to GMRSD Stab</t>
  </si>
  <si>
    <t>Add to Town Cap Stab</t>
  </si>
  <si>
    <t>Add to OPEB Trust</t>
  </si>
  <si>
    <t>Add to FCTS Cap Stab</t>
  </si>
  <si>
    <t>Operating + Policies Subtotal</t>
  </si>
  <si>
    <t>Op + Policies + Articles Total</t>
  </si>
  <si>
    <t xml:space="preserve"> Final Surplus/Shortfall</t>
  </si>
  <si>
    <t>General Category : General Government</t>
  </si>
  <si>
    <t>Department</t>
  </si>
  <si>
    <t>Dept # 113</t>
  </si>
  <si>
    <t>Expended</t>
  </si>
  <si>
    <t>thru</t>
  </si>
  <si>
    <t>Level</t>
  </si>
  <si>
    <t>BOS</t>
  </si>
  <si>
    <t>BOS &amp;</t>
  </si>
  <si>
    <t>Services</t>
  </si>
  <si>
    <t>Fin Comm</t>
  </si>
  <si>
    <t>EXPENDITURES</t>
  </si>
  <si>
    <t>Request</t>
  </si>
  <si>
    <t>Moderator</t>
  </si>
  <si>
    <t>TOTAL PERSONAL SERVICES</t>
  </si>
  <si>
    <t>Custodial Services</t>
  </si>
  <si>
    <t>Moderator Seminars</t>
  </si>
  <si>
    <t>Constable/Other ProfTech</t>
  </si>
  <si>
    <t>Postage</t>
  </si>
  <si>
    <t>Office Supplies/Envelopes</t>
  </si>
  <si>
    <t>Food &amp; Drinks</t>
  </si>
  <si>
    <t>Miscellaneous Supply</t>
  </si>
  <si>
    <t>In-State Travel</t>
  </si>
  <si>
    <t>Dues and Memberships</t>
  </si>
  <si>
    <t>TOTAL EXPENSES</t>
  </si>
  <si>
    <t>TOTAL TOWN MEETING</t>
  </si>
  <si>
    <t>$</t>
  </si>
  <si>
    <t>%</t>
  </si>
  <si>
    <t>FY2</t>
  </si>
  <si>
    <t>Change</t>
  </si>
  <si>
    <t>Explanation</t>
  </si>
  <si>
    <t>Office Supplies/envelopes</t>
  </si>
  <si>
    <t>Totals</t>
  </si>
  <si>
    <t xml:space="preserve">Main </t>
  </si>
  <si>
    <t>Dept # 122</t>
  </si>
  <si>
    <t>Wages Full Time</t>
  </si>
  <si>
    <t>Wages Part Time</t>
  </si>
  <si>
    <t>Chair, Selectmen</t>
  </si>
  <si>
    <t>2nd Member</t>
  </si>
  <si>
    <t>3rd Member</t>
  </si>
  <si>
    <t>P/T Temp Wages</t>
  </si>
  <si>
    <t>Cell Phone Stipend</t>
  </si>
  <si>
    <t>Compensatory time Buy-Back</t>
  </si>
  <si>
    <t>Sick Leave Buy-Back</t>
  </si>
  <si>
    <t>Vacation Leave Buy-Back (@7 weeks)</t>
  </si>
  <si>
    <t>Investigation Expense</t>
  </si>
  <si>
    <t>Seminars</t>
  </si>
  <si>
    <t>Other Prof/Tech/Minutes</t>
  </si>
  <si>
    <t>Telephone</t>
  </si>
  <si>
    <t>Advertising</t>
  </si>
  <si>
    <t>Office Supplies</t>
  </si>
  <si>
    <t>Streetscape Maintenance</t>
  </si>
  <si>
    <t>Subscriptions/Books</t>
  </si>
  <si>
    <t>Food</t>
  </si>
  <si>
    <t>Equipment &lt; $5K</t>
  </si>
  <si>
    <t>Travel</t>
  </si>
  <si>
    <t>Dues &amp; Memberships</t>
  </si>
  <si>
    <t>TOTAL BOARD OF SELECTMEN</t>
  </si>
  <si>
    <t>Date of</t>
  </si>
  <si>
    <t>Grade/Step</t>
  </si>
  <si>
    <t>Hourly</t>
  </si>
  <si>
    <t xml:space="preserve">Total </t>
  </si>
  <si>
    <t>Svc</t>
  </si>
  <si>
    <t>Hire</t>
  </si>
  <si>
    <t>Title</t>
  </si>
  <si>
    <t>Rate</t>
  </si>
  <si>
    <t>Hrs</t>
  </si>
  <si>
    <t>Annual</t>
  </si>
  <si>
    <t>DOH</t>
  </si>
  <si>
    <t>Long</t>
  </si>
  <si>
    <t>Town Administrator</t>
  </si>
  <si>
    <t>J10</t>
  </si>
  <si>
    <t>Asst Town Administrator</t>
  </si>
  <si>
    <t>I2</t>
  </si>
  <si>
    <t>Executive Assistant FT as of 7/1/20</t>
  </si>
  <si>
    <t>E10</t>
  </si>
  <si>
    <t>Selectboard AA</t>
  </si>
  <si>
    <t>B2</t>
  </si>
  <si>
    <t>Part Time Temp Wages</t>
  </si>
  <si>
    <t>Other Prof/Tech (mtg Minutes for FY18)</t>
  </si>
  <si>
    <t>Dept # 131</t>
  </si>
  <si>
    <t>Printing/Bookbinding</t>
  </si>
  <si>
    <t>Other Professional - Minutes</t>
  </si>
  <si>
    <t>TOTAL FINANCE COMMITTEE</t>
  </si>
  <si>
    <t>32 mtgs @$15/hr x 3 hrs</t>
  </si>
  <si>
    <t>Dept # 132</t>
  </si>
  <si>
    <t>TOTAL RESERVE FUND</t>
  </si>
  <si>
    <t>ACCOUNTANT</t>
  </si>
  <si>
    <t>Dept # 135</t>
  </si>
  <si>
    <t>Computer Software Maintenance</t>
  </si>
  <si>
    <t>per Anna 11/1</t>
  </si>
  <si>
    <t>Office Equipment R &amp; M</t>
  </si>
  <si>
    <t>Software Upgrade - Cloud Based</t>
  </si>
  <si>
    <t xml:space="preserve">Other Prof/Tech </t>
  </si>
  <si>
    <t>Other Prof/Tech (contingency for upgrade)</t>
  </si>
  <si>
    <t>Equipment &lt; $5k</t>
  </si>
  <si>
    <t>TOTAL ACCOUNTANT</t>
  </si>
  <si>
    <t>Staffing - Base Wages excluding Overtime/Shift/Holiday</t>
  </si>
  <si>
    <t>Anniv</t>
  </si>
  <si>
    <t>Date</t>
  </si>
  <si>
    <t>Town Accountant</t>
  </si>
  <si>
    <t>G10</t>
  </si>
  <si>
    <t>COLA</t>
  </si>
  <si>
    <t>this increases annually</t>
  </si>
  <si>
    <t>Software Upgrade</t>
  </si>
  <si>
    <t>one time exp in FY23</t>
  </si>
  <si>
    <t>increase in toner cost/use. See detail below</t>
  </si>
  <si>
    <t>Software maint estimated to increase 3.5%.</t>
  </si>
  <si>
    <t>Seminars to include annual school (300) and What's New in Municpal Law (50)</t>
  </si>
  <si>
    <t>Travel budgeted to accomodate above meetings.</t>
  </si>
  <si>
    <t>Office Supplies detail</t>
  </si>
  <si>
    <t>est cost</t>
  </si>
  <si>
    <t>tax forms</t>
  </si>
  <si>
    <t>Treas now ordering/paying</t>
  </si>
  <si>
    <t>Binders for Perm P/R records</t>
  </si>
  <si>
    <t>4 toners</t>
  </si>
  <si>
    <t>Payroll Reg</t>
  </si>
  <si>
    <t>10 3" binders @$12</t>
  </si>
  <si>
    <t>new printer-toner lower yield</t>
  </si>
  <si>
    <t>Dept p/rs</t>
  </si>
  <si>
    <t>misc - folders, etc</t>
  </si>
  <si>
    <t>PR Warrants</t>
  </si>
  <si>
    <t>Unanticipated</t>
  </si>
  <si>
    <t>Ws, Emp Hx</t>
  </si>
  <si>
    <t>Dept # 141</t>
  </si>
  <si>
    <t>Chair</t>
  </si>
  <si>
    <t>Temporary Wages</t>
  </si>
  <si>
    <t>Vacation Buy Back</t>
  </si>
  <si>
    <t>Sick Leave Buy Back</t>
  </si>
  <si>
    <t>Patriot Software Contract</t>
  </si>
  <si>
    <t>Point Annual Software Maintenance</t>
  </si>
  <si>
    <t>Mapping/GIS/Internet</t>
  </si>
  <si>
    <t>Registry of Deeds</t>
  </si>
  <si>
    <t>Other Professional/Technical</t>
  </si>
  <si>
    <t>Utility Valuation Services</t>
  </si>
  <si>
    <t>Citizen Serve 1 license</t>
  </si>
  <si>
    <t>Cyclical/Interim Revaluation</t>
  </si>
  <si>
    <t>Abatement Software</t>
  </si>
  <si>
    <t>TOTAL CAPITAL OUTLAY</t>
  </si>
  <si>
    <t>TOTAL BOARD OF ASSESSORS</t>
  </si>
  <si>
    <t>Hours</t>
  </si>
  <si>
    <t>Director of Assessing</t>
  </si>
  <si>
    <t>Assessing Technician</t>
  </si>
  <si>
    <t>B5</t>
  </si>
  <si>
    <t>Utility Appraisal Service</t>
  </si>
  <si>
    <t>CitizenServe 1 license</t>
  </si>
  <si>
    <t>Questions:</t>
  </si>
  <si>
    <t>Summary of duties of municipal assessors:</t>
  </si>
  <si>
    <t>Complete DLS(Department of Revenue Division of Local Services) Course 101</t>
  </si>
  <si>
    <t>Value all real and personal property within the municipality on a fair cash basis. Inspect property sales, implement a cyclical</t>
  </si>
  <si>
    <t>property reinspection program, complete annual property adjustment analysis, and prepare for triennial certification of property</t>
  </si>
  <si>
    <t>values by DLS.</t>
  </si>
  <si>
    <t>Conduct inspections of building permit properties and determin new growth for the levy limit.</t>
  </si>
  <si>
    <t>Fix the annual tax levy and set the tax rate. Participate in the preparation of the Tax Recapitulation Sheet.</t>
  </si>
  <si>
    <t>Establish the annual overlay amount for insertion in the Tax Recap Sheet.</t>
  </si>
  <si>
    <t>Determine any overlay surplus.</t>
  </si>
  <si>
    <t>Assess and administer motor vehicle, farm, and boat excises.</t>
  </si>
  <si>
    <t>Prepare the valuation and commitment list.</t>
  </si>
  <si>
    <t>Commit original and apportioned betterments to the collector.</t>
  </si>
  <si>
    <t>Commit delinquent municipal charges, including water and sewer liens and charges, to tax bills.</t>
  </si>
  <si>
    <t>Sign the commitment under oath and send it with a warrant to the collector.</t>
  </si>
  <si>
    <t>Send a notice of the commitment to the accountant/auditor.</t>
  </si>
  <si>
    <t>Process and act on abatement and exemption applications.</t>
  </si>
  <si>
    <t>Send copies of approved abatement and exemption certificates to the collector and accountant/auditor.</t>
  </si>
  <si>
    <t>Meet all DLS regulatory requirements and assessment administration standards.</t>
  </si>
  <si>
    <t>TREAS/COLLECTOR</t>
  </si>
  <si>
    <t>Dept # 145</t>
  </si>
  <si>
    <t>Additional P/T Hours (see note below)</t>
  </si>
  <si>
    <t>Software Maint, charges</t>
  </si>
  <si>
    <t>Financial Advisor Services</t>
  </si>
  <si>
    <t>Insurance</t>
  </si>
  <si>
    <t>Tax Title Foreclosure</t>
  </si>
  <si>
    <t>TOTAL TREASURER/COLLECTOR</t>
  </si>
  <si>
    <t>Treasurer/Collector</t>
  </si>
  <si>
    <t>Treasurer MGL Ch41:108P Stipend</t>
  </si>
  <si>
    <t>Treasury &amp; Collections Spec (35/wk)</t>
  </si>
  <si>
    <t>B10</t>
  </si>
  <si>
    <t>Assistant Treas/Coll</t>
  </si>
  <si>
    <t>D7</t>
  </si>
  <si>
    <t>Treasury &amp; Collections Spec (20/wk)</t>
  </si>
  <si>
    <t xml:space="preserve">Questions: </t>
  </si>
  <si>
    <t>Dept # 151</t>
  </si>
  <si>
    <t>Labor Negotiations</t>
  </si>
  <si>
    <t>Counsel - Pipeline Legal Exp</t>
  </si>
  <si>
    <t>TOTAL TOWN COUNSEL</t>
  </si>
  <si>
    <t>Information Technology</t>
  </si>
  <si>
    <t>Dept #155</t>
  </si>
  <si>
    <t>IT Administrator Stipend</t>
  </si>
  <si>
    <t>PT Temp</t>
  </si>
  <si>
    <t>TOTAL WAGES</t>
  </si>
  <si>
    <t>IT Consultant</t>
  </si>
  <si>
    <t>Comcast/Crocker DSL Line</t>
  </si>
  <si>
    <t>Office 365 Licenses</t>
  </si>
  <si>
    <t>Miscellaneous Expenses</t>
  </si>
  <si>
    <t>CARES ineligible Exp</t>
  </si>
  <si>
    <t>Equipment &lt;$5K</t>
  </si>
  <si>
    <t>TOTAL</t>
  </si>
  <si>
    <t>ESET Licenses</t>
  </si>
  <si>
    <t>Expire</t>
  </si>
  <si>
    <t>FY</t>
  </si>
  <si>
    <t>E-mail Licenses + 5 server licenses</t>
  </si>
  <si>
    <t>38 workstation + 5 server licenses</t>
  </si>
  <si>
    <t>Other Licenses</t>
  </si>
  <si>
    <t>Adobe either 2 or 4</t>
  </si>
  <si>
    <t>Office 365</t>
  </si>
  <si>
    <t>Dept #159</t>
  </si>
  <si>
    <t>Copier/Duplicator Lease</t>
  </si>
  <si>
    <t xml:space="preserve">Annual Audit </t>
  </si>
  <si>
    <t>35K + 5K if add'l single audit needed</t>
  </si>
  <si>
    <t>Printing Annual Report</t>
  </si>
  <si>
    <t xml:space="preserve">GASB 45 </t>
  </si>
  <si>
    <t>Continuing Disclosure Fee (Debt)</t>
  </si>
  <si>
    <t>Citizen Serve Annual Fees FY20-Dept</t>
  </si>
  <si>
    <t>TFFD may use one license and be billed for it</t>
  </si>
  <si>
    <t>Shared Telephone Exp</t>
  </si>
  <si>
    <t>DPW, Libraries Crocker vs Verizon</t>
  </si>
  <si>
    <t>Postage Meter Rental</t>
  </si>
  <si>
    <t>Code Red - Price Locked Forever</t>
  </si>
  <si>
    <t>Shared Paper</t>
  </si>
  <si>
    <t>Copier/Duplicator Supplies</t>
  </si>
  <si>
    <t>Annual Audit (FY17 expected at 28K)</t>
  </si>
  <si>
    <t>Citizen Serve Annual Fees (Permits)</t>
  </si>
  <si>
    <t>Note on future audit fees:</t>
  </si>
  <si>
    <t>base fee</t>
  </si>
  <si>
    <t>plus fee for additional Single Audit of 4K</t>
  </si>
  <si>
    <t>Dept # 161</t>
  </si>
  <si>
    <t>1st Registrar</t>
  </si>
  <si>
    <t>2nd Registrar</t>
  </si>
  <si>
    <t>3rd Registrar</t>
  </si>
  <si>
    <t xml:space="preserve">P/T Wages Temp </t>
  </si>
  <si>
    <t>Overtime</t>
  </si>
  <si>
    <t>Sick Leave BuyBack</t>
  </si>
  <si>
    <t>Vacation BuyBack</t>
  </si>
  <si>
    <t>Software and Storage Support</t>
  </si>
  <si>
    <t>Food for Pollworkers</t>
  </si>
  <si>
    <t>Clerk Equip &lt; $2K</t>
  </si>
  <si>
    <t>TOTAL TOWN CLERK</t>
  </si>
  <si>
    <t>Town Clerk</t>
  </si>
  <si>
    <t>Town Clerk BOR Stipend</t>
  </si>
  <si>
    <t>MGL Ch41:19K Stipend</t>
  </si>
  <si>
    <t>Assistant Town Clerk</t>
  </si>
  <si>
    <t>D10</t>
  </si>
  <si>
    <t>PLANNER</t>
  </si>
  <si>
    <t>Dept # 175</t>
  </si>
  <si>
    <t>Software Maintenance</t>
  </si>
  <si>
    <t>Planning Intern through Umass</t>
  </si>
  <si>
    <r>
      <t xml:space="preserve">Citizen Serve - </t>
    </r>
    <r>
      <rPr>
        <strike/>
        <sz val="10"/>
        <rFont val="Arial"/>
        <family val="2"/>
      </rPr>
      <t>2</t>
    </r>
    <r>
      <rPr>
        <sz val="10"/>
        <rFont val="Arial"/>
        <family val="2"/>
      </rPr>
      <t xml:space="preserve"> licenses 1 for FY21</t>
    </r>
  </si>
  <si>
    <t>Other Services</t>
  </si>
  <si>
    <t>Equipment &lt; $2K</t>
  </si>
  <si>
    <t>TOTAL PLANNING</t>
  </si>
  <si>
    <t>Staffing</t>
  </si>
  <si>
    <t xml:space="preserve"> Dir Planning &amp; Comm Dev</t>
  </si>
  <si>
    <t>Assistant Planner</t>
  </si>
  <si>
    <t>D6</t>
  </si>
  <si>
    <t>New planner at lower step offsets steps and COLAs</t>
  </si>
  <si>
    <t>Citizen Serve - 2 licenses</t>
  </si>
  <si>
    <t>Dept # 176</t>
  </si>
  <si>
    <t>Updating Maps</t>
  </si>
  <si>
    <t>TOTAL ZBA</t>
  </si>
  <si>
    <t>General Category: General Government</t>
  </si>
  <si>
    <t>Dept # 182</t>
  </si>
  <si>
    <t>Coordinator Stipend</t>
  </si>
  <si>
    <t>Insurance (Bd Directors)</t>
  </si>
  <si>
    <t>TOTAL MEDIC</t>
  </si>
  <si>
    <t>UTILITIES</t>
  </si>
  <si>
    <t>Dept # 190</t>
  </si>
  <si>
    <t>5211-192</t>
  </si>
  <si>
    <t>Electricity- Town Hall</t>
  </si>
  <si>
    <t>Note: after reviewing calculations for FY23 STM, it looks like I actually budgeted the rate increase for supply costs for a whole year, so I recommend just rounding up.</t>
  </si>
  <si>
    <t>5211-193</t>
  </si>
  <si>
    <t>Electricity - 15 Center St</t>
  </si>
  <si>
    <t>5211-194</t>
  </si>
  <si>
    <t>Electricity Shea</t>
  </si>
  <si>
    <t>5211-211</t>
  </si>
  <si>
    <t>Electricity - Police Station</t>
  </si>
  <si>
    <t>5211-422</t>
  </si>
  <si>
    <t>Electricity- DPW</t>
  </si>
  <si>
    <t>5211-424</t>
  </si>
  <si>
    <t>Electicity - Traffic lights</t>
  </si>
  <si>
    <t>5211-433</t>
  </si>
  <si>
    <t>Electricity-Landfill</t>
  </si>
  <si>
    <t>5211-652</t>
  </si>
  <si>
    <t>Electricity-Unity Park</t>
  </si>
  <si>
    <t>5213-422</t>
  </si>
  <si>
    <t>Heating Oil-DPW</t>
  </si>
  <si>
    <t>5214-192</t>
  </si>
  <si>
    <t>Natural Gas- Town Hall</t>
  </si>
  <si>
    <t>5214-193</t>
  </si>
  <si>
    <t>Propane-15 Center St</t>
  </si>
  <si>
    <t>5214-197</t>
  </si>
  <si>
    <t>Natural Gas - Shea</t>
  </si>
  <si>
    <t>5214-211</t>
  </si>
  <si>
    <t>Natural Gas - Police Station</t>
  </si>
  <si>
    <t>5214-652</t>
  </si>
  <si>
    <t>Natural Gas-Unity Park</t>
  </si>
  <si>
    <t>5231-192</t>
  </si>
  <si>
    <t>Water-Town Hall</t>
  </si>
  <si>
    <t>5231-193</t>
  </si>
  <si>
    <t>Water - 15 Center St</t>
  </si>
  <si>
    <t>5231-194</t>
  </si>
  <si>
    <t>Water - Shea</t>
  </si>
  <si>
    <t>5231-211</t>
  </si>
  <si>
    <t>Water - Police Station</t>
  </si>
  <si>
    <t>5231-422</t>
  </si>
  <si>
    <t>Water-DPW</t>
  </si>
  <si>
    <t>5231-433</t>
  </si>
  <si>
    <t>Water-Landfill</t>
  </si>
  <si>
    <t>5231-652</t>
  </si>
  <si>
    <t>Water-Unity Park</t>
  </si>
  <si>
    <t>5232-192</t>
  </si>
  <si>
    <t>Sewer-Town Hall</t>
  </si>
  <si>
    <t>5232-193</t>
  </si>
  <si>
    <t>Sewer - 15 Center St</t>
  </si>
  <si>
    <t>5232-194</t>
  </si>
  <si>
    <t>Sewer 15 School St</t>
  </si>
  <si>
    <t>5232-211</t>
  </si>
  <si>
    <t>Sewer - Police Station</t>
  </si>
  <si>
    <t>5232-422</t>
  </si>
  <si>
    <t xml:space="preserve">Sewer-DPW </t>
  </si>
  <si>
    <t>5232-541</t>
  </si>
  <si>
    <t>Sewer - 62 5th St</t>
  </si>
  <si>
    <t>5232-652</t>
  </si>
  <si>
    <t>Sewer-Unity Park</t>
  </si>
  <si>
    <t>TOTAL PUBLIC BLDG UTILITIES</t>
  </si>
  <si>
    <t>General Category: Public Safety</t>
  </si>
  <si>
    <t>Dept # 211</t>
  </si>
  <si>
    <t>Salaries Full Time</t>
  </si>
  <si>
    <t>P/T Wages Custodial</t>
  </si>
  <si>
    <t>P/T Wages</t>
  </si>
  <si>
    <t>F/T Wages O/T</t>
  </si>
  <si>
    <t>Court Time</t>
  </si>
  <si>
    <t>Educational Incentive Pay</t>
  </si>
  <si>
    <t>Shift Differential</t>
  </si>
  <si>
    <t>Paid Holidays</t>
  </si>
  <si>
    <t>Cell Phone Stipends</t>
  </si>
  <si>
    <t>K-9 Stipends</t>
  </si>
  <si>
    <t>On-Call Detective Stipend</t>
  </si>
  <si>
    <t>111F Regular Wages</t>
  </si>
  <si>
    <t>111F Incentive Pay</t>
  </si>
  <si>
    <t>111F Holiday Pay</t>
  </si>
  <si>
    <t>Fitness Stipend</t>
  </si>
  <si>
    <t>Vacation/Sick Leave Buyback</t>
  </si>
  <si>
    <t>Training</t>
  </si>
  <si>
    <t>Building R &amp; M</t>
  </si>
  <si>
    <t>Leases/Support/Contracts</t>
  </si>
  <si>
    <t>Equipment R &amp; M</t>
  </si>
  <si>
    <t>Generator Maintenance &amp; Fuel</t>
  </si>
  <si>
    <t>Seminars/Training</t>
  </si>
  <si>
    <t>Police Academy Expenses</t>
  </si>
  <si>
    <t>Meals For Prisoners</t>
  </si>
  <si>
    <t>Dry Cleaning</t>
  </si>
  <si>
    <t>Cleaning Supplies</t>
  </si>
  <si>
    <t>Vehicle Supplies &amp; Maintenance</t>
  </si>
  <si>
    <t>Gasoline</t>
  </si>
  <si>
    <t>Drug Investigation</t>
  </si>
  <si>
    <t>Other Supplies</t>
  </si>
  <si>
    <t>Uniforms/Clothing</t>
  </si>
  <si>
    <t>Ammunition</t>
  </si>
  <si>
    <t>CARES Ineligible Exp</t>
  </si>
  <si>
    <t>*add'l steps per contract, but capped at I10</t>
  </si>
  <si>
    <t>Incent</t>
  </si>
  <si>
    <t>Days/Hrs</t>
  </si>
  <si>
    <t>Incentive</t>
  </si>
  <si>
    <t>Chief Williams</t>
  </si>
  <si>
    <t xml:space="preserve">I10* </t>
  </si>
  <si>
    <t>Lieutenant Bonnett</t>
  </si>
  <si>
    <t>G+8.5%/10</t>
  </si>
  <si>
    <t xml:space="preserve">Staff Sgt Deery </t>
  </si>
  <si>
    <t>SS5</t>
  </si>
  <si>
    <t>Sgt Dempsey</t>
  </si>
  <si>
    <t>S5</t>
  </si>
  <si>
    <t>Sgt Hoffman</t>
  </si>
  <si>
    <t>Sgt Lapachinski</t>
  </si>
  <si>
    <t xml:space="preserve">Detective Lapean </t>
  </si>
  <si>
    <t>D8</t>
  </si>
  <si>
    <t>Detective  Moody</t>
  </si>
  <si>
    <t>Patrolman Miner (GM SRO)</t>
  </si>
  <si>
    <t>P8</t>
  </si>
  <si>
    <t>Patrolman Sevene (FCTS SRO)</t>
  </si>
  <si>
    <t xml:space="preserve">K9 Patrolman Ruddock </t>
  </si>
  <si>
    <t>Patrolman Holland</t>
  </si>
  <si>
    <t>Patrolman Pervere</t>
  </si>
  <si>
    <t>Patrolman Dobosz</t>
  </si>
  <si>
    <t xml:space="preserve">Patrolman Wells </t>
  </si>
  <si>
    <t>P6</t>
  </si>
  <si>
    <t>Patrolman Williams</t>
  </si>
  <si>
    <t>P4</t>
  </si>
  <si>
    <t>New Sgt</t>
  </si>
  <si>
    <t>S3</t>
  </si>
  <si>
    <t xml:space="preserve"> </t>
  </si>
  <si>
    <t>Barry Kratz</t>
  </si>
  <si>
    <t>A9</t>
  </si>
  <si>
    <t>increase/costs</t>
  </si>
  <si>
    <t>Travel/Seminars</t>
  </si>
  <si>
    <t>Cell phone stipend</t>
  </si>
  <si>
    <t>TFFD Shift</t>
  </si>
  <si>
    <t>Unused Vacation Buy Back</t>
  </si>
  <si>
    <t>Unused Sick Leave Buy Back</t>
  </si>
  <si>
    <t>EMD Services - MedCare</t>
  </si>
  <si>
    <t>TOTAL DISPATCH</t>
  </si>
  <si>
    <t>Hrly</t>
  </si>
  <si>
    <t>Rate #1</t>
  </si>
  <si>
    <t>Full-Time</t>
  </si>
  <si>
    <t>Dispatch Supervisor/Office Adm MO</t>
  </si>
  <si>
    <t>7/1/21</t>
  </si>
  <si>
    <t>Communications Officer F/T RW</t>
  </si>
  <si>
    <t>D3</t>
  </si>
  <si>
    <t>2</t>
  </si>
  <si>
    <t>11/1/19</t>
  </si>
  <si>
    <t>Communications Officer F/T TH</t>
  </si>
  <si>
    <t>4</t>
  </si>
  <si>
    <t>8/22/16</t>
  </si>
  <si>
    <t>Communications Officer F/T SC</t>
  </si>
  <si>
    <t>7</t>
  </si>
  <si>
    <t>Communications Officer F/T GD</t>
  </si>
  <si>
    <t>11/13/21</t>
  </si>
  <si>
    <t>Communications Officer F/T AM</t>
  </si>
  <si>
    <t>D2</t>
  </si>
  <si>
    <t>BUILDING DEPT</t>
  </si>
  <si>
    <t>Dept # 241</t>
  </si>
  <si>
    <t>P/T Wages Temp</t>
  </si>
  <si>
    <t>P/T Wages Building Inspector</t>
  </si>
  <si>
    <t>P/T Wages Gas Inspector</t>
  </si>
  <si>
    <t>P/T Wages Plumbing Inspector</t>
  </si>
  <si>
    <t>P/T Wages Electrical Inspector</t>
  </si>
  <si>
    <t>Telephone/Ipad service</t>
  </si>
  <si>
    <r>
      <t xml:space="preserve">Citizen Serve </t>
    </r>
    <r>
      <rPr>
        <strike/>
        <sz val="10"/>
        <rFont val="Arial"/>
        <family val="2"/>
      </rPr>
      <t>4</t>
    </r>
    <r>
      <rPr>
        <sz val="10"/>
        <rFont val="Arial"/>
        <family val="2"/>
      </rPr>
      <t xml:space="preserve"> licenses-3 for FY21</t>
    </r>
  </si>
  <si>
    <t>2 Ipads</t>
  </si>
  <si>
    <t>TOTAL BUILDING INSPECTOR</t>
  </si>
  <si>
    <t>Rate #2</t>
  </si>
  <si>
    <t>G4</t>
  </si>
  <si>
    <t>Building Admin Asst</t>
  </si>
  <si>
    <t>Citizen Serve 4 licenses</t>
  </si>
  <si>
    <t>SEALER OF WEIGHTS</t>
  </si>
  <si>
    <t>Dept # 244</t>
  </si>
  <si>
    <t>Professional/Technical</t>
  </si>
  <si>
    <t>TOTAL SEALER OF WEIGHTS</t>
  </si>
  <si>
    <t>EMERGENCY MGMT</t>
  </si>
  <si>
    <t>Dept # 291</t>
  </si>
  <si>
    <t>Stipend - EM Director</t>
  </si>
  <si>
    <t>FRCOG REPC Assessment</t>
  </si>
  <si>
    <t>Supplies</t>
  </si>
  <si>
    <t>TOTAL EMERGENCY MGMT</t>
  </si>
  <si>
    <t>P/T Salaries - EM Director</t>
  </si>
  <si>
    <t>Dept # 292</t>
  </si>
  <si>
    <t>Software Program Support</t>
  </si>
  <si>
    <t>FC Sheriff's fee to run shelter</t>
  </si>
  <si>
    <t>Medical - Vet</t>
  </si>
  <si>
    <t>Poster Distribution</t>
  </si>
  <si>
    <t>Shared Animal Control Officer</t>
  </si>
  <si>
    <t>Office Supplies-Tags/Licenses</t>
  </si>
  <si>
    <t>Montague Share ACO Vehicle</t>
  </si>
  <si>
    <t>Dept # 294</t>
  </si>
  <si>
    <t>P/T Wages Forest Warden</t>
  </si>
  <si>
    <t>Dept # 299</t>
  </si>
  <si>
    <t>Elected Officials</t>
  </si>
  <si>
    <t>Tree Removal &amp; Trimming</t>
  </si>
  <si>
    <t>Trees and related supplies</t>
  </si>
  <si>
    <t>TOTAL TREE WARDEN</t>
  </si>
  <si>
    <t>Tree Removal</t>
  </si>
  <si>
    <t>General Category</t>
  </si>
  <si>
    <t>Dept # 300</t>
  </si>
  <si>
    <t>Franklin Cty Tech School</t>
  </si>
  <si>
    <t>Franklin Cty Tech School Capital</t>
  </si>
  <si>
    <t>TOTAL FRANKLIN TECH</t>
  </si>
  <si>
    <t>5322-003</t>
  </si>
  <si>
    <t xml:space="preserve">GMRSD </t>
  </si>
  <si>
    <t>TOTAL GILL-MONTAGUE</t>
  </si>
  <si>
    <t>Out of District Tech Transport</t>
  </si>
  <si>
    <t xml:space="preserve">FCTS: Note policy of using a three year rolling average enrollment multiplied by the current year (as opposed to budget year) per-student cost to </t>
  </si>
  <si>
    <t>determine the expected assessment, and transferring any difference in excess of $10,000 to or from the Franklin County Tech School Stabilization Fund.</t>
  </si>
  <si>
    <t>FY15</t>
  </si>
  <si>
    <t>General Category: Public Works</t>
  </si>
  <si>
    <t>DPW COMBINED</t>
  </si>
  <si>
    <t>Dept # 420</t>
  </si>
  <si>
    <t xml:space="preserve">F/T Wages </t>
  </si>
  <si>
    <t xml:space="preserve">Part Time Temp Wages </t>
  </si>
  <si>
    <t>F/T Wages OT</t>
  </si>
  <si>
    <t>Siemens annual monitoring</t>
  </si>
  <si>
    <t>Buildings R &amp; M</t>
  </si>
  <si>
    <t>HVAC R &amp; M</t>
  </si>
  <si>
    <t>Vehicles R &amp; M</t>
  </si>
  <si>
    <t>Computer R &amp; M/Support</t>
  </si>
  <si>
    <t>Other Equipment R &amp; M</t>
  </si>
  <si>
    <t>Rental/Lease Vehicles</t>
  </si>
  <si>
    <t>Uniform Rental/Cleaning</t>
  </si>
  <si>
    <t>DOT Testing</t>
  </si>
  <si>
    <t>Other Professional &amp; Technical</t>
  </si>
  <si>
    <t>Street Line Painting</t>
  </si>
  <si>
    <t>Telephone/Internet/Pagers</t>
  </si>
  <si>
    <t>Building R &amp; M Supplies</t>
  </si>
  <si>
    <t>Electrical</t>
  </si>
  <si>
    <t>Hand Tools</t>
  </si>
  <si>
    <t>Oil &amp; Lubricants</t>
  </si>
  <si>
    <t>Misc. Parts &amp; Accessories</t>
  </si>
  <si>
    <t>Groundskeeping Supplies</t>
  </si>
  <si>
    <t>Diesel</t>
  </si>
  <si>
    <t>Vehicle Parts &amp; Accessories</t>
  </si>
  <si>
    <t>Medical Supplies</t>
  </si>
  <si>
    <t>Public Works Supplies</t>
  </si>
  <si>
    <t>Sidewalk Materials</t>
  </si>
  <si>
    <t>Trees</t>
  </si>
  <si>
    <t>Dues/Memberships</t>
  </si>
  <si>
    <t>Hoister &amp; Other Licenses</t>
  </si>
  <si>
    <t>Flail Mower Lease FY18-22</t>
  </si>
  <si>
    <t>Yrs FY24</t>
  </si>
  <si>
    <t>Superintendent                          TB</t>
  </si>
  <si>
    <t>H10</t>
  </si>
  <si>
    <t>Office Manager                         BP</t>
  </si>
  <si>
    <t>E7</t>
  </si>
  <si>
    <t>Working Foreman                      WS</t>
  </si>
  <si>
    <t>F7</t>
  </si>
  <si>
    <t>Shop Foreman                          DR</t>
  </si>
  <si>
    <t>E6</t>
  </si>
  <si>
    <t xml:space="preserve">Lead Mechanic                        MN  </t>
  </si>
  <si>
    <t>D4</t>
  </si>
  <si>
    <t>Building Maintenenance           JW</t>
  </si>
  <si>
    <t>C10</t>
  </si>
  <si>
    <t xml:space="preserve">Custodian                                  AM  </t>
  </si>
  <si>
    <t>A10</t>
  </si>
  <si>
    <t>Grounds Maintenance               CT</t>
  </si>
  <si>
    <t>C5</t>
  </si>
  <si>
    <t>Grounds Maintenance               JK</t>
  </si>
  <si>
    <t>C2</t>
  </si>
  <si>
    <t>Landfill Assistant 14 hrs/wk       DW</t>
  </si>
  <si>
    <t>A3</t>
  </si>
  <si>
    <t xml:space="preserve">Heavy Equipment Oper             DA          </t>
  </si>
  <si>
    <t>Heavy Equipment Oper               KB</t>
  </si>
  <si>
    <t>Heavy Equipment Oper              JD</t>
  </si>
  <si>
    <t>D5</t>
  </si>
  <si>
    <t>Truck Driver/Laborer                 BR</t>
  </si>
  <si>
    <t>C4</t>
  </si>
  <si>
    <t xml:space="preserve">Truck Driver/Laborer                </t>
  </si>
  <si>
    <t>Truck Driver/Laborer                 BH</t>
  </si>
  <si>
    <t>Truck Driver/Laborer                RB</t>
  </si>
  <si>
    <t>C9</t>
  </si>
  <si>
    <t>Using NAGE</t>
  </si>
  <si>
    <t xml:space="preserve">4 day schedule week </t>
  </si>
  <si>
    <t>A few notes about the DPW Budgets:</t>
  </si>
  <si>
    <t>·        The Department 420 is a summary tab that combines 192 (Public Buildings Maintenance, 422 Streets) and 652 (Parks). Wages for all DPW employees are shown on the bottom of this page, but the individual wages are budgeted in the appropriate tab. One can track the individuals budgeted in each subgroup by following the cell references in the budgeted wages.</t>
  </si>
  <si>
    <t>·        The wages for the part-time Landfill Assistant appear in Department 433, Solid Waste.</t>
  </si>
  <si>
    <t>·        Budgets for departments 192 and 652 each have 3 full-time employees.</t>
  </si>
  <si>
    <t>·        The budget for Department 422 includes wages for 11 full-time employees.</t>
  </si>
  <si>
    <t xml:space="preserve">Potential point of interest. Tom wants 2 more FT staff for tree work at an est cost of $60k/yr each. MD Tree charges $1100/day for tree work. We've been paying for about 15 days/years. </t>
  </si>
  <si>
    <t xml:space="preserve">Is it worth considering spending an extra $45K a year for 8 more full weeks of tree work (totalling 11 weeks) to catch up on the backlog without permanently increasing the budget? </t>
  </si>
  <si>
    <t>Main 440</t>
  </si>
  <si>
    <t>PUBLIC BUILDINGS</t>
  </si>
  <si>
    <t>Dept # 192</t>
  </si>
  <si>
    <t>F/T Wages</t>
  </si>
  <si>
    <t>HVAC Equip R &amp; M</t>
  </si>
  <si>
    <t>TOTAL PUBLIC BUILDINGS</t>
  </si>
  <si>
    <t>contractual agreement</t>
  </si>
  <si>
    <t>CONSTRUCTION/MAINTENANCE</t>
  </si>
  <si>
    <t>Dept # 422</t>
  </si>
  <si>
    <t>Shift Differential incl Beeper Pay 07+</t>
  </si>
  <si>
    <t>Computer R&amp; M/ Support</t>
  </si>
  <si>
    <t>Uniform Rental/Ceaning</t>
  </si>
  <si>
    <t>Electrical Supplies</t>
  </si>
  <si>
    <t>Tools</t>
  </si>
  <si>
    <t>Equip &lt; $5K</t>
  </si>
  <si>
    <t>Flail Mower Lease FY18-22, Vactor 23-26</t>
  </si>
  <si>
    <t>TOTAL CONSTRUCTION/MAINT</t>
  </si>
  <si>
    <t>Flail Mower Lease</t>
  </si>
  <si>
    <t>PARKS</t>
  </si>
  <si>
    <t>Dept # 652</t>
  </si>
  <si>
    <t xml:space="preserve">F/T Wages OT </t>
  </si>
  <si>
    <t>Other Prof/Tech</t>
  </si>
  <si>
    <t>TOTAL PARKS</t>
  </si>
  <si>
    <t>Dept # 423</t>
  </si>
  <si>
    <t>Wages P/T Temp</t>
  </si>
  <si>
    <t>Pager Pay</t>
  </si>
  <si>
    <t>Salt</t>
  </si>
  <si>
    <t>Sand</t>
  </si>
  <si>
    <t>Plow Items</t>
  </si>
  <si>
    <t>TOTAL SNOW &amp; ICE</t>
  </si>
  <si>
    <t>$8K Res Fund Trans</t>
  </si>
  <si>
    <t>MGL Chapter 44, section 31D states that snow and ice budgets may be overspent in an emergency provided that the current budget equals or exceeds the prior year's budget. There is no requirement to increase the budget.</t>
  </si>
  <si>
    <t>Dept # 433</t>
  </si>
  <si>
    <t>CO Review</t>
  </si>
  <si>
    <t>Reallocate</t>
  </si>
  <si>
    <t>Line Items</t>
  </si>
  <si>
    <t>Solid Waste Removal - Republic</t>
  </si>
  <si>
    <t>Recyclables Removal - Republic</t>
  </si>
  <si>
    <t>Bulky Waste Removal</t>
  </si>
  <si>
    <t>Household Hazardous Waste</t>
  </si>
  <si>
    <t>Landfill Monitoring</t>
  </si>
  <si>
    <t>Tipping Fees (split from 5280)</t>
  </si>
  <si>
    <t>Recyclables - Non Republic</t>
  </si>
  <si>
    <t>Recycle Ctr Permit/Inspection</t>
  </si>
  <si>
    <t>Other Expenses</t>
  </si>
  <si>
    <t>TOTAL SOLID WASTE</t>
  </si>
  <si>
    <t>Solid Waste Removal</t>
  </si>
  <si>
    <t>Recyclables Removal</t>
  </si>
  <si>
    <t>Solid Waste Tipping Fees</t>
  </si>
  <si>
    <t>Charging Stations</t>
  </si>
  <si>
    <t>Dept # 480</t>
  </si>
  <si>
    <t>Electricity</t>
  </si>
  <si>
    <t>Network Service Fee</t>
  </si>
  <si>
    <t>Station Warranty</t>
  </si>
  <si>
    <t>TOTAL CHARGING STATIONS</t>
  </si>
  <si>
    <t>Dept # 491</t>
  </si>
  <si>
    <t>Grounds R &amp; M</t>
  </si>
  <si>
    <t>Green Cemetery Start up</t>
  </si>
  <si>
    <t>Capital Outlay</t>
  </si>
  <si>
    <t>TOTAL CEMETERY</t>
  </si>
  <si>
    <t>Green Cemetery Startup</t>
  </si>
  <si>
    <t>General Category: Human Services</t>
  </si>
  <si>
    <t>Dept # 511</t>
  </si>
  <si>
    <t xml:space="preserve">Wages Full Time </t>
  </si>
  <si>
    <t>P/T Health Inspector@ 25 hrs</t>
  </si>
  <si>
    <t>FT Clerk</t>
  </si>
  <si>
    <t>Animal Inspector</t>
  </si>
  <si>
    <t xml:space="preserve">Barn Inspector </t>
  </si>
  <si>
    <t>Burial Agent</t>
  </si>
  <si>
    <t>Medical Services</t>
  </si>
  <si>
    <t>Public Health Nurse Service</t>
  </si>
  <si>
    <t>Telephone/Tablet data packages</t>
  </si>
  <si>
    <r>
      <t xml:space="preserve">Citizen Serve </t>
    </r>
    <r>
      <rPr>
        <strike/>
        <sz val="10"/>
        <rFont val="Arial"/>
        <family val="2"/>
      </rPr>
      <t>3</t>
    </r>
    <r>
      <rPr>
        <sz val="10"/>
        <rFont val="Arial"/>
        <family val="2"/>
      </rPr>
      <t xml:space="preserve"> licenses-2 for FY21</t>
    </r>
  </si>
  <si>
    <t>Other Purchased Services</t>
  </si>
  <si>
    <t>TOTAL EXPENSE</t>
  </si>
  <si>
    <t>TOTAL BOARD OF HEALTH</t>
  </si>
  <si>
    <t>Director of Health</t>
  </si>
  <si>
    <t>G8</t>
  </si>
  <si>
    <t>Admin Asst</t>
  </si>
  <si>
    <t>Clerk (17.5 hrs )</t>
  </si>
  <si>
    <t>CitizenServe 3 licenses</t>
  </si>
  <si>
    <t>Miscellaneous</t>
  </si>
  <si>
    <t>Dept # 541</t>
  </si>
  <si>
    <t xml:space="preserve">Council on Aging Director </t>
  </si>
  <si>
    <t>Natural Gas</t>
  </si>
  <si>
    <t>Water</t>
  </si>
  <si>
    <t xml:space="preserve">Custodial Services </t>
  </si>
  <si>
    <t>TOTAL COUNCIL ON AGING</t>
  </si>
  <si>
    <t>Director increase from 17 to 21 hrs/wk)</t>
  </si>
  <si>
    <t>F8</t>
  </si>
  <si>
    <t>F10</t>
  </si>
  <si>
    <t>M-Th</t>
  </si>
  <si>
    <t>Custodial Services (16 hrs/wk)</t>
  </si>
  <si>
    <t>`</t>
  </si>
  <si>
    <t>VETERANS</t>
  </si>
  <si>
    <t>Dept # 543</t>
  </si>
  <si>
    <t>Ordinary Assistance</t>
  </si>
  <si>
    <t>Care &amp; Registration of Graves</t>
  </si>
  <si>
    <t>Burials</t>
  </si>
  <si>
    <t>TOTAL VETERANS</t>
  </si>
  <si>
    <t>General Category: Culture &amp; Recreation</t>
  </si>
  <si>
    <t>Dept # 610</t>
  </si>
  <si>
    <t>Wages - Substitutes</t>
  </si>
  <si>
    <t>Heating Oil</t>
  </si>
  <si>
    <t xml:space="preserve">Bldg R &amp; M </t>
  </si>
  <si>
    <t>Alarm Monitoring</t>
  </si>
  <si>
    <t xml:space="preserve">CWMARS </t>
  </si>
  <si>
    <t>Internet Connection</t>
  </si>
  <si>
    <t>Recreation Programs</t>
  </si>
  <si>
    <t>Book delivery to branches</t>
  </si>
  <si>
    <t>PO Box Rental</t>
  </si>
  <si>
    <t>Media</t>
  </si>
  <si>
    <t>TOTAL LIBRARIES</t>
  </si>
  <si>
    <t>Library Director</t>
  </si>
  <si>
    <t>Children's Librarian A R-L</t>
  </si>
  <si>
    <t>Admin Support Stipend</t>
  </si>
  <si>
    <t>Library Technician  KL 9/10/18</t>
  </si>
  <si>
    <t>B7</t>
  </si>
  <si>
    <t>A2</t>
  </si>
  <si>
    <t>A5</t>
  </si>
  <si>
    <t>A4</t>
  </si>
  <si>
    <t>A7</t>
  </si>
  <si>
    <t>someone needs to check with union to see if she's eligible</t>
  </si>
  <si>
    <t>B4</t>
  </si>
  <si>
    <t>Computer R &amp; M</t>
  </si>
  <si>
    <t>Internet</t>
  </si>
  <si>
    <t>Book Delivery</t>
  </si>
  <si>
    <t>RECREATION</t>
  </si>
  <si>
    <t>Dept # 630</t>
  </si>
  <si>
    <t>Director of Parks &amp; Recreation</t>
  </si>
  <si>
    <t>Clerk 20 hrs (25 FY23)</t>
  </si>
  <si>
    <t>Facilities/Grounds R&amp;M</t>
  </si>
  <si>
    <t>Pool Expenses - GMRSD</t>
  </si>
  <si>
    <t>Administrative Exp</t>
  </si>
  <si>
    <t>Copier Lease/Equip R&amp;M</t>
  </si>
  <si>
    <t>Playground Surface Materials</t>
  </si>
  <si>
    <t>Exp from Revolving fund</t>
  </si>
  <si>
    <t>Daily/Hrly</t>
  </si>
  <si>
    <t>Director of Parks &amp; Recreation (days)</t>
  </si>
  <si>
    <t>Clerk 20 hrs</t>
  </si>
  <si>
    <t>Historical Commission</t>
  </si>
  <si>
    <t>Dept # 691</t>
  </si>
  <si>
    <t>Miscellaneous Supplies</t>
  </si>
  <si>
    <t>TOTAL HISTORICAL COMMISSION</t>
  </si>
  <si>
    <t>#693</t>
  </si>
  <si>
    <t>TOTAL WAR MEMORIALS</t>
  </si>
  <si>
    <t>General Category: Debt Service</t>
  </si>
  <si>
    <t>DEBT</t>
  </si>
  <si>
    <t>Dept # 700</t>
  </si>
  <si>
    <t>FY25</t>
  </si>
  <si>
    <t>FY26</t>
  </si>
  <si>
    <t>FY27</t>
  </si>
  <si>
    <t>FY28</t>
  </si>
  <si>
    <t>FY29</t>
  </si>
  <si>
    <t>FY30</t>
  </si>
  <si>
    <t>FY31</t>
  </si>
  <si>
    <t>FY32</t>
  </si>
  <si>
    <t>FY33</t>
  </si>
  <si>
    <t>FY34</t>
  </si>
  <si>
    <t>FY35</t>
  </si>
  <si>
    <t>FY36</t>
  </si>
  <si>
    <t>FY37</t>
  </si>
  <si>
    <t>FY38</t>
  </si>
  <si>
    <t>FY39</t>
  </si>
  <si>
    <t>FY40</t>
  </si>
  <si>
    <t>FY41</t>
  </si>
  <si>
    <t>FY42</t>
  </si>
  <si>
    <t>FY43</t>
  </si>
  <si>
    <t>FY44</t>
  </si>
  <si>
    <t>FY45</t>
  </si>
  <si>
    <t>FY46</t>
  </si>
  <si>
    <t>FY47</t>
  </si>
  <si>
    <t>FY48</t>
  </si>
  <si>
    <t>FY49</t>
  </si>
  <si>
    <t>FY50</t>
  </si>
  <si>
    <t>Long Term Principal</t>
  </si>
  <si>
    <t>FSA General Obligation Bond</t>
  </si>
  <si>
    <t>Multi-Purpose 2006</t>
  </si>
  <si>
    <t>Police Station 11/15/09</t>
  </si>
  <si>
    <t>CSO MWPAT #05-22 $957,448</t>
  </si>
  <si>
    <t>CSO MWPAT #05-22A $1,911,052</t>
  </si>
  <si>
    <t>CSO USDA #91-16 $1,024,000</t>
  </si>
  <si>
    <t>CSO USDA #92-18 $958,000</t>
  </si>
  <si>
    <t>6/2/07 Montague Center Roof $95,475</t>
  </si>
  <si>
    <t>BAN paydown Sheffield Roof</t>
  </si>
  <si>
    <t>FRCOG Brownfields Loan Principal</t>
  </si>
  <si>
    <t>Final PSF Prinicpal $103,000</t>
  </si>
  <si>
    <t>Sheffield Roof</t>
  </si>
  <si>
    <t>Sheffield Parking Lot</t>
  </si>
  <si>
    <t>Skateboard Park</t>
  </si>
  <si>
    <t>#2 5/3/14 MF Soil Stab. $81,679</t>
  </si>
  <si>
    <t>Town Share $22 5/7/16 Siphon</t>
  </si>
  <si>
    <t>#1 3/29/18 DPW Facility 1st Debt</t>
  </si>
  <si>
    <t>#1 3/29/18 DPW Facility 2nd Debt</t>
  </si>
  <si>
    <t>#1 3/29/18 DPW Facility Final Debt</t>
  </si>
  <si>
    <t>#28 5/7/16 Strathmore Abatement</t>
  </si>
  <si>
    <t>Total Principal</t>
  </si>
  <si>
    <t>Amount retired in 10 years</t>
  </si>
  <si>
    <t>Long Term Interest</t>
  </si>
  <si>
    <t>% retired in 10 years</t>
  </si>
  <si>
    <t>5930-100</t>
  </si>
  <si>
    <t>CSO MWPAT #05-22 $957,448 Adm</t>
  </si>
  <si>
    <t>5931-100</t>
  </si>
  <si>
    <t>CSO MWPAT #05-22A $1,911,052 Adm</t>
  </si>
  <si>
    <t>FRCOG Brownfields Loan Interest</t>
  </si>
  <si>
    <t>Final PSF Interest $103,000</t>
  </si>
  <si>
    <t>#2 5/3/14 MF Soil Stab #81,679</t>
  </si>
  <si>
    <t>Town Share #22 5/7/16 Siphon</t>
  </si>
  <si>
    <t>752-5920</t>
  </si>
  <si>
    <t>S/T Interest Police Station</t>
  </si>
  <si>
    <t>752-5922</t>
  </si>
  <si>
    <t>Interest on ST notes for DPW Facility</t>
  </si>
  <si>
    <t>752-5925</t>
  </si>
  <si>
    <t>Interest on Short Term Notes</t>
  </si>
  <si>
    <t>Short Term Interest</t>
  </si>
  <si>
    <t>TOTAL DEBT</t>
  </si>
  <si>
    <t>Remove Brownfields debt after grant awarded</t>
  </si>
  <si>
    <t>Debt to Operating Ratio</t>
  </si>
  <si>
    <t>With School Assessments</t>
  </si>
  <si>
    <t>Without School Assessments</t>
  </si>
  <si>
    <t>both exclude debt from operating expenses</t>
  </si>
  <si>
    <t>Total LTD</t>
  </si>
  <si>
    <t>Net Levy incl debt exclusions</t>
  </si>
  <si>
    <t>% total LTD</t>
  </si>
  <si>
    <t>Total non-excluded LTD</t>
  </si>
  <si>
    <t>Net Levy less excl debt</t>
  </si>
  <si>
    <t>% non-excluded LTD</t>
  </si>
  <si>
    <t>General Category: Intergovernmental</t>
  </si>
  <si>
    <t>INTERGOVERNMENT</t>
  </si>
  <si>
    <t>Dept # 840</t>
  </si>
  <si>
    <t>Franklin Regional Council Govts (FRCOG)</t>
  </si>
  <si>
    <t>FRCOG Emerg Communications</t>
  </si>
  <si>
    <t>FCSWMD</t>
  </si>
  <si>
    <t>FRCOG REPC</t>
  </si>
  <si>
    <t>Veterans' District</t>
  </si>
  <si>
    <t>TOTAL INTERGOVERNMENTAL</t>
  </si>
  <si>
    <t>Franklin Regional Council Govts</t>
  </si>
  <si>
    <t>General Category: Miscellaneous</t>
  </si>
  <si>
    <t>Dept # 910</t>
  </si>
  <si>
    <t>Non-Contrib Retirement</t>
  </si>
  <si>
    <t xml:space="preserve">Retirement </t>
  </si>
  <si>
    <t>Workers' Compensation</t>
  </si>
  <si>
    <t>Unemployment Compensation</t>
  </si>
  <si>
    <t>Health Insurance</t>
  </si>
  <si>
    <t>Life Insurance</t>
  </si>
  <si>
    <t>Medicare</t>
  </si>
  <si>
    <t>Ret HIns Other Towns</t>
  </si>
  <si>
    <t>TOTAL EMPLOYEE BENEFITS</t>
  </si>
  <si>
    <t>rec'd retirement assessment</t>
  </si>
  <si>
    <t>INSURANCE</t>
  </si>
  <si>
    <t>Dept # 946</t>
  </si>
  <si>
    <t>General Insurance</t>
  </si>
  <si>
    <t>Property, Inland Marine, Crime</t>
  </si>
  <si>
    <t>Auto Fleet</t>
  </si>
  <si>
    <t>Boiler &amp; Machinery</t>
  </si>
  <si>
    <t>Inland Marine</t>
  </si>
  <si>
    <t>Liability</t>
  </si>
  <si>
    <t>Public Officials</t>
  </si>
  <si>
    <t>Umbrella Insurance</t>
  </si>
  <si>
    <t>Employee Assistance Program</t>
  </si>
  <si>
    <t>Law Enforcement</t>
  </si>
  <si>
    <t>TOTAL GENERAL INSURANCE</t>
  </si>
  <si>
    <t>COLLE RRA</t>
  </si>
  <si>
    <t>Dept #228-183</t>
  </si>
  <si>
    <t>FY19 Kearsarge</t>
  </si>
  <si>
    <t>2006 Bond Prinicpal</t>
  </si>
  <si>
    <t>2006 Bond Interest</t>
  </si>
  <si>
    <t>Trans to General Fund (PY Res Fd Trans)</t>
  </si>
  <si>
    <t>TOTAL COLLE</t>
  </si>
  <si>
    <t>FOR FY20 Actual, include amounts transferred to CARES grant for gen operating</t>
  </si>
  <si>
    <t>Dept # 482</t>
  </si>
  <si>
    <t>Adj for RE &amp;</t>
  </si>
  <si>
    <t>internal trans</t>
  </si>
  <si>
    <t>CARES</t>
  </si>
  <si>
    <t>PT FCTS Intern</t>
  </si>
  <si>
    <t>Full Time Overtime</t>
  </si>
  <si>
    <t>Fuel Oil (House)</t>
  </si>
  <si>
    <t>Building &amp; Grounds R &amp; M</t>
  </si>
  <si>
    <t>Beacon Lights R &amp; M</t>
  </si>
  <si>
    <t>Snow Removal Services</t>
  </si>
  <si>
    <t>Telephone/Internet</t>
  </si>
  <si>
    <t>House Expense</t>
  </si>
  <si>
    <t>Clothing Allowance</t>
  </si>
  <si>
    <t>Dues</t>
  </si>
  <si>
    <t>Town Overhead</t>
  </si>
  <si>
    <t>Revenue Estimates &amp; details</t>
  </si>
  <si>
    <t>Projected Income</t>
  </si>
  <si>
    <t>Lease= 45,000 Other Rental Revenue= 5,000 User Fees / Sales= 10,000</t>
  </si>
  <si>
    <t xml:space="preserve">Pioneer income </t>
  </si>
  <si>
    <t xml:space="preserve">Warehouse= 110,000 Repair Shop= 28,000 General Operations= 30,000 Other Rental Revenue= 18,500 </t>
  </si>
  <si>
    <t>solar income</t>
  </si>
  <si>
    <t>Usage / Operation Fees=6000</t>
  </si>
  <si>
    <t>Grant for Debt</t>
  </si>
  <si>
    <t>Total Rev</t>
  </si>
  <si>
    <t>Total Budget</t>
  </si>
  <si>
    <t>Excess</t>
  </si>
  <si>
    <t>General Category: Public Works - Airport</t>
  </si>
  <si>
    <t>Airport DEBT</t>
  </si>
  <si>
    <t>Dept # 600-700</t>
  </si>
  <si>
    <t>710-5901</t>
  </si>
  <si>
    <t>Purchase Pioneer Aviation</t>
  </si>
  <si>
    <t>710-5902</t>
  </si>
  <si>
    <t>Fuel Pump Upgrade</t>
  </si>
  <si>
    <t>751-5901</t>
  </si>
  <si>
    <t>751-5902</t>
  </si>
  <si>
    <t>TOTAL WPCF DEBT</t>
  </si>
  <si>
    <t>Airport BENEFITS</t>
  </si>
  <si>
    <t>Dept # 600-910</t>
  </si>
  <si>
    <t>TOTAL WPCF BENEFITS</t>
  </si>
  <si>
    <t>General Category: Public Works - WPCF</t>
  </si>
  <si>
    <t>Dept # 661-440</t>
  </si>
  <si>
    <t>Supt</t>
  </si>
  <si>
    <t xml:space="preserve">Request </t>
  </si>
  <si>
    <t>Regular Wages</t>
  </si>
  <si>
    <t>Other Wages</t>
  </si>
  <si>
    <t>Electricity TP</t>
  </si>
  <si>
    <t>Electricity PS</t>
  </si>
  <si>
    <t xml:space="preserve">Heating Oil </t>
  </si>
  <si>
    <t>Solid Waste Disposal</t>
  </si>
  <si>
    <t>Professional Services</t>
  </si>
  <si>
    <t>Contracted Lab</t>
  </si>
  <si>
    <t>Industrial Pretreatment</t>
  </si>
  <si>
    <t>SCADA Controls</t>
  </si>
  <si>
    <t>Safety Expenses</t>
  </si>
  <si>
    <t>Professional Development</t>
  </si>
  <si>
    <t>Computer/Office Exp</t>
  </si>
  <si>
    <t xml:space="preserve">Grounds </t>
  </si>
  <si>
    <t xml:space="preserve">Buildings </t>
  </si>
  <si>
    <t>HVAC</t>
  </si>
  <si>
    <t>Equipment</t>
  </si>
  <si>
    <t>Preliminary Equip/Headworks</t>
  </si>
  <si>
    <t>Primary Equipment</t>
  </si>
  <si>
    <t>Secondary Equipment</t>
  </si>
  <si>
    <t>Preliminary Equipment</t>
  </si>
  <si>
    <t xml:space="preserve">Sludge Equipment </t>
  </si>
  <si>
    <t>Water &amp; Hydrants</t>
  </si>
  <si>
    <t>Primary Effluent Screw Pumps</t>
  </si>
  <si>
    <t>Septage Handling</t>
  </si>
  <si>
    <t>Odor Control</t>
  </si>
  <si>
    <t>Pump Station</t>
  </si>
  <si>
    <t>Communications</t>
  </si>
  <si>
    <t>Chlorination</t>
  </si>
  <si>
    <t>CSO</t>
  </si>
  <si>
    <t>Other operational Supplies</t>
  </si>
  <si>
    <t>Lab Supplies</t>
  </si>
  <si>
    <t>Chemicals (orig budg incl in 5280, 5440)</t>
  </si>
  <si>
    <t>Vehicle Supplies Pickups</t>
  </si>
  <si>
    <t>TFFD Overhead</t>
  </si>
  <si>
    <t>Millers Falls Assessment</t>
  </si>
  <si>
    <t>Millers Falls Overage Charge</t>
  </si>
  <si>
    <t>Industrial Park Emergency</t>
  </si>
  <si>
    <t>Budgeted Surplus</t>
  </si>
  <si>
    <t>ideally s/b $122,453</t>
  </si>
  <si>
    <t>Screw Pump Lease Payment</t>
  </si>
  <si>
    <t>lab mgr</t>
  </si>
  <si>
    <t>sludge</t>
  </si>
  <si>
    <t>Proposed Staffing</t>
  </si>
  <si>
    <t>Annual/Hrly</t>
  </si>
  <si>
    <t>Yrs Svc FY24</t>
  </si>
  <si>
    <t>Wks/Hrs</t>
  </si>
  <si>
    <t>Superintendent                              CL</t>
  </si>
  <si>
    <t>H7</t>
  </si>
  <si>
    <t>Admin Asst                                     PH</t>
  </si>
  <si>
    <t>WPCF Foreman                            TL</t>
  </si>
  <si>
    <t>F4</t>
  </si>
  <si>
    <t>Lead Operator                                AK</t>
  </si>
  <si>
    <t>E2</t>
  </si>
  <si>
    <t>Lead Mechanic                              TP</t>
  </si>
  <si>
    <t xml:space="preserve">Wastewater Tech                          SS           </t>
  </si>
  <si>
    <t xml:space="preserve">Wastewater Tech                          MB            </t>
  </si>
  <si>
    <t xml:space="preserve">Laborer                                       </t>
  </si>
  <si>
    <t>Laboratory Manager                      ND</t>
  </si>
  <si>
    <t>Note: Verizon Wireless pays for 2 cell phones (used by on call staff instead of pagers) and the service for the tablet (used in the field)</t>
  </si>
  <si>
    <t>Dept # 661-449</t>
  </si>
  <si>
    <t>Other Repairs</t>
  </si>
  <si>
    <t>Collection System</t>
  </si>
  <si>
    <t>Easements</t>
  </si>
  <si>
    <t>Other Equipment</t>
  </si>
  <si>
    <t>Engineering/Architectual</t>
  </si>
  <si>
    <t>Misc. Parts/Accessories</t>
  </si>
  <si>
    <t>TOTAL WPCF HWY SUBSIDIARY</t>
  </si>
  <si>
    <t>Dept # 661-700</t>
  </si>
  <si>
    <t>710-5912</t>
  </si>
  <si>
    <t>$589,000 6-15-03 Multi Article</t>
  </si>
  <si>
    <t>710-5913</t>
  </si>
  <si>
    <t>Acquire 46 Greenfield Rd</t>
  </si>
  <si>
    <t>710-5915</t>
  </si>
  <si>
    <t>CSO MWPAT #01-33 $179,059</t>
  </si>
  <si>
    <t>710-5919</t>
  </si>
  <si>
    <t>WPCF Gen Obligation 2006</t>
  </si>
  <si>
    <t>710-5930</t>
  </si>
  <si>
    <t>710-5931</t>
  </si>
  <si>
    <t>710-5932</t>
  </si>
  <si>
    <t>710-5933</t>
  </si>
  <si>
    <t>710-5934</t>
  </si>
  <si>
    <t>MWPAT #94-26 $907,181</t>
  </si>
  <si>
    <t>710-5940</t>
  </si>
  <si>
    <t>Sewer Repair $1,550,000 7/22/14</t>
  </si>
  <si>
    <t>710-5941</t>
  </si>
  <si>
    <t>#17 Pump Stations CWP-14-28 $1.6M</t>
  </si>
  <si>
    <t>710-5942</t>
  </si>
  <si>
    <t>#16 5/3/14 Sewer Lines $160K</t>
  </si>
  <si>
    <t>710-5943</t>
  </si>
  <si>
    <t>#12 5/2/15 Sewer Lines $385k</t>
  </si>
  <si>
    <t>710-5945</t>
  </si>
  <si>
    <t>#30 5/6/17 Sewer Lines $385</t>
  </si>
  <si>
    <t>710-5946</t>
  </si>
  <si>
    <t>#15 9/12/13 Sewer Lines</t>
  </si>
  <si>
    <t>710-5947</t>
  </si>
  <si>
    <t>#17 5/3/14 PS #2</t>
  </si>
  <si>
    <t>710-5948</t>
  </si>
  <si>
    <t>WPCF Share #22 5/7/16 Siphon</t>
  </si>
  <si>
    <t>710-5950</t>
  </si>
  <si>
    <t>Solar Array Principal</t>
  </si>
  <si>
    <t>WPCF General Obligation Bonds (Excess)</t>
  </si>
  <si>
    <t>751-5912</t>
  </si>
  <si>
    <t>751-5913</t>
  </si>
  <si>
    <t>751-5915</t>
  </si>
  <si>
    <t>751-5915-100</t>
  </si>
  <si>
    <t>CSO MWPAT #01-33 $179,059 Admn</t>
  </si>
  <si>
    <t>751-5919</t>
  </si>
  <si>
    <t>751-5930</t>
  </si>
  <si>
    <t>751-5930-100</t>
  </si>
  <si>
    <t>751-5931</t>
  </si>
  <si>
    <t>751-5931-100</t>
  </si>
  <si>
    <t>751-5932</t>
  </si>
  <si>
    <t>751-5933</t>
  </si>
  <si>
    <t>751-5934</t>
  </si>
  <si>
    <t>751-5934-100</t>
  </si>
  <si>
    <t>MWPAT #94-26 $907,181 Admn</t>
  </si>
  <si>
    <t>751-5940</t>
  </si>
  <si>
    <t>751-5941</t>
  </si>
  <si>
    <t>751-5941-100</t>
  </si>
  <si>
    <t>Pump Stations CWP-14-28 $1.6M Admn</t>
  </si>
  <si>
    <t>751-5942</t>
  </si>
  <si>
    <t>751-5943</t>
  </si>
  <si>
    <t>751-5945</t>
  </si>
  <si>
    <t>751-5946</t>
  </si>
  <si>
    <t>Solar Array Interest</t>
  </si>
  <si>
    <t>permenant debt payments not due until 7/15/19, only 1 interest payment and admin for FY19</t>
  </si>
  <si>
    <t>WPCF BENEFITS</t>
  </si>
  <si>
    <t>Dept # 661-910</t>
  </si>
  <si>
    <t>From "Surcharge for Infiltration and Inflow Payable by the Town of Montague"</t>
  </si>
  <si>
    <t>I.</t>
  </si>
  <si>
    <t xml:space="preserve"> I &amp; I costs in Turners Falls, Montague City, and Montague Center</t>
  </si>
  <si>
    <t>A</t>
  </si>
  <si>
    <t>Cost to remove grit contained in I &amp; I</t>
  </si>
  <si>
    <t>I &amp; I solids as percent of total solids (calculation below).</t>
  </si>
  <si>
    <t>Est cost to remove grit due to I &amp; I</t>
  </si>
  <si>
    <t>B</t>
  </si>
  <si>
    <t>Increased electrical costs for increased pumping</t>
  </si>
  <si>
    <t>Budgeted Electricity</t>
  </si>
  <si>
    <t>Document's estimated % of electricity used for primary screw pump</t>
  </si>
  <si>
    <t>I &amp; I as % of total flow (calculation below)</t>
  </si>
  <si>
    <t>Electricity x % for pump x I &amp; I %</t>
  </si>
  <si>
    <t>C</t>
  </si>
  <si>
    <t>Increased amount of chlorine in primary clarifier and chlorine contact tank</t>
  </si>
  <si>
    <t>Cost of chlorine for primary clarifier and chlorine contact tank for I &amp; I flow</t>
  </si>
  <si>
    <t>D</t>
  </si>
  <si>
    <t>Increased labor due to grit handling, equipment maintenance, chlorine handling, and process control modifications</t>
  </si>
  <si>
    <t>OT Wages</t>
  </si>
  <si>
    <t>Workers Comp</t>
  </si>
  <si>
    <t>Retirement</t>
  </si>
  <si>
    <t>II.</t>
  </si>
  <si>
    <t>Increased fee from Erving due to I &amp; I from Millers Falls</t>
  </si>
  <si>
    <t xml:space="preserve">Trombley called this MF WWTP flow from Montague, what we're calling </t>
  </si>
  <si>
    <t>total I &amp; I from Millers Falls going to Erving</t>
  </si>
  <si>
    <t xml:space="preserve">as a %, rounded to 6 decimal places </t>
  </si>
  <si>
    <t>Assessment to Montague from Erving for treating wastewater from MF, 2.5% increase/yr.</t>
  </si>
  <si>
    <t>Cost of treating I &amp; I from Millers Falls by Erving</t>
  </si>
  <si>
    <t>TOTAL COST TO TOWN TO TREAT I &amp; I IN FY23</t>
  </si>
  <si>
    <t>Calculation of I &amp; I as % of total Montague WPCF Flow</t>
  </si>
  <si>
    <t>2 calendar year average Montague WPCF flow</t>
  </si>
  <si>
    <t>Less Montague metered flow (MC = 7,310,000, LP = 3,445,175, TF+Mcity= 193,004,700)</t>
  </si>
  <si>
    <t>Total I &amp; I coming into Montague WPCF</t>
  </si>
  <si>
    <t>I &amp; I as % of total flow</t>
  </si>
  <si>
    <t>Calculation of I &amp; I solids as % of total solids</t>
  </si>
  <si>
    <t>Montague WPCF influent solids in pounds/year. This is a 2 year average.</t>
  </si>
  <si>
    <t>pounds of solids due to I &amp; I. This uses the I &amp; I flow calculated above, and 150</t>
  </si>
  <si>
    <t xml:space="preserve"> mg/l as the percentage of solids in the I &amp; I</t>
  </si>
  <si>
    <t>I &amp; I solids as percent of total solids. This % will be used in other calculations.</t>
  </si>
  <si>
    <t>Total I &amp; I Town Cost</t>
  </si>
  <si>
    <t>as % of</t>
  </si>
  <si>
    <t>Total 440</t>
  </si>
  <si>
    <t>Total 661</t>
  </si>
  <si>
    <t>WPCF Overhead Paid to Town</t>
  </si>
  <si>
    <t>For FY24</t>
  </si>
  <si>
    <t>Acct Budg</t>
  </si>
  <si>
    <t>Treas Budg</t>
  </si>
  <si>
    <t>Audit</t>
  </si>
  <si>
    <t>IT Employee</t>
  </si>
  <si>
    <t>Stipend</t>
  </si>
  <si>
    <t>Salary</t>
  </si>
  <si>
    <t>Town Adm</t>
  </si>
  <si>
    <t>Airport Overhead Paid to Town</t>
  </si>
  <si>
    <t>charging OH on 1/2 of % of total operating expenses</t>
  </si>
  <si>
    <t>Less debt/Ben</t>
  </si>
  <si>
    <t>From BOA Schedule DE-1, Debt Exclusion Form</t>
  </si>
  <si>
    <t>Excludes adjustments</t>
  </si>
  <si>
    <t>Ballot</t>
  </si>
  <si>
    <t>Ballot Date/Purpose</t>
  </si>
  <si>
    <t>Date Issued</t>
  </si>
  <si>
    <t>T/P</t>
  </si>
  <si>
    <t>FY23 Net Excluded</t>
  </si>
  <si>
    <t>FY2022 Gross</t>
  </si>
  <si>
    <t>FY24 Gross Excludable</t>
  </si>
  <si>
    <t>Reimb/</t>
  </si>
  <si>
    <t>Debt Service</t>
  </si>
  <si>
    <t>Debt Expended</t>
  </si>
  <si>
    <t>Adjust.</t>
  </si>
  <si>
    <t>Landfill Closure</t>
  </si>
  <si>
    <t>P</t>
  </si>
  <si>
    <t>TFHS/GFMS Renovation</t>
  </si>
  <si>
    <t>Last year is FY26</t>
  </si>
  <si>
    <t>CSO #16 6/9/05 $957,448</t>
  </si>
  <si>
    <t>CSO #16 6/9/05 $1,911,052</t>
  </si>
  <si>
    <t>CSO #16 6/9/05 $1,024,000</t>
  </si>
  <si>
    <t>CSO #16 6/9/05 $958,000</t>
  </si>
  <si>
    <t>Police Station $4,999,525</t>
  </si>
  <si>
    <t>Police Station $103,000</t>
  </si>
  <si>
    <t xml:space="preserve">#1 3/29/18 DPW Facility </t>
  </si>
  <si>
    <t xml:space="preserve">Town Share (90%) Storm Drain </t>
  </si>
  <si>
    <t>T</t>
  </si>
  <si>
    <t>Allocation var to Total</t>
  </si>
  <si>
    <t>updated GM debt per 11/24 Report to SC from JB and capital % of 89.7% for Montague</t>
  </si>
  <si>
    <t>Police Wage Scale</t>
  </si>
  <si>
    <t>Fiscal Year 2024 Base Wages</t>
  </si>
  <si>
    <t>FY24= FY23+2.5%</t>
  </si>
  <si>
    <t>Steps</t>
  </si>
  <si>
    <t>Patrol</t>
  </si>
  <si>
    <t>Detective</t>
  </si>
  <si>
    <t>Sergeant</t>
  </si>
  <si>
    <t>Staff Sergeant</t>
  </si>
  <si>
    <t>Fiscal Year 2023 Base Wages</t>
  </si>
  <si>
    <t>FY23= FY22+ 3.0%</t>
  </si>
  <si>
    <t>Fiscal Year 2022 Base Wages</t>
  </si>
  <si>
    <t>FY22= FY21, 1.5%</t>
  </si>
  <si>
    <t>Fiscal Year 2021 Base Wages</t>
  </si>
  <si>
    <t>FY21= FY20, 0%, new step</t>
  </si>
  <si>
    <t>Fiscal Year 2020 Base Wages</t>
  </si>
  <si>
    <t>FY20= Final FY19 HD + 1.5%</t>
  </si>
  <si>
    <t>Fiscal Year 2019 Base Wages</t>
  </si>
  <si>
    <t>FY19=FY19 HD + 2%</t>
  </si>
  <si>
    <t>Fiscal Year 2019 0.5% Hazardous Duty</t>
  </si>
  <si>
    <t>FY19 HD=FY18+0.5%</t>
  </si>
  <si>
    <t>Fiscal Year 2018</t>
  </si>
  <si>
    <t>FY18=FY17+1.5%</t>
  </si>
  <si>
    <t>Fiscal Year 2017</t>
  </si>
  <si>
    <t>FY17=FY16+1%</t>
  </si>
  <si>
    <t>Fiscal Year 2016</t>
  </si>
  <si>
    <t>FY16=FY15+1%</t>
  </si>
  <si>
    <t>Fiscal Year 2015</t>
  </si>
  <si>
    <t>FY15=FY14+1%</t>
  </si>
  <si>
    <t>REVISED AND FINAL Police Scale FY14</t>
  </si>
  <si>
    <t>FY24 NAGE and Non-Union Wage Scale = FY23+</t>
  </si>
  <si>
    <t>Grade</t>
  </si>
  <si>
    <t>E</t>
  </si>
  <si>
    <t>F</t>
  </si>
  <si>
    <t>G</t>
  </si>
  <si>
    <t>G+8.5%</t>
  </si>
  <si>
    <t>H</t>
  </si>
  <si>
    <t>I</t>
  </si>
  <si>
    <t>J</t>
  </si>
  <si>
    <t xml:space="preserve">Proration for P/T </t>
  </si>
  <si>
    <t>Annual FT hours</t>
  </si>
  <si>
    <t>F-COA</t>
  </si>
  <si>
    <t>F-DPW</t>
  </si>
  <si>
    <t>F-WPCF</t>
  </si>
  <si>
    <t>G+8.5</t>
  </si>
  <si>
    <t>weeks</t>
  </si>
  <si>
    <t>FY23 NAGE and Non-Union Wage Scale = FY22+</t>
  </si>
  <si>
    <t>FY22 NAGE and Non-Union Wage Scale = FY20+1.5%</t>
  </si>
  <si>
    <t>FY21 NAGE and Non-Union Wage Scale = FY20+1.5%</t>
  </si>
  <si>
    <t>FY20 NAGE and Non-Union Wage Scale = FY19+1% + new step (2.5%)</t>
  </si>
  <si>
    <t>2.5%</t>
  </si>
  <si>
    <t>FY19 TOMEA, UE and Non-Union Wage Scale = FY18+2%</t>
  </si>
  <si>
    <t>Proration for P/T - confirm annual hours for FY18</t>
  </si>
  <si>
    <t>FY18 TOMEA, UE and Non-Union Wage Scale = FY17+1.5%</t>
  </si>
  <si>
    <t>FY17 TOMEA, UE and Non-Union Wage Scale = FY16+1%</t>
  </si>
  <si>
    <t>To get onto town scale, following COLAs would be needed</t>
  </si>
  <si>
    <t>FY16 TOMEA and Non-Union Wage Scale Includes 1% COLA</t>
  </si>
  <si>
    <t>Proration for P/T</t>
  </si>
  <si>
    <t>FY15 TOMEA and Non-Union Wage Scale Includes 1% COLA</t>
  </si>
  <si>
    <t>=FY23</t>
  </si>
  <si>
    <t>=FY22</t>
  </si>
  <si>
    <t>New Steps</t>
  </si>
  <si>
    <t xml:space="preserve">FY22 </t>
  </si>
  <si>
    <t>Includes 1.5 % Adjustment</t>
  </si>
  <si>
    <t>NAGE</t>
  </si>
  <si>
    <t>Yrs</t>
  </si>
  <si>
    <t>Amount</t>
  </si>
  <si>
    <t>NEPBA</t>
  </si>
  <si>
    <t>If hired before 7/2/04, or before 6/30/93, or between dates with no incentive</t>
  </si>
  <si>
    <t>DPW/Sewer</t>
  </si>
  <si>
    <t>TOWN 40%</t>
  </si>
  <si>
    <t>Total Town</t>
  </si>
  <si>
    <t>WPCF 60%</t>
  </si>
  <si>
    <t>Total Sewer</t>
  </si>
  <si>
    <t>TOTALS</t>
  </si>
  <si>
    <t>Total Debt</t>
  </si>
  <si>
    <t>Variance</t>
  </si>
  <si>
    <t>Town Debt Service (Principal &amp; Interest)</t>
  </si>
  <si>
    <t>School Building project (est @93%)</t>
  </si>
  <si>
    <t>School Windows</t>
  </si>
  <si>
    <t>Total Town Debt Service</t>
  </si>
  <si>
    <t>WPCF Debt Service (Principal &amp; Interest)</t>
  </si>
  <si>
    <t>Pump Stations CWP-14-28 $1.9M</t>
  </si>
  <si>
    <t>#12 5/2/15 Sewer Lines $200k</t>
  </si>
  <si>
    <t>#15 9/12/13 Ind Blvd $936k</t>
  </si>
  <si>
    <t>Total Sewer Debt</t>
  </si>
  <si>
    <t>GRAND TOTAL LT DEBT SERVICE</t>
  </si>
  <si>
    <t>Town Principal</t>
  </si>
  <si>
    <t>Town share GM Building</t>
  </si>
  <si>
    <t>GM Windows</t>
  </si>
  <si>
    <t>Town Interest</t>
  </si>
  <si>
    <t>Sewer Principal</t>
  </si>
  <si>
    <t>Sewer Interest</t>
  </si>
  <si>
    <t>Pump Stations CWP-14-28 $1.9M Admn</t>
  </si>
  <si>
    <t>Total Sewer Debt Service</t>
  </si>
  <si>
    <t>CSO Projects (60/40 WPCF/Town)</t>
  </si>
  <si>
    <t>CSO Projects 40% TOWN</t>
  </si>
  <si>
    <t>CSO PROJECTS 60$ SEWER</t>
  </si>
  <si>
    <t>Kearsarge Lease Payments</t>
  </si>
  <si>
    <t>% directed Towards Town Capital Stabilization Fund</t>
  </si>
  <si>
    <t>Fiscal</t>
  </si>
  <si>
    <t>Kearsarge</t>
  </si>
  <si>
    <t xml:space="preserve">Increase to Affordable Assessment using various % as GF Rev </t>
  </si>
  <si>
    <t>Year</t>
  </si>
  <si>
    <t>Payment</t>
  </si>
  <si>
    <t>FY18 AA</t>
  </si>
  <si>
    <t>GF % Of</t>
  </si>
  <si>
    <t>Operating</t>
  </si>
  <si>
    <t>FY19 AA</t>
  </si>
  <si>
    <t>$ Incr</t>
  </si>
  <si>
    <t>% Incr</t>
  </si>
  <si>
    <t>GMRSD Assessment Hx</t>
  </si>
  <si>
    <t>Town ATM Op Budget Hx</t>
  </si>
  <si>
    <t>RECOMMENDED WAGES BY POSITION</t>
  </si>
  <si>
    <t>Position</t>
  </si>
  <si>
    <t>Step</t>
  </si>
  <si>
    <t>Budg Wages</t>
  </si>
  <si>
    <t>Select Board</t>
  </si>
  <si>
    <t>Assistant Town Adminstrator - New</t>
  </si>
  <si>
    <t>Executive Assistant</t>
  </si>
  <si>
    <t>Admin. Assistant - New</t>
  </si>
  <si>
    <t>Board of Assessors</t>
  </si>
  <si>
    <t>Treasurer/Tax Collector</t>
  </si>
  <si>
    <t>Assistant Treas/Tax Collector</t>
  </si>
  <si>
    <t>Collections Specialist</t>
  </si>
  <si>
    <t>Incl stipends</t>
  </si>
  <si>
    <t>Planning &amp; Comm Dev</t>
  </si>
  <si>
    <t>Director of Planning</t>
  </si>
  <si>
    <t>Police*</t>
  </si>
  <si>
    <t>Chief</t>
  </si>
  <si>
    <t>Confirm steps</t>
  </si>
  <si>
    <t>Lieutanant</t>
  </si>
  <si>
    <t xml:space="preserve">Sergeant - New </t>
  </si>
  <si>
    <t>SRO Patrolman</t>
  </si>
  <si>
    <t>Patrolman</t>
  </si>
  <si>
    <t>Custodian</t>
  </si>
  <si>
    <t>15 hrs/wk + 35</t>
  </si>
  <si>
    <t>*Amt includes Incentive Pay for eligible employees</t>
  </si>
  <si>
    <t xml:space="preserve">Dispatch Supervisor/Office Adm </t>
  </si>
  <si>
    <t xml:space="preserve">Communications Officer </t>
  </si>
  <si>
    <t>Communications Officer - New</t>
  </si>
  <si>
    <t>Inspector of Buildings</t>
  </si>
  <si>
    <t>Administrative Assistant</t>
  </si>
  <si>
    <t xml:space="preserve">Superintendent                         </t>
  </si>
  <si>
    <t xml:space="preserve">Office Manager                        </t>
  </si>
  <si>
    <t xml:space="preserve">Working Foreman                      </t>
  </si>
  <si>
    <t xml:space="preserve">Shop Foreman                           </t>
  </si>
  <si>
    <t>Lead Mechanic</t>
  </si>
  <si>
    <t>Total Positions</t>
  </si>
  <si>
    <t xml:space="preserve">Building Maintenenance          </t>
  </si>
  <si>
    <t>Positions on top scale FY22</t>
  </si>
  <si>
    <t>Positions on top scale FY23</t>
  </si>
  <si>
    <t xml:space="preserve">Custodian                                 </t>
  </si>
  <si>
    <t xml:space="preserve">Lead Grounds Maintenance         </t>
  </si>
  <si>
    <t xml:space="preserve">Grounds Maintenance         </t>
  </si>
  <si>
    <t>Landfill Attendent</t>
  </si>
  <si>
    <t>14 hrs/wk</t>
  </si>
  <si>
    <t xml:space="preserve">Heavy Equipment Operator      </t>
  </si>
  <si>
    <t xml:space="preserve">Truck Driver/Laborer              </t>
  </si>
  <si>
    <t xml:space="preserve">Truck Driver/Laborer  </t>
  </si>
  <si>
    <t xml:space="preserve">Truck Driver/Laborer   </t>
  </si>
  <si>
    <t>Director of COA</t>
  </si>
  <si>
    <t>20 hrs/wk</t>
  </si>
  <si>
    <t>Children's Librarian</t>
  </si>
  <si>
    <t>includes stipend</t>
  </si>
  <si>
    <t xml:space="preserve">Library Technician  </t>
  </si>
  <si>
    <t xml:space="preserve">Library Assistant I </t>
  </si>
  <si>
    <t>12 hrs/wk</t>
  </si>
  <si>
    <t>26 hrs/wk</t>
  </si>
  <si>
    <t>13 hrs/wk</t>
  </si>
  <si>
    <t>28.5 hrs/wk</t>
  </si>
  <si>
    <t>21 hrs/wk</t>
  </si>
  <si>
    <t>16 hrs/wk</t>
  </si>
  <si>
    <t xml:space="preserve">Childrens' Prog Asst </t>
  </si>
  <si>
    <t>7 hrs/wk</t>
  </si>
  <si>
    <t>Parks and Recreation</t>
  </si>
  <si>
    <t>Airport Manager</t>
  </si>
  <si>
    <t>40 hrs/wk</t>
  </si>
  <si>
    <t>Operations Manager</t>
  </si>
  <si>
    <t>30 hrs/wk</t>
  </si>
  <si>
    <t>WPCF-Current Staffing</t>
  </si>
  <si>
    <t xml:space="preserve">Superintendent </t>
  </si>
  <si>
    <t>WPCF Foreman</t>
  </si>
  <si>
    <t>Lead Operator</t>
  </si>
  <si>
    <t>Wastewater Technician</t>
  </si>
  <si>
    <t>Laborer</t>
  </si>
  <si>
    <t>Lab Manager - New</t>
  </si>
  <si>
    <t>Schedule III</t>
  </si>
  <si>
    <t>Town Operating Budget</t>
  </si>
  <si>
    <t>FIN COMM</t>
  </si>
  <si>
    <t xml:space="preserve">DEPT </t>
  </si>
  <si>
    <t>EXPENDED</t>
  </si>
  <si>
    <t>BUDGET</t>
  </si>
  <si>
    <t>REQUEST</t>
  </si>
  <si>
    <t>RECOMMEND</t>
  </si>
  <si>
    <t>NO.</t>
  </si>
  <si>
    <t>TOTAL GENERAL GOVT</t>
  </si>
  <si>
    <t>EQUIPMENT LEASE PAYMENT</t>
  </si>
  <si>
    <t>TOTAL CULTURE/RECREATION</t>
  </si>
  <si>
    <t>TOTAL TOWN BUDGET</t>
  </si>
  <si>
    <t>Schedule IV</t>
  </si>
  <si>
    <t>Incr</t>
  </si>
  <si>
    <t>Wages &amp; Expenses</t>
  </si>
  <si>
    <t>SUBTOTAL DPW SUBSIDIARY</t>
  </si>
  <si>
    <t>Schedule V</t>
  </si>
  <si>
    <t>Airport Budget</t>
  </si>
  <si>
    <t>DEPARTMENT</t>
  </si>
  <si>
    <t>Wages</t>
  </si>
  <si>
    <t>Expenses</t>
  </si>
  <si>
    <t>Benefits</t>
  </si>
  <si>
    <t>Total Budget Change</t>
  </si>
  <si>
    <t>% Inc</t>
  </si>
  <si>
    <t>SELECTMEN</t>
  </si>
  <si>
    <t>TREASURER/COLLECTOR(WPCF)</t>
  </si>
  <si>
    <t>SHARED COSTS*</t>
  </si>
  <si>
    <t>EV CHARGING STATIONS</t>
  </si>
  <si>
    <t>HIGHWAY SUBSIDIARY</t>
  </si>
  <si>
    <t>GRAND TOTAL TOWN</t>
  </si>
  <si>
    <t>Hx #s from PY FC Reports</t>
  </si>
  <si>
    <t>HISTORICAL ATM BUDGET SUMMARY</t>
  </si>
  <si>
    <t>REVENUES</t>
  </si>
  <si>
    <t>Net Tax Levy</t>
  </si>
  <si>
    <t>State Aid</t>
  </si>
  <si>
    <t>Other Available</t>
  </si>
  <si>
    <t>Stab, Existing Articles, Ch 90, Sale RE</t>
  </si>
  <si>
    <t>Reserved Receipts</t>
  </si>
  <si>
    <t>Airport Fees</t>
  </si>
  <si>
    <t>Total Revenues</t>
  </si>
  <si>
    <t>EXPENSES</t>
  </si>
  <si>
    <t>% of total</t>
  </si>
  <si>
    <t>General Government</t>
  </si>
  <si>
    <t>Public Safety</t>
  </si>
  <si>
    <t>Public Works</t>
  </si>
  <si>
    <t>Human Services</t>
  </si>
  <si>
    <t>Culture &amp; Recreation</t>
  </si>
  <si>
    <t>Special Articles</t>
  </si>
  <si>
    <t>Total Expenses</t>
  </si>
  <si>
    <t>Corrected Percentages</t>
  </si>
  <si>
    <t>Sewer Fees</t>
  </si>
  <si>
    <t>Reserves &amp; Other</t>
  </si>
  <si>
    <t>General Gov</t>
  </si>
  <si>
    <t>Culture/Rec</t>
  </si>
  <si>
    <t>Debt</t>
  </si>
  <si>
    <t>Intergovt</t>
  </si>
  <si>
    <t>% of</t>
  </si>
  <si>
    <t>Excise/Meal Taxes</t>
  </si>
  <si>
    <t>Penalties &amp; Fines</t>
  </si>
  <si>
    <t>Rental - 50% Kearsarge</t>
  </si>
  <si>
    <t>SRO Reimbursements</t>
  </si>
  <si>
    <t>All Other</t>
  </si>
  <si>
    <t>Art #</t>
  </si>
  <si>
    <t>Sheffield Library</t>
  </si>
  <si>
    <t>Admin Canopy</t>
  </si>
  <si>
    <t>Tennis Courts</t>
  </si>
  <si>
    <t>GM Bldg Studies</t>
  </si>
  <si>
    <t>Variance in taxation (rev/exp) FY22-FY23</t>
  </si>
  <si>
    <t>From FY22</t>
  </si>
  <si>
    <t>Final Budget File</t>
  </si>
  <si>
    <t>Description</t>
  </si>
  <si>
    <t>Grand Total "Taxation" Revenue</t>
  </si>
  <si>
    <t>Expenditures</t>
  </si>
  <si>
    <t>Gen Govt</t>
  </si>
  <si>
    <t>incl 125K</t>
  </si>
  <si>
    <t>Health/Human Serv</t>
  </si>
  <si>
    <t>FCTS from taxation</t>
  </si>
  <si>
    <t>FCTS to Stab</t>
  </si>
  <si>
    <t>Tax Share WPCF</t>
  </si>
  <si>
    <r>
      <t xml:space="preserve">Articles from </t>
    </r>
    <r>
      <rPr>
        <b/>
        <sz val="10"/>
        <rFont val="Calibri"/>
        <family val="2"/>
      </rPr>
      <t>Taxation</t>
    </r>
  </si>
  <si>
    <t>Total Est Taxation Revenue</t>
  </si>
  <si>
    <t>Total Est Use Taxation</t>
  </si>
  <si>
    <t>added actual FY23 new growth, adjusted excess capacity</t>
  </si>
  <si>
    <t>Luke will likely stay on parents HIN until he turns 26 in FY30, but keep in budget just in case</t>
  </si>
  <si>
    <t>rate increase</t>
  </si>
  <si>
    <t>mileage incr since last used</t>
  </si>
  <si>
    <t>inflation</t>
  </si>
  <si>
    <t>Contractual Inc + some add'l for extra work</t>
  </si>
  <si>
    <t>Anti-Virus (prev Sp Art)see note (ESET - 3 Yr)</t>
  </si>
  <si>
    <t>Domain Hosting (dot.gov)</t>
  </si>
  <si>
    <t>Website Hosting/Maintenance (WebWorks)</t>
  </si>
  <si>
    <t>Zoom Licenses</t>
  </si>
  <si>
    <t>Docusign</t>
  </si>
  <si>
    <t>Email Licenses</t>
  </si>
  <si>
    <t>Website Address Reg/Sec Cert (GoDaddy 2 Yr)</t>
  </si>
  <si>
    <t>pd every 3 years</t>
  </si>
  <si>
    <t>price increase</t>
  </si>
  <si>
    <t>previously budgeted elsewhere</t>
  </si>
  <si>
    <t>reflects actual cost</t>
  </si>
  <si>
    <t>new expense</t>
  </si>
  <si>
    <t>to reflect actual spending patterns</t>
  </si>
  <si>
    <t>includes 5% rate increase buffer. Allows for one plan change for current employees</t>
  </si>
  <si>
    <t>estimated 5% rate inc</t>
  </si>
  <si>
    <t>sharp increase in expected costs</t>
  </si>
  <si>
    <t>this will be on Mar STM to finish</t>
  </si>
  <si>
    <t>new item</t>
  </si>
  <si>
    <t>Library Assistant I AB  12 +15</t>
  </si>
  <si>
    <t>Library Assistant I CR 26 hrs + 15</t>
  </si>
  <si>
    <t>Library Assistant I JW 13 hrs +15</t>
  </si>
  <si>
    <t>Library Assistant I SS 27.5 hrs + 20</t>
  </si>
  <si>
    <t>Library Assistant I SO 21 hrs +15</t>
  </si>
  <si>
    <t>Library Assistant I KM 16 hrs +15</t>
  </si>
  <si>
    <t>Library Assistant I JK 7/wk +15</t>
  </si>
  <si>
    <t>Library Assistant I 13 hrs +15</t>
  </si>
  <si>
    <t>Saturday Rotation</t>
  </si>
  <si>
    <t>Subsitute Library Assistants</t>
  </si>
  <si>
    <t>Library of Things</t>
  </si>
  <si>
    <t>Steps &amp; COLAS</t>
  </si>
  <si>
    <t>Steps ($3,545) and increased hours at Carnegie Library ($7,152)</t>
  </si>
  <si>
    <t>New way of calculating substitute hours (part-time wages were reduced by 2,257.34)</t>
  </si>
  <si>
    <t>Newly eligible employees</t>
  </si>
  <si>
    <t>Recommended by Tas' due to rate increase</t>
  </si>
  <si>
    <t>Increase based on usage</t>
  </si>
  <si>
    <t>Arranged for mail to be delivered to branch directly</t>
  </si>
  <si>
    <t>LOT items had been previous paid for out of either media or book budget, but I'd like to keep closer track of these expenditures</t>
  </si>
  <si>
    <t>new copier purchase</t>
  </si>
  <si>
    <t>anticipated contract increase</t>
  </si>
  <si>
    <t>actual cost VADAR (not Point)</t>
  </si>
  <si>
    <t>actual cost - deeds/maps</t>
  </si>
  <si>
    <t>anticipated inspection vehicle</t>
  </si>
  <si>
    <t xml:space="preserve">requesting add'l step for Treas's degree </t>
  </si>
  <si>
    <t>please see additional documentation</t>
  </si>
  <si>
    <t>increase fees per contract</t>
  </si>
  <si>
    <t>anticipated postage rate increase- see add'l doc</t>
  </si>
  <si>
    <t>increased cost of supplies</t>
  </si>
  <si>
    <t>please see additional breakdown of supply costs</t>
  </si>
  <si>
    <t>increase in fees per contract</t>
  </si>
  <si>
    <t>contract renewal increase</t>
  </si>
  <si>
    <t>anticipated retirements, 5% rate incr</t>
  </si>
  <si>
    <t>Patrolman Smerz</t>
  </si>
  <si>
    <t>Sgt Dlugosz</t>
  </si>
  <si>
    <t>Increase COLA/hired new Sgt &amp; Officer</t>
  </si>
  <si>
    <t>COLA/Step increase</t>
  </si>
  <si>
    <t>still in process of getting out of Civil Service</t>
  </si>
  <si>
    <t>New Hire/COLA</t>
  </si>
  <si>
    <t>new rates</t>
  </si>
  <si>
    <t>additional hire</t>
  </si>
  <si>
    <t>increased costs</t>
  </si>
  <si>
    <t>New software and increased cost of current</t>
  </si>
  <si>
    <t>more training offered by MPTC at no cost</t>
  </si>
  <si>
    <t>cost increase</t>
  </si>
  <si>
    <t>assessment ctr for new sgt in FY22</t>
  </si>
  <si>
    <t>New contract</t>
  </si>
  <si>
    <t>COLA/Steps</t>
  </si>
  <si>
    <t>Additional dispatcher, Juneteenth</t>
  </si>
  <si>
    <t>grants</t>
  </si>
  <si>
    <t>Entered budgets for Retirement Assessments, 491,630,145,7##, 910,610,141,211,212,292</t>
  </si>
  <si>
    <t>added 175,480,691</t>
  </si>
  <si>
    <t>G9</t>
  </si>
  <si>
    <t>New planner won't have longevity</t>
  </si>
  <si>
    <t>FY23 had one time expense</t>
  </si>
  <si>
    <t>FY23 projected 2892, rate increase &amp; kitchen</t>
  </si>
  <si>
    <t>FY23 projected 2307, rate increase</t>
  </si>
  <si>
    <t>FY23 projected 140</t>
  </si>
  <si>
    <t>FY23 projected 238, 5% rate increase</t>
  </si>
  <si>
    <t>painting associated expenses</t>
  </si>
  <si>
    <t>FY23 projected 0</t>
  </si>
  <si>
    <t>minimum wage increase</t>
  </si>
  <si>
    <t>Building Maintenenance           EC</t>
  </si>
  <si>
    <t>C3</t>
  </si>
  <si>
    <t>Summer Help</t>
  </si>
  <si>
    <t>less summer help</t>
  </si>
  <si>
    <t>more employee training</t>
  </si>
  <si>
    <t>price increases</t>
  </si>
  <si>
    <t>price increase $15.68/ton</t>
  </si>
  <si>
    <t>contractual increase</t>
  </si>
  <si>
    <t>price increase Republic Services</t>
  </si>
  <si>
    <t>increase cost of trash/barrel stickers</t>
  </si>
  <si>
    <t>price increase for asphalt</t>
  </si>
  <si>
    <t>B3</t>
  </si>
  <si>
    <t>ppg incr avg 6500 gal/yr $5.49/gal</t>
  </si>
  <si>
    <t>new contract $198.45, 1560 wet tons/yr</t>
  </si>
  <si>
    <t>internal move from 5400</t>
  </si>
  <si>
    <t>moved 10k to 5410, 2.5k to 5360</t>
  </si>
  <si>
    <t>moved 7K to 5406</t>
  </si>
  <si>
    <t>internal move from 5402</t>
  </si>
  <si>
    <t>new CBA has clothing increase</t>
  </si>
  <si>
    <t>placeholder until # from Acct</t>
  </si>
  <si>
    <t>Actual change is 3.4% and is due to COLA and Steps. FY23 comparison figure excludes FY23 COLA as budget was not adjusted at fall STM because there were available funds from vacancy to offset FY23 COLA</t>
  </si>
  <si>
    <t>Actual change is 5.0% and is due to COLA and Steps. FY23 comparison figure excludes FY23 COLA as budget was not adjusted at fall STM because there were available funds from vacancy to offset FY23 COLA</t>
  </si>
  <si>
    <t>TA longevity was accidentally included FY22</t>
  </si>
  <si>
    <t>Allowance for other prof services</t>
  </si>
  <si>
    <t>Add'l capital project advertising</t>
  </si>
  <si>
    <t>One time need in FY23 for extensive purchasing</t>
  </si>
  <si>
    <t>reflects pre-covid spending trends</t>
  </si>
  <si>
    <t>Added Statehouse News Service</t>
  </si>
  <si>
    <t>FERC Relicensing</t>
  </si>
  <si>
    <t>Budget for FERC relicensing legal support</t>
  </si>
  <si>
    <t>eliminated, now doing in-house</t>
  </si>
  <si>
    <t>cost per case went from $42.15 to $89.49</t>
  </si>
  <si>
    <t>now part of ATA job description</t>
  </si>
  <si>
    <t>moved to 946</t>
  </si>
  <si>
    <t>does not intend to incr assessment</t>
  </si>
  <si>
    <t>budget not set, 5% cushion</t>
  </si>
  <si>
    <t>actual budget</t>
  </si>
  <si>
    <t>no communication as yet</t>
  </si>
  <si>
    <t>increase per latest funding schedule</t>
  </si>
  <si>
    <t>higher total wages</t>
  </si>
  <si>
    <t>MEDIC Board Liability Ins</t>
  </si>
  <si>
    <t>moved from 182</t>
  </si>
  <si>
    <t>increase for grounds/plumbing/HVAC</t>
  </si>
  <si>
    <t>allow $ for HVAC consultant</t>
  </si>
  <si>
    <t>debt paid off</t>
  </si>
  <si>
    <t>contractual incr</t>
  </si>
  <si>
    <t>more training for inspectors</t>
  </si>
  <si>
    <t>cover miles driven/possible inspection vehicle</t>
  </si>
  <si>
    <t>Add Full Time Position at B-1 ($19.28 hr.)</t>
  </si>
  <si>
    <t xml:space="preserve">Registrars asked for a raise due to </t>
  </si>
  <si>
    <t>2024 elections</t>
  </si>
  <si>
    <t>VBM Ballots - EVI-P Ballots</t>
  </si>
  <si>
    <t>VBM Ballots - postage increase of 3%</t>
  </si>
  <si>
    <t>B-1</t>
  </si>
  <si>
    <t>Request of Town Moderator</t>
  </si>
  <si>
    <t>MA Moderators PD Event</t>
  </si>
  <si>
    <t>Increasing supply cost ($18 to $25)</t>
  </si>
  <si>
    <t>Reflect actual FY22 cost</t>
  </si>
  <si>
    <t>Travel to MA Moderators Event(s)</t>
  </si>
  <si>
    <t>Increase in Mass Moderator Dues</t>
  </si>
  <si>
    <t>new hire</t>
  </si>
  <si>
    <t>Dept # 197</t>
  </si>
  <si>
    <t>Farmers Market</t>
  </si>
  <si>
    <t>Misc Expenses</t>
  </si>
  <si>
    <t>New stipended position</t>
  </si>
  <si>
    <t>Misc Exp</t>
  </si>
  <si>
    <t>all exp - adv, supplies, etc</t>
  </si>
  <si>
    <t>FARMERS MARKET</t>
  </si>
  <si>
    <t>full year rate increase</t>
  </si>
  <si>
    <t>D1</t>
  </si>
  <si>
    <t>CWF RTV with plow &amp; sander</t>
  </si>
  <si>
    <t>CWF Septage Station Upgrade</t>
  </si>
  <si>
    <t xml:space="preserve">DPW Discretionary </t>
  </si>
  <si>
    <t>DPW 10 Wheel Truck gross of 55% grant reimb</t>
  </si>
  <si>
    <t>Town Hall Flooring</t>
  </si>
  <si>
    <t>Library Window Repairs</t>
  </si>
  <si>
    <t>MC Park Improvement (232K to be reimb)</t>
  </si>
  <si>
    <t>Skatepark Lighting</t>
  </si>
  <si>
    <t>Demolish 38 Ave A</t>
  </si>
  <si>
    <t>Comm Garden Well</t>
  </si>
  <si>
    <t>Unity Pkg Lot Improvements</t>
  </si>
  <si>
    <t>Clerk Fireproof Locking Storage</t>
  </si>
  <si>
    <t>Sheffield Gym Roof Repair</t>
  </si>
  <si>
    <t>Sheffield Admin Security Door</t>
  </si>
  <si>
    <t>added 511,541,630, and several others</t>
  </si>
  <si>
    <t>moved MEDIC to non-functioning tab for reference only</t>
  </si>
  <si>
    <t>replaced previous MEDIC with Farmers Market</t>
  </si>
  <si>
    <t>Moved Clerk items from 292 to 161</t>
  </si>
  <si>
    <t>added all known special articles (and any funding from existing article balances) to working budget tab</t>
  </si>
  <si>
    <t>updated FY23 actual levy/excess capacity info, used rounded FY23 excess capacity for FY24</t>
  </si>
  <si>
    <t>spending more in this category</t>
  </si>
  <si>
    <t>FY22/2*78%</t>
  </si>
  <si>
    <t xml:space="preserve"> 30 to 40 hours, industry wages</t>
  </si>
  <si>
    <t>Higher Hourly Rates needed to retain help</t>
  </si>
  <si>
    <t>N/A</t>
  </si>
  <si>
    <t>Increased Contract Price Electricity</t>
  </si>
  <si>
    <t>Heating of Hangars / Outbuildings</t>
  </si>
  <si>
    <t>Contract Price Locked in for 3 years</t>
  </si>
  <si>
    <t>Cost of bulbs, LED drivers, Misc Parts</t>
  </si>
  <si>
    <t>Fuel, Material, Salt Price increase</t>
  </si>
  <si>
    <t>Renewal of service contracts</t>
  </si>
  <si>
    <t>Managers Lic. Training</t>
  </si>
  <si>
    <t>Additional Mailers / Billing</t>
  </si>
  <si>
    <t>Industry Increases / No changes to policy</t>
  </si>
  <si>
    <t>D7 to D10, also FY23 Budget not adj for 3% COLA</t>
  </si>
  <si>
    <t xml:space="preserve">Full Time Wages </t>
  </si>
  <si>
    <t xml:space="preserve">Airport Manager Wages </t>
  </si>
  <si>
    <t>Longevity (year 6)</t>
  </si>
  <si>
    <t>Airport Manager from D7 to E10</t>
  </si>
  <si>
    <t>Operations Mgr 30 hrs to 40 hours, A9 to D1</t>
  </si>
  <si>
    <t>Other Supply Equipment</t>
  </si>
  <si>
    <t>Other Supply Building</t>
  </si>
  <si>
    <t>Vending Exp</t>
  </si>
  <si>
    <t>Town Payment</t>
  </si>
  <si>
    <t>Capitol Outlay</t>
  </si>
  <si>
    <t>FAA Local Share</t>
  </si>
  <si>
    <t>Total Capital Outlay</t>
  </si>
  <si>
    <t>Capital Outlay/Local Share</t>
  </si>
  <si>
    <t>Propane</t>
  </si>
  <si>
    <t>Orig would go to step D7, Airport Comm increased to E 10</t>
  </si>
  <si>
    <t>was A9, goes to D1 once licensed</t>
  </si>
  <si>
    <t>historic averages</t>
  </si>
  <si>
    <t>no changes needed</t>
  </si>
  <si>
    <t>Now Includes Archive Socail - Social Media and Dog program</t>
  </si>
  <si>
    <t>now includes postage for dog licenses</t>
  </si>
  <si>
    <t>now includes supplies for dog licenses</t>
  </si>
  <si>
    <t>to Town Clerk Budget</t>
  </si>
  <si>
    <t>no longer used</t>
  </si>
  <si>
    <t>changed column headings to correct fiscal years in Report to Town Meeting</t>
  </si>
  <si>
    <t>in each dept tab, add row under each budget to show $ and % change from CY</t>
  </si>
  <si>
    <t>FY24 Requested</t>
  </si>
  <si>
    <t>changed column headings to correct fiscal years in Wages and Benefits</t>
  </si>
  <si>
    <t>The current balance of the FCTS Stabilization fund is 267,776</t>
  </si>
  <si>
    <t>reduced excess capacity to 1,330,000 so AA would match preliminary amount</t>
  </si>
  <si>
    <t>assumed CWF Septage Station Upgrade to come from CWF Cap Stab</t>
  </si>
  <si>
    <r>
      <t>3 year average ((+107+93</t>
    </r>
    <r>
      <rPr>
        <b/>
        <sz val="12"/>
        <rFont val="Times New Roman"/>
        <family val="1"/>
      </rPr>
      <t>+93</t>
    </r>
    <r>
      <rPr>
        <sz val="12"/>
        <rFont val="Times New Roman"/>
        <family val="1"/>
      </rPr>
      <t>)/3)=</t>
    </r>
    <r>
      <rPr>
        <b/>
        <sz val="12"/>
        <rFont val="Times New Roman"/>
        <family val="1"/>
      </rPr>
      <t>98</t>
    </r>
    <r>
      <rPr>
        <sz val="12"/>
        <rFont val="Times New Roman"/>
        <family val="1"/>
      </rPr>
      <t xml:space="preserve"> times FY23 PPC (1,029,566/93=11,071); 97 times $11,071 = </t>
    </r>
    <r>
      <rPr>
        <b/>
        <sz val="12"/>
        <rFont val="Times New Roman"/>
        <family val="1"/>
      </rPr>
      <t>1,084,958</t>
    </r>
    <r>
      <rPr>
        <sz val="12"/>
        <rFont val="Times New Roman"/>
        <family val="1"/>
      </rPr>
      <t xml:space="preserve"> expected assessment; </t>
    </r>
  </si>
  <si>
    <t>updated FCTS Est Assessment based on formula</t>
  </si>
  <si>
    <t>FY23 Commitment #1 x2. actual FY22 rev was $1,752,953</t>
  </si>
  <si>
    <t>updated based on 11/30 YTD/5x12 for 218000</t>
  </si>
  <si>
    <t>updated est CWF Rate increase - looking like 9%</t>
  </si>
  <si>
    <t>368K less expected reimb of 202,675</t>
  </si>
  <si>
    <t>400K less expected reimb of 232K</t>
  </si>
  <si>
    <t>Winter STM DPW</t>
  </si>
  <si>
    <t>updated Financial Policies by added capital requests where appropriate</t>
  </si>
  <si>
    <t>rec'd revised - no add'l step for Treas</t>
  </si>
  <si>
    <t>updated 145 - removed add'l step increase</t>
  </si>
  <si>
    <t>per Steve, calculated and showed relative wage increases for those departments that offset costs of FY22CBA within department</t>
  </si>
  <si>
    <t>FY23 budget adj to reflect annual CBA Incr</t>
  </si>
  <si>
    <t>added YTD Exp to 12/31/22</t>
  </si>
  <si>
    <t>saved as 12-28-2022 and e-mailed</t>
  </si>
  <si>
    <t>saved as 1/5/23</t>
  </si>
  <si>
    <t>changed 5670 from 20160 to 20445</t>
  </si>
  <si>
    <t>updated  vet district assessment 840 - increased 285</t>
  </si>
  <si>
    <t>CWF Budget</t>
  </si>
  <si>
    <t>CLEAN WATER FACILITY</t>
  </si>
  <si>
    <t>CWF CAPITAL OUTLAY</t>
  </si>
  <si>
    <t>CWF DEBT</t>
  </si>
  <si>
    <t>CWF EMPLOYEE BENEFITS</t>
  </si>
  <si>
    <t>Add to CWF Captial Stabilization Fund</t>
  </si>
  <si>
    <t>CWF Backup Generator</t>
  </si>
  <si>
    <t>SUBTOTAL CWF</t>
  </si>
  <si>
    <t>TOTAL CWF</t>
  </si>
  <si>
    <t>NG as % PY Levy Limit</t>
  </si>
  <si>
    <t>added calc of NG as % of PY Levy Limit to Rev Projections Detail</t>
  </si>
  <si>
    <t>CSO Monitor/Report</t>
  </si>
  <si>
    <t>added amount for 5430</t>
  </si>
  <si>
    <t>moved FY24 5430 budget to 449</t>
  </si>
  <si>
    <t>moved CSO monitor/reporting cost from 661 to 449</t>
  </si>
  <si>
    <t>expensed moved from 661 and increased for compliance</t>
  </si>
  <si>
    <t>increased 449 easements to FY23 exp of 1350</t>
  </si>
  <si>
    <t>increased 5271 to meet actual FY23 cost</t>
  </si>
  <si>
    <t>move capital outlay money (rarely used) to 5132</t>
  </si>
  <si>
    <t>moved to 5132</t>
  </si>
  <si>
    <t>some from 5800, some corrects allocation between accounts</t>
  </si>
  <si>
    <t>corrects allocation between accounts (5132)</t>
  </si>
  <si>
    <t>FY23 Actual</t>
  </si>
  <si>
    <t>Hearing Officer</t>
  </si>
  <si>
    <t>For appeals to fines issued by the building inspector</t>
  </si>
  <si>
    <t>added Hearing Officer to 241. Increase of 2500</t>
  </si>
  <si>
    <t>saved as 1-11-23</t>
  </si>
  <si>
    <t>Excess capacity needed to meet 10/26/22 AA</t>
  </si>
  <si>
    <t>5380 increaed from 19520 to 20527 per CW email</t>
  </si>
  <si>
    <t>add'l increase to 292-5380 to 21812 per CW email</t>
  </si>
  <si>
    <t>5380 add'l increase to 21812 per CW Email</t>
  </si>
  <si>
    <t>Childrens' Asst MS 13.5/wk +50</t>
  </si>
  <si>
    <t>added seminars and travel, inadvertently excluded from original submission</t>
  </si>
  <si>
    <t>added 212 Seminars and travel inadvertently excluded from original request</t>
  </si>
  <si>
    <t>revised budgeted excess capacity per SB vote 1/17</t>
  </si>
  <si>
    <t>1/18 changed to 1,149,544 per SB vote on 1/4/23 FC recommendation</t>
  </si>
  <si>
    <t>Vet benefits, Solid Waste Fees, COA Gill reimb,</t>
  </si>
  <si>
    <t>saved as 1-19-23</t>
  </si>
  <si>
    <t>sent to Steve for SB and FC</t>
  </si>
  <si>
    <t>Elections</t>
  </si>
  <si>
    <t>2023,2027,2031,2035,2039</t>
  </si>
  <si>
    <t>2024.2028,2032,2036,2040</t>
  </si>
  <si>
    <t>2025,2029,2033,2037,2041</t>
  </si>
  <si>
    <t>2026,2030,2034,2038,2042</t>
  </si>
  <si>
    <t xml:space="preserve">There is a four-year election cycle that keeps repeating.  </t>
  </si>
  <si>
    <t>includes amount for new Director of Health plus two new employees and one retirement, plus a 5% rate increase. Revisit after rate increase know, may also increase for more retirements</t>
  </si>
  <si>
    <t>added DPW Heavy Equipment Lead Operator (Grade E), offset by eliminating wages for lowest paid HEO</t>
  </si>
  <si>
    <t>E4</t>
  </si>
  <si>
    <t xml:space="preserve">Heavy Equipment Lead Oper          </t>
  </si>
  <si>
    <t>added Heavy Equip Lead op, removed wages for one regular HEO</t>
  </si>
  <si>
    <t>Collection System Lead Operator</t>
  </si>
  <si>
    <t>E5</t>
  </si>
  <si>
    <t>added Collection System Lead op 1040 hrs here, and another 1040 hours in 661-449</t>
  </si>
  <si>
    <t>added Collection System Lead Operator at E5 with half budgeted in 422 and half in 661-449</t>
  </si>
  <si>
    <t>Grounds Maintenance Lead          DP</t>
  </si>
  <si>
    <t>added equipment exp (computers, furniture) for new employee</t>
  </si>
  <si>
    <t>new staff person</t>
  </si>
  <si>
    <t>updated Clerk budget -inc 4250 for equipment for new employee</t>
  </si>
  <si>
    <t>increased 910 for Town and CWF due to 6% rate increase (expected again for FY25)</t>
  </si>
  <si>
    <t>Adobe Acrobat</t>
  </si>
  <si>
    <t>Added new employees to existing contingency amounts for 910-5174</t>
  </si>
  <si>
    <t>increased 5174 by 6% voted rate increase and added additional retirement contingencies</t>
  </si>
  <si>
    <t>saved as 1-25-23</t>
  </si>
  <si>
    <t>saved as 2-7/23</t>
  </si>
  <si>
    <t>reduced Smith VoTech from 45 to 23K</t>
  </si>
  <si>
    <t>DPW 10 Wheel Truck gross of 55% grant reimb request withdrawn so removed</t>
  </si>
  <si>
    <t>Library window repairs request reduced from $115K to 14K</t>
  </si>
  <si>
    <t>MF Library Window/Door Repairs</t>
  </si>
  <si>
    <t>added 1380 to 480-5247 per WR</t>
  </si>
  <si>
    <t>added 1380 to 5247 per WR</t>
  </si>
  <si>
    <t>previous 3yr agreement expired.</t>
  </si>
  <si>
    <t>added article for 11,585 to replenish unexpected engineering expenses</t>
  </si>
  <si>
    <t>adjusted DPW Discretionary amount from 100K to 70,592 based on 2/16 balance of $82,408 less $53K expected purchase by 2/23.</t>
  </si>
  <si>
    <t>CWF Pellet Heat Boiler</t>
  </si>
  <si>
    <t>CWF Cap Stabilization</t>
  </si>
  <si>
    <t>added article for CWF Pellet Boiler. Funding to be balance of RE and rest of cost from CWF Cap Stab</t>
  </si>
  <si>
    <t>added 13K placeholder for grant match Sp Art</t>
  </si>
  <si>
    <t>Grant match</t>
  </si>
  <si>
    <t>receiving station article increased to $264K</t>
  </si>
  <si>
    <t>Add to Town Gen Stab</t>
  </si>
  <si>
    <t>Add to Unexpected Engineering Exp</t>
  </si>
  <si>
    <t>Avail Funds</t>
  </si>
  <si>
    <t>Cap Stab</t>
  </si>
  <si>
    <t>CWF</t>
  </si>
  <si>
    <t>Ret Earnings</t>
  </si>
  <si>
    <t>Overlay</t>
  </si>
  <si>
    <t>Surplus</t>
  </si>
  <si>
    <t>Overlay Surplus to Reserves</t>
  </si>
  <si>
    <t>Free Cash to Reserves</t>
  </si>
  <si>
    <t xml:space="preserve">noticably below budgeted amounts in recent years </t>
  </si>
  <si>
    <t xml:space="preserve">increase due to steps and colas. </t>
  </si>
  <si>
    <t xml:space="preserve">due to vacancies even as the budgeted amounts </t>
  </si>
  <si>
    <t>normal contractual increases. Note that actuals were</t>
  </si>
  <si>
    <t>save as 2-23-23 and send to FC and SB</t>
  </si>
  <si>
    <t>Chapter 70</t>
  </si>
  <si>
    <t>added Gov State Aid est to Rev Detail Tab</t>
  </si>
  <si>
    <t>FCTS Preliminary operating assessment of $1,027,844 plus WAG Capital Assessment of $30K</t>
  </si>
  <si>
    <t>FCTS Total Enrollment exp for FY24 assessment = 560, of which 93 are from Montague, our % dropped from 16.63 to 16.61</t>
  </si>
  <si>
    <t xml:space="preserve">updated FCTS Assessment per letter, plus WAG of 30K for capital assessment </t>
  </si>
  <si>
    <t>Update Debt Exclusion - TFHS 114,333 to 110,477. changes AA, but not town budget</t>
  </si>
  <si>
    <t>on rev proj detail, changed FY23 state aid numbers to actual final FY23 CS</t>
  </si>
  <si>
    <t>input actual FCTS Cap assessment of 25,174 and adjusted amt of taxation to FCTS Stabilization</t>
  </si>
  <si>
    <t>actual FCTS Cap assessment is 25,173.37</t>
  </si>
  <si>
    <r>
      <t>FY24actual assessment is $</t>
    </r>
    <r>
      <rPr>
        <b/>
        <i/>
        <sz val="12"/>
        <rFont val="Times New Roman"/>
        <family val="1"/>
      </rPr>
      <t>1,053,018</t>
    </r>
    <r>
      <rPr>
        <sz val="12"/>
        <rFont val="Times New Roman"/>
        <family val="1"/>
      </rPr>
      <t xml:space="preserve">, leaving a surplus of </t>
    </r>
    <r>
      <rPr>
        <b/>
        <i/>
        <sz val="12"/>
        <rFont val="Times New Roman"/>
        <family val="1"/>
      </rPr>
      <t>$31,940</t>
    </r>
  </si>
  <si>
    <r>
      <t xml:space="preserve">Policy is to transfer surplus in excess of $10,000 </t>
    </r>
    <r>
      <rPr>
        <b/>
        <i/>
        <sz val="12"/>
        <rFont val="Times New Roman"/>
        <family val="1"/>
      </rPr>
      <t>(21,940</t>
    </r>
    <r>
      <rPr>
        <sz val="12"/>
        <rFont val="Times New Roman"/>
        <family val="1"/>
      </rPr>
      <t>) to the FCTS Stabilization fund.</t>
    </r>
  </si>
  <si>
    <t>FY24 per pupil is 11,323. Expected enrollment for FY25 is XX</t>
  </si>
  <si>
    <t>increased to reflect actual 6% rate increase and 50% cost of new DPW/CWF employee</t>
  </si>
  <si>
    <t>final Hins ajd, removed 50% new employee, increased for potential changes of coverage within staff</t>
  </si>
  <si>
    <t>adjusted for new CollSyst employee 100% town</t>
  </si>
  <si>
    <t>changed CS empl to 2080 for town</t>
  </si>
  <si>
    <t>SB voted to have new CollSys empl at 100% town. Re-estimated Hins for town/cwf, changed wages to reflect this.</t>
  </si>
  <si>
    <t>rearranged funding sources to balance taxation</t>
  </si>
  <si>
    <t>changed grantmatch amount to 13,100</t>
  </si>
  <si>
    <t>saved as 3/1/23 and sent to FC and BOS</t>
  </si>
  <si>
    <t>updated Colle available balance on Budget Summary tab</t>
  </si>
  <si>
    <t>FY2024 BUDGET SUMMARY</t>
  </si>
  <si>
    <t>added sp art for Planning/Bldg furniture</t>
  </si>
  <si>
    <t>Office Furniture Planning/Bldg</t>
  </si>
  <si>
    <t>G5</t>
  </si>
  <si>
    <t>Rehired Annuitant</t>
  </si>
  <si>
    <t>reduce by 3640 if hired at D1</t>
  </si>
  <si>
    <t>reduction</t>
  </si>
  <si>
    <t>add'l needed</t>
  </si>
  <si>
    <t>Assume new TC 7/1</t>
  </si>
  <si>
    <t>Assume new ATC 7/31</t>
  </si>
  <si>
    <t>Assume new AA 7/31</t>
  </si>
  <si>
    <t>savings D2</t>
  </si>
  <si>
    <t>fixed error in request for Clerk-Bd of Registrars</t>
  </si>
  <si>
    <t>will need to fix I&amp; I final number</t>
  </si>
  <si>
    <t>Bldg/Plan may postpone article</t>
  </si>
  <si>
    <t>updated 3/9/23 per CL info</t>
  </si>
  <si>
    <t>Total cost to remove grit - estimated at FY22 total payments to Waste Management for grit removal</t>
  </si>
  <si>
    <t>[FY22 total chlorine g=4,310, $5.42/g) purchases = 13,257.6. Estimating 75% used for above purpose per info in document]</t>
  </si>
  <si>
    <t>Document says this is estimated at 1 FTE employee. FY22 Budget has 9 FTE, so 1 FTE = 1/9 total labor costs</t>
  </si>
  <si>
    <t>Erving's flow from Millers Falls. CY 2022</t>
  </si>
  <si>
    <t>Less the Millers Metered Q Cal22 of the TFWD metered Q to FF</t>
  </si>
  <si>
    <t>Estimated FY24 Chlorine cost for primary clarifier and chlorine contact tank</t>
  </si>
  <si>
    <t>Revised 3/9/23 after notice of TC retirement 6/30</t>
  </si>
  <si>
    <t>Rehired Annuitant (Deb B)</t>
  </si>
  <si>
    <t>Updated Town Clerk Budget +1770</t>
  </si>
  <si>
    <t>11th St Bridge</t>
  </si>
  <si>
    <t>Added $100K article for 11th St Bridge</t>
  </si>
  <si>
    <t>Removed articles</t>
  </si>
  <si>
    <t>-400K MC park - to STM</t>
  </si>
  <si>
    <t>-66K Skatepark lighting - to STM</t>
  </si>
  <si>
    <t xml:space="preserve">-12,376 office furn for 2 depts - to STM / comprehensive </t>
  </si>
  <si>
    <t>amended 113,149 to 113,500 for CWF pellet boiler</t>
  </si>
  <si>
    <t>corrected 5795 to reflect annual 2.5% increase</t>
  </si>
  <si>
    <t>Overlay Surplus to OPEB</t>
  </si>
  <si>
    <t>1/9 total labor costs</t>
  </si>
  <si>
    <t>Chelsey - don't forget to update Tax Share CWF</t>
  </si>
  <si>
    <t>PY MF Overage</t>
  </si>
  <si>
    <t>amended CWF to reflect 16k increase in MF assessment</t>
  </si>
  <si>
    <t>updated Tax Share CWF Budget per budget change and updated flow information. This increased tax share CWF</t>
  </si>
  <si>
    <t>changed funding source for Grant Match to balance Taxation.</t>
  </si>
  <si>
    <t>Save as 3-9-23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</si>
</sst>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_);_(@_)"/>
    <numFmt numFmtId="165" formatCode="[$$-409]#,##0;[Red]\-[$$-409]#,##0"/>
    <numFmt numFmtId="166" formatCode="_(* #,##0.00_);_(* \(#,##0.00\);_(* &quot;-&quot;_);_(@_)"/>
    <numFmt numFmtId="167" formatCode="_(* #,##0_);_(* \(#,##0\);_(* &quot;-&quot;??_);_(@_)"/>
    <numFmt numFmtId="168" formatCode="0.0%"/>
    <numFmt numFmtId="169" formatCode="#,##0;[Red]#,##0"/>
    <numFmt numFmtId="170" formatCode="[$$-409]#,##0.00;[Red]\-[$$-409]#,##0.00"/>
    <numFmt numFmtId="171" formatCode="_(* #,##0.000000_);_(* \(#,##0.000000\);_(* &quot;-&quot;??_);_(@_)"/>
    <numFmt numFmtId="172" formatCode="0.0000%"/>
    <numFmt numFmtId="173" formatCode="_(* #,##0.0000_);_(* \(#,##0.0000\);_(* &quot;-&quot;??_);_(@_)"/>
    <numFmt numFmtId="174" formatCode="0.000%"/>
  </numFmts>
  <fonts count="79" x14ac:knownFonts="1">
    <font>
      <sz val="10"/>
      <name val="Times New Roman"/>
    </font>
    <font>
      <sz val="11"/>
      <color theme="1"/>
      <name val="Arial"/>
      <family val="2"/>
      <scheme val="minor"/>
    </font>
    <font>
      <sz val="10"/>
      <name val="Times New Roman"/>
      <family val="1"/>
    </font>
    <font>
      <sz val="10"/>
      <name val="Arial"/>
      <family val="2"/>
    </font>
    <font>
      <b/>
      <sz val="10"/>
      <name val="Arial"/>
      <family val="2"/>
    </font>
    <font>
      <sz val="11"/>
      <name val="Arial"/>
      <family val="2"/>
    </font>
    <font>
      <b/>
      <sz val="11"/>
      <name val="Arial"/>
      <family val="2"/>
    </font>
    <font>
      <b/>
      <u/>
      <sz val="10"/>
      <name val="Times New Roman"/>
      <family val="1"/>
    </font>
    <font>
      <b/>
      <sz val="10"/>
      <name val="Times New Roman"/>
      <family val="1"/>
    </font>
    <font>
      <sz val="10"/>
      <name val="Times New Roman"/>
      <family val="1"/>
    </font>
    <font>
      <b/>
      <sz val="10"/>
      <color indexed="8"/>
      <name val="Arial"/>
      <family val="2"/>
    </font>
    <font>
      <sz val="10"/>
      <color indexed="8"/>
      <name val="Arial"/>
      <family val="2"/>
    </font>
    <font>
      <u/>
      <sz val="10"/>
      <name val="Times New Roman"/>
      <family val="1"/>
    </font>
    <font>
      <b/>
      <sz val="12"/>
      <name val="Arial"/>
      <family val="2"/>
    </font>
    <font>
      <sz val="14"/>
      <name val="Times New Roman"/>
      <family val="1"/>
    </font>
    <font>
      <sz val="8"/>
      <name val="Times New Roman"/>
      <family val="1"/>
    </font>
    <font>
      <b/>
      <sz val="11"/>
      <name val="Times New Roman"/>
      <family val="1"/>
    </font>
    <font>
      <b/>
      <sz val="11"/>
      <color indexed="10"/>
      <name val="Times New Roman"/>
      <family val="1"/>
    </font>
    <font>
      <sz val="11"/>
      <name val="Times New Roman"/>
      <family val="1"/>
    </font>
    <font>
      <u/>
      <sz val="11"/>
      <name val="Times New Roman"/>
      <family val="1"/>
    </font>
    <font>
      <b/>
      <sz val="10"/>
      <name val="Microsoft Sans Serif"/>
      <family val="2"/>
    </font>
    <font>
      <b/>
      <sz val="12"/>
      <name val="Times New Roman"/>
      <family val="1"/>
    </font>
    <font>
      <sz val="16"/>
      <name val="Arial"/>
      <family val="2"/>
    </font>
    <font>
      <u val="singleAccounting"/>
      <sz val="10"/>
      <name val="Times New Roman"/>
      <family val="1"/>
    </font>
    <font>
      <sz val="12"/>
      <name val="Times New Roman"/>
      <family val="1"/>
    </font>
    <font>
      <sz val="12"/>
      <name val="Arial"/>
      <family val="2"/>
    </font>
    <font>
      <u/>
      <sz val="10"/>
      <name val="Arial"/>
      <family val="2"/>
    </font>
    <font>
      <sz val="11"/>
      <name val="Calibri"/>
      <family val="2"/>
    </font>
    <font>
      <u/>
      <sz val="10"/>
      <color theme="10"/>
      <name val="Times New Roman"/>
      <family val="1"/>
    </font>
    <font>
      <u/>
      <sz val="11"/>
      <color theme="1"/>
      <name val="Arial"/>
      <family val="2"/>
      <scheme val="minor"/>
    </font>
    <font>
      <sz val="10"/>
      <color theme="1"/>
      <name val="Times New Roman"/>
      <family val="1"/>
    </font>
    <font>
      <sz val="11"/>
      <color rgb="FF1F497D"/>
      <name val="Calibri"/>
      <family val="2"/>
    </font>
    <font>
      <u/>
      <sz val="11"/>
      <color rgb="FF000000"/>
      <name val="Calibri"/>
      <family val="2"/>
    </font>
    <font>
      <b/>
      <sz val="10"/>
      <name val="Times New Roman"/>
      <family val="1"/>
      <charset val="1"/>
    </font>
    <font>
      <sz val="10"/>
      <name val="Arial"/>
      <family val="2"/>
      <charset val="1"/>
    </font>
    <font>
      <b/>
      <sz val="10"/>
      <name val="Arial"/>
      <family val="2"/>
      <charset val="1"/>
    </font>
    <font>
      <sz val="9"/>
      <name val="Arial"/>
      <family val="2"/>
    </font>
    <font>
      <b/>
      <sz val="12"/>
      <color theme="1"/>
      <name val="Arial"/>
      <family val="2"/>
    </font>
    <font>
      <b/>
      <u/>
      <sz val="12"/>
      <name val="Arial"/>
      <family val="2"/>
    </font>
    <font>
      <u/>
      <sz val="11"/>
      <name val="Arial"/>
      <family val="2"/>
    </font>
    <font>
      <strike/>
      <sz val="10"/>
      <name val="Arial"/>
      <family val="2"/>
    </font>
    <font>
      <sz val="10"/>
      <name val="Arial"/>
      <family val="2"/>
      <scheme val="minor"/>
    </font>
    <font>
      <b/>
      <sz val="10"/>
      <name val="Arial"/>
      <family val="2"/>
      <scheme val="minor"/>
    </font>
    <font>
      <sz val="10"/>
      <name val="Arial"/>
      <family val="2"/>
      <scheme val="major"/>
    </font>
    <font>
      <b/>
      <sz val="10"/>
      <name val="Arial"/>
      <family val="2"/>
      <scheme val="major"/>
    </font>
    <font>
      <u/>
      <sz val="12"/>
      <color theme="10"/>
      <name val="Arial"/>
      <family val="2"/>
      <scheme val="minor"/>
    </font>
    <font>
      <sz val="12"/>
      <name val="Arial"/>
      <family val="2"/>
      <scheme val="minor"/>
    </font>
    <font>
      <b/>
      <sz val="12"/>
      <name val="Arial"/>
      <family val="2"/>
      <scheme val="minor"/>
    </font>
    <font>
      <sz val="12"/>
      <color rgb="FFFF0000"/>
      <name val="Arial"/>
      <family val="2"/>
      <scheme val="minor"/>
    </font>
    <font>
      <strike/>
      <sz val="12"/>
      <name val="Arial"/>
      <family val="2"/>
      <scheme val="minor"/>
    </font>
    <font>
      <b/>
      <sz val="12"/>
      <color theme="1"/>
      <name val="Arial"/>
      <family val="2"/>
      <scheme val="minor"/>
    </font>
    <font>
      <sz val="12"/>
      <name val="Arial"/>
      <family val="2"/>
      <scheme val="major"/>
    </font>
    <font>
      <b/>
      <u/>
      <sz val="12"/>
      <name val="Arial"/>
      <family val="2"/>
      <scheme val="major"/>
    </font>
    <font>
      <u/>
      <sz val="12"/>
      <color theme="10"/>
      <name val="Arial"/>
      <family val="2"/>
    </font>
    <font>
      <u val="singleAccounting"/>
      <sz val="12"/>
      <name val="Arial"/>
      <family val="2"/>
    </font>
    <font>
      <b/>
      <i/>
      <sz val="12"/>
      <name val="Times New Roman"/>
      <family val="1"/>
    </font>
    <font>
      <u/>
      <sz val="10"/>
      <color theme="10"/>
      <name val="Arial"/>
      <family val="2"/>
      <scheme val="minor"/>
    </font>
    <font>
      <b/>
      <u/>
      <sz val="10"/>
      <name val="Arial"/>
      <family val="2"/>
      <scheme val="minor"/>
    </font>
    <font>
      <sz val="14"/>
      <name val="Arial"/>
      <family val="2"/>
    </font>
    <font>
      <b/>
      <sz val="14"/>
      <name val="Arial"/>
      <family val="2"/>
    </font>
    <font>
      <b/>
      <strike/>
      <sz val="10"/>
      <name val="Arial"/>
      <family val="2"/>
    </font>
    <font>
      <sz val="12"/>
      <name val="Calibri"/>
      <family val="2"/>
    </font>
    <font>
      <u/>
      <sz val="12"/>
      <name val="Calibri"/>
      <family val="2"/>
    </font>
    <font>
      <b/>
      <sz val="18"/>
      <name val="Times New Roman"/>
      <family val="1"/>
    </font>
    <font>
      <b/>
      <u/>
      <sz val="10"/>
      <name val="Arial"/>
      <family val="2"/>
    </font>
    <font>
      <u val="singleAccounting"/>
      <sz val="12"/>
      <name val="Arial"/>
      <family val="2"/>
      <scheme val="minor"/>
    </font>
    <font>
      <u/>
      <sz val="10"/>
      <name val="Arial"/>
      <family val="2"/>
      <charset val="1"/>
    </font>
    <font>
      <strike/>
      <sz val="10"/>
      <name val="Arial"/>
      <family val="2"/>
      <scheme val="minor"/>
    </font>
    <font>
      <b/>
      <sz val="14"/>
      <name val="Calibri"/>
      <family val="2"/>
    </font>
    <font>
      <sz val="14"/>
      <name val="Calibri"/>
      <family val="2"/>
    </font>
    <font>
      <b/>
      <sz val="12"/>
      <name val="Calibri"/>
      <family val="2"/>
    </font>
    <font>
      <sz val="10"/>
      <name val="Calibri"/>
      <family val="2"/>
    </font>
    <font>
      <b/>
      <u/>
      <sz val="10"/>
      <name val="Calibri"/>
      <family val="2"/>
    </font>
    <font>
      <u/>
      <sz val="10"/>
      <name val="Calibri"/>
      <family val="2"/>
    </font>
    <font>
      <u val="singleAccounting"/>
      <sz val="10"/>
      <name val="Calibri"/>
      <family val="2"/>
    </font>
    <font>
      <b/>
      <sz val="10"/>
      <name val="Calibri"/>
      <family val="2"/>
    </font>
    <font>
      <sz val="12"/>
      <color rgb="FF000000"/>
      <name val="Arial"/>
      <family val="2"/>
      <scheme val="minor"/>
    </font>
    <font>
      <b/>
      <i/>
      <sz val="10"/>
      <name val="Arial"/>
      <family val="2"/>
    </font>
    <font>
      <b/>
      <sz val="11"/>
      <name val="Calibri"/>
      <family val="2"/>
    </font>
  </fonts>
  <fills count="22">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6"/>
        <bgColor indexed="64"/>
      </patternFill>
    </fill>
    <fill>
      <patternFill patternType="solid">
        <fgColor theme="4" tint="0.79998168889431442"/>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92D050"/>
        <bgColor indexed="64"/>
      </patternFill>
    </fill>
    <fill>
      <patternFill patternType="solid">
        <fgColor theme="6" tint="0.59999389629810485"/>
        <bgColor indexed="64"/>
      </patternFill>
    </fill>
    <fill>
      <patternFill patternType="solid">
        <fgColor theme="1"/>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99FF"/>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DCE6F2"/>
        <bgColor rgb="FFD9D9D9"/>
      </patternFill>
    </fill>
    <fill>
      <patternFill patternType="solid">
        <fgColor theme="0" tint="-0.499984740745262"/>
        <bgColor indexed="64"/>
      </patternFill>
    </fill>
  </fills>
  <borders count="70">
    <border>
      <left/>
      <right/>
      <top/>
      <bottom/>
      <diagonal/>
    </border>
    <border>
      <left style="double">
        <color indexed="64"/>
      </left>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double">
        <color indexed="64"/>
      </left>
      <right/>
      <top/>
      <bottom style="double">
        <color indexed="64"/>
      </bottom>
      <diagonal/>
    </border>
    <border>
      <left style="thin">
        <color indexed="64"/>
      </left>
      <right style="thin">
        <color indexed="64"/>
      </right>
      <top/>
      <bottom style="double">
        <color indexed="64"/>
      </bottom>
      <diagonal/>
    </border>
    <border>
      <left style="double">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diagonal/>
    </border>
    <border>
      <left style="thin">
        <color indexed="64"/>
      </left>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style="double">
        <color indexed="64"/>
      </left>
      <right/>
      <top/>
      <bottom/>
      <diagonal/>
    </border>
    <border>
      <left/>
      <right style="thin">
        <color indexed="64"/>
      </right>
      <top/>
      <bottom style="thin">
        <color indexed="64"/>
      </bottom>
      <diagonal/>
    </border>
    <border>
      <left style="thin">
        <color indexed="64"/>
      </left>
      <right style="thin">
        <color indexed="64"/>
      </right>
      <top style="double">
        <color indexed="64"/>
      </top>
      <bottom style="medium">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right style="thin">
        <color indexed="64"/>
      </right>
      <top style="double">
        <color indexed="64"/>
      </top>
      <bottom/>
      <diagonal/>
    </border>
    <border>
      <left/>
      <right style="thin">
        <color indexed="64"/>
      </right>
      <top/>
      <bottom/>
      <diagonal/>
    </border>
    <border>
      <left style="double">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top style="thin">
        <color indexed="64"/>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medium">
        <color indexed="64"/>
      </top>
      <bottom/>
      <diagonal/>
    </border>
    <border>
      <left/>
      <right/>
      <top style="double">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double">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s>
  <cellStyleXfs count="6">
    <xf numFmtId="165" fontId="0" fillId="0" borderId="0"/>
    <xf numFmtId="43" fontId="2" fillId="0" borderId="0" applyFont="0" applyFill="0" applyBorder="0" applyAlignment="0" applyProtection="0"/>
    <xf numFmtId="165" fontId="28" fillId="0" borderId="0" applyNumberFormat="0" applyFill="0" applyBorder="0" applyAlignment="0" applyProtection="0">
      <alignment vertical="top"/>
      <protection locked="0"/>
    </xf>
    <xf numFmtId="9" fontId="2" fillId="0" borderId="0" applyFont="0" applyFill="0" applyBorder="0" applyAlignment="0" applyProtection="0"/>
    <xf numFmtId="165" fontId="2" fillId="0" borderId="0"/>
    <xf numFmtId="43" fontId="2" fillId="0" borderId="0" applyFont="0" applyFill="0" applyBorder="0" applyAlignment="0" applyProtection="0"/>
  </cellStyleXfs>
  <cellXfs count="1179">
    <xf numFmtId="165" fontId="0" fillId="0" borderId="0" xfId="0"/>
    <xf numFmtId="43" fontId="0" fillId="0" borderId="0" xfId="1" applyFont="1"/>
    <xf numFmtId="41" fontId="0" fillId="0" borderId="0" xfId="0" applyNumberFormat="1"/>
    <xf numFmtId="41" fontId="0" fillId="0" borderId="0" xfId="0" applyNumberFormat="1" applyAlignment="1">
      <alignment horizontal="center"/>
    </xf>
    <xf numFmtId="165" fontId="3" fillId="0" borderId="0" xfId="0" applyFont="1"/>
    <xf numFmtId="165" fontId="4" fillId="0" borderId="1" xfId="0" applyFont="1" applyBorder="1"/>
    <xf numFmtId="165" fontId="4" fillId="0" borderId="2" xfId="0" applyFont="1" applyBorder="1"/>
    <xf numFmtId="165" fontId="4" fillId="0" borderId="3" xfId="0" applyFont="1" applyBorder="1" applyAlignment="1">
      <alignment horizontal="center"/>
    </xf>
    <xf numFmtId="165" fontId="4" fillId="0" borderId="4" xfId="0" applyFont="1" applyBorder="1"/>
    <xf numFmtId="165" fontId="4" fillId="0" borderId="5" xfId="0" applyFont="1" applyBorder="1" applyAlignment="1">
      <alignment horizontal="center"/>
    </xf>
    <xf numFmtId="165" fontId="4" fillId="0" borderId="8" xfId="0" applyFont="1" applyBorder="1" applyAlignment="1">
      <alignment horizontal="center"/>
    </xf>
    <xf numFmtId="165" fontId="3" fillId="0" borderId="9" xfId="0" applyFont="1" applyBorder="1"/>
    <xf numFmtId="165" fontId="3" fillId="0" borderId="10" xfId="0" applyFont="1" applyBorder="1"/>
    <xf numFmtId="43" fontId="3" fillId="0" borderId="11" xfId="1" applyFont="1" applyBorder="1"/>
    <xf numFmtId="41" fontId="3" fillId="0" borderId="11" xfId="0" applyNumberFormat="1" applyFont="1" applyBorder="1"/>
    <xf numFmtId="43" fontId="3" fillId="0" borderId="12" xfId="1" applyFont="1" applyBorder="1"/>
    <xf numFmtId="41" fontId="3" fillId="0" borderId="12" xfId="0" applyNumberFormat="1" applyFont="1" applyBorder="1"/>
    <xf numFmtId="165" fontId="4" fillId="0" borderId="10" xfId="0" applyFont="1" applyBorder="1"/>
    <xf numFmtId="43" fontId="3" fillId="0" borderId="8" xfId="1" applyFont="1" applyBorder="1"/>
    <xf numFmtId="41" fontId="3" fillId="0" borderId="8" xfId="0" applyNumberFormat="1" applyFont="1" applyBorder="1"/>
    <xf numFmtId="165" fontId="4" fillId="0" borderId="14" xfId="0" applyFont="1" applyBorder="1"/>
    <xf numFmtId="43" fontId="3" fillId="0" borderId="15" xfId="1" applyFont="1" applyBorder="1"/>
    <xf numFmtId="41" fontId="3" fillId="0" borderId="15" xfId="0" applyNumberFormat="1" applyFont="1" applyBorder="1"/>
    <xf numFmtId="43" fontId="3" fillId="0" borderId="0" xfId="1" applyFont="1"/>
    <xf numFmtId="43" fontId="3" fillId="0" borderId="0" xfId="1" applyFont="1" applyBorder="1"/>
    <xf numFmtId="41" fontId="3" fillId="0" borderId="0" xfId="0" applyNumberFormat="1" applyFont="1"/>
    <xf numFmtId="165" fontId="3" fillId="0" borderId="6" xfId="0" applyFont="1" applyBorder="1"/>
    <xf numFmtId="165" fontId="3" fillId="0" borderId="7" xfId="0" applyFont="1" applyBorder="1"/>
    <xf numFmtId="43" fontId="3" fillId="0" borderId="16" xfId="1" applyFont="1" applyBorder="1"/>
    <xf numFmtId="41" fontId="3" fillId="0" borderId="16" xfId="0" applyNumberFormat="1" applyFont="1" applyBorder="1"/>
    <xf numFmtId="43" fontId="3" fillId="0" borderId="17" xfId="1" applyFont="1" applyBorder="1"/>
    <xf numFmtId="41" fontId="3" fillId="0" borderId="17" xfId="0" applyNumberFormat="1" applyFont="1" applyBorder="1"/>
    <xf numFmtId="41" fontId="3" fillId="0" borderId="10" xfId="0" applyNumberFormat="1" applyFont="1" applyBorder="1"/>
    <xf numFmtId="41" fontId="4" fillId="0" borderId="8" xfId="0" applyNumberFormat="1" applyFont="1" applyBorder="1" applyAlignment="1">
      <alignment horizontal="center"/>
    </xf>
    <xf numFmtId="41" fontId="3" fillId="0" borderId="8" xfId="1" applyNumberFormat="1" applyFont="1" applyBorder="1"/>
    <xf numFmtId="43" fontId="3" fillId="0" borderId="18" xfId="1" applyFont="1" applyBorder="1"/>
    <xf numFmtId="41" fontId="3" fillId="0" borderId="18" xfId="0" applyNumberFormat="1" applyFont="1" applyBorder="1"/>
    <xf numFmtId="43" fontId="3" fillId="0" borderId="19" xfId="1" applyFont="1" applyBorder="1"/>
    <xf numFmtId="41" fontId="3" fillId="0" borderId="19" xfId="0" applyNumberFormat="1" applyFont="1" applyBorder="1"/>
    <xf numFmtId="41" fontId="3" fillId="0" borderId="15" xfId="1" applyNumberFormat="1" applyFont="1" applyBorder="1"/>
    <xf numFmtId="41" fontId="3" fillId="0" borderId="11" xfId="1" applyNumberFormat="1" applyFont="1" applyBorder="1"/>
    <xf numFmtId="41" fontId="3" fillId="0" borderId="12" xfId="1" applyNumberFormat="1" applyFont="1" applyBorder="1"/>
    <xf numFmtId="41" fontId="3" fillId="0" borderId="10" xfId="1" applyNumberFormat="1" applyFont="1" applyBorder="1"/>
    <xf numFmtId="165" fontId="5" fillId="0" borderId="0" xfId="0" applyFont="1"/>
    <xf numFmtId="165" fontId="6" fillId="0" borderId="0" xfId="0" applyFont="1"/>
    <xf numFmtId="165" fontId="4" fillId="0" borderId="16" xfId="0" applyFont="1" applyBorder="1" applyAlignment="1">
      <alignment horizontal="center"/>
    </xf>
    <xf numFmtId="165" fontId="3" fillId="0" borderId="22" xfId="0" applyFont="1" applyBorder="1" applyAlignment="1">
      <alignment horizontal="center"/>
    </xf>
    <xf numFmtId="41" fontId="3" fillId="0" borderId="23" xfId="0" applyNumberFormat="1" applyFont="1" applyBorder="1" applyAlignment="1">
      <alignment horizontal="center"/>
    </xf>
    <xf numFmtId="165" fontId="3" fillId="0" borderId="24" xfId="0" applyFont="1" applyBorder="1"/>
    <xf numFmtId="165" fontId="4" fillId="0" borderId="24" xfId="0" applyFont="1" applyBorder="1"/>
    <xf numFmtId="165" fontId="4" fillId="0" borderId="25" xfId="0" applyFont="1" applyBorder="1"/>
    <xf numFmtId="41" fontId="0" fillId="0" borderId="26" xfId="0" applyNumberFormat="1" applyBorder="1"/>
    <xf numFmtId="41" fontId="0" fillId="0" borderId="27" xfId="0" applyNumberFormat="1" applyBorder="1"/>
    <xf numFmtId="41" fontId="0" fillId="0" borderId="28" xfId="0" applyNumberFormat="1" applyBorder="1"/>
    <xf numFmtId="14" fontId="3" fillId="0" borderId="0" xfId="0" applyNumberFormat="1" applyFont="1"/>
    <xf numFmtId="165" fontId="0" fillId="0" borderId="28" xfId="0" applyBorder="1"/>
    <xf numFmtId="43" fontId="3" fillId="0" borderId="0" xfId="1" quotePrefix="1" applyFont="1"/>
    <xf numFmtId="41" fontId="3" fillId="0" borderId="11" xfId="0" quotePrefix="1" applyNumberFormat="1" applyFont="1" applyBorder="1"/>
    <xf numFmtId="43" fontId="6" fillId="0" borderId="0" xfId="1" applyFont="1"/>
    <xf numFmtId="43" fontId="4" fillId="0" borderId="8" xfId="1" applyFont="1" applyBorder="1" applyAlignment="1">
      <alignment horizontal="center"/>
    </xf>
    <xf numFmtId="165" fontId="3" fillId="0" borderId="11" xfId="0" applyFont="1" applyBorder="1"/>
    <xf numFmtId="165" fontId="4" fillId="0" borderId="11" xfId="0" applyFont="1" applyBorder="1"/>
    <xf numFmtId="165" fontId="4" fillId="0" borderId="7" xfId="0" applyFont="1" applyBorder="1"/>
    <xf numFmtId="16" fontId="3" fillId="0" borderId="0" xfId="0" applyNumberFormat="1" applyFont="1"/>
    <xf numFmtId="43" fontId="0" fillId="0" borderId="0" xfId="0" applyNumberFormat="1"/>
    <xf numFmtId="41" fontId="0" fillId="0" borderId="0" xfId="1" applyNumberFormat="1" applyFont="1"/>
    <xf numFmtId="165" fontId="0" fillId="0" borderId="18" xfId="0" applyBorder="1"/>
    <xf numFmtId="165" fontId="0" fillId="0" borderId="8" xfId="0" applyBorder="1"/>
    <xf numFmtId="165" fontId="0" fillId="0" borderId="7" xfId="0" applyBorder="1"/>
    <xf numFmtId="165" fontId="0" fillId="0" borderId="11" xfId="0" applyBorder="1"/>
    <xf numFmtId="14" fontId="0" fillId="0" borderId="11" xfId="0" applyNumberFormat="1" applyBorder="1"/>
    <xf numFmtId="43" fontId="0" fillId="0" borderId="11" xfId="1" applyFont="1" applyBorder="1"/>
    <xf numFmtId="165" fontId="10" fillId="0" borderId="8" xfId="0" applyFont="1" applyBorder="1" applyAlignment="1">
      <alignment horizontal="center"/>
    </xf>
    <xf numFmtId="41" fontId="3" fillId="0" borderId="0" xfId="1" applyNumberFormat="1" applyFont="1"/>
    <xf numFmtId="165" fontId="4" fillId="0" borderId="0" xfId="0" applyFont="1"/>
    <xf numFmtId="43" fontId="4" fillId="0" borderId="0" xfId="1" applyFont="1"/>
    <xf numFmtId="165" fontId="9" fillId="0" borderId="0" xfId="0" applyFont="1"/>
    <xf numFmtId="165" fontId="4" fillId="0" borderId="30" xfId="0" applyFont="1" applyBorder="1" applyAlignment="1">
      <alignment horizontal="center"/>
    </xf>
    <xf numFmtId="165" fontId="4" fillId="0" borderId="30" xfId="0" applyFont="1" applyBorder="1"/>
    <xf numFmtId="165" fontId="4" fillId="0" borderId="31" xfId="0" applyFont="1" applyBorder="1" applyAlignment="1">
      <alignment horizontal="center"/>
    </xf>
    <xf numFmtId="41" fontId="4" fillId="0" borderId="31" xfId="0" applyNumberFormat="1" applyFont="1" applyBorder="1" applyAlignment="1">
      <alignment horizontal="center"/>
    </xf>
    <xf numFmtId="165" fontId="4" fillId="0" borderId="32" xfId="0" applyFont="1" applyBorder="1"/>
    <xf numFmtId="43" fontId="4" fillId="0" borderId="16" xfId="1" applyFont="1" applyBorder="1" applyAlignment="1">
      <alignment horizontal="center"/>
    </xf>
    <xf numFmtId="165" fontId="4" fillId="0" borderId="20" xfId="0" applyFont="1" applyBorder="1" applyAlignment="1">
      <alignment horizontal="center"/>
    </xf>
    <xf numFmtId="165" fontId="4" fillId="0" borderId="0" xfId="0" applyFont="1" applyAlignment="1">
      <alignment horizontal="center"/>
    </xf>
    <xf numFmtId="41" fontId="4" fillId="0" borderId="16" xfId="0" applyNumberFormat="1" applyFont="1" applyBorder="1" applyAlignment="1">
      <alignment horizontal="center"/>
    </xf>
    <xf numFmtId="41" fontId="4" fillId="0" borderId="20" xfId="0" applyNumberFormat="1" applyFont="1" applyBorder="1" applyAlignment="1">
      <alignment horizontal="center"/>
    </xf>
    <xf numFmtId="41" fontId="3" fillId="0" borderId="33" xfId="0" applyNumberFormat="1" applyFont="1" applyBorder="1"/>
    <xf numFmtId="165" fontId="4" fillId="0" borderId="33" xfId="0" applyFont="1" applyBorder="1" applyAlignment="1">
      <alignment horizontal="center"/>
    </xf>
    <xf numFmtId="41" fontId="3" fillId="0" borderId="18" xfId="1" applyNumberFormat="1" applyFont="1" applyBorder="1"/>
    <xf numFmtId="165" fontId="3" fillId="0" borderId="12" xfId="0" applyFont="1" applyBorder="1"/>
    <xf numFmtId="165" fontId="3" fillId="0" borderId="34" xfId="0" applyFont="1" applyBorder="1"/>
    <xf numFmtId="43" fontId="3" fillId="0" borderId="23" xfId="1" applyFont="1" applyBorder="1" applyAlignment="1">
      <alignment horizontal="center"/>
    </xf>
    <xf numFmtId="43" fontId="3" fillId="0" borderId="11" xfId="1" quotePrefix="1" applyFont="1" applyBorder="1"/>
    <xf numFmtId="43" fontId="3" fillId="0" borderId="10" xfId="1" applyFont="1" applyBorder="1"/>
    <xf numFmtId="43" fontId="3" fillId="0" borderId="7" xfId="1" applyFont="1" applyBorder="1"/>
    <xf numFmtId="43" fontId="10" fillId="0" borderId="8" xfId="1" applyFont="1" applyBorder="1" applyAlignment="1">
      <alignment horizontal="center"/>
    </xf>
    <xf numFmtId="43" fontId="3" fillId="0" borderId="0" xfId="1" applyFont="1" applyFill="1"/>
    <xf numFmtId="165" fontId="3" fillId="0" borderId="35" xfId="0" applyFont="1" applyBorder="1"/>
    <xf numFmtId="165" fontId="0" fillId="0" borderId="3" xfId="0" applyBorder="1"/>
    <xf numFmtId="165" fontId="3" fillId="0" borderId="36" xfId="0" applyFont="1" applyBorder="1"/>
    <xf numFmtId="165" fontId="3" fillId="0" borderId="5" xfId="0" applyFont="1" applyBorder="1"/>
    <xf numFmtId="165" fontId="3" fillId="0" borderId="8" xfId="0" applyFont="1" applyBorder="1"/>
    <xf numFmtId="43" fontId="4" fillId="0" borderId="0" xfId="1" applyFont="1" applyBorder="1" applyAlignment="1">
      <alignment horizontal="center"/>
    </xf>
    <xf numFmtId="43" fontId="4" fillId="0" borderId="37" xfId="1" applyFont="1" applyBorder="1" applyAlignment="1">
      <alignment horizontal="center"/>
    </xf>
    <xf numFmtId="43" fontId="4" fillId="0" borderId="38" xfId="1" applyFont="1" applyBorder="1" applyAlignment="1">
      <alignment horizontal="center"/>
    </xf>
    <xf numFmtId="43" fontId="9" fillId="0" borderId="0" xfId="1" applyFont="1"/>
    <xf numFmtId="165" fontId="3" fillId="0" borderId="16" xfId="0" applyFont="1" applyBorder="1" applyAlignment="1">
      <alignment horizontal="center"/>
    </xf>
    <xf numFmtId="165" fontId="4" fillId="0" borderId="40" xfId="0" applyFont="1" applyBorder="1"/>
    <xf numFmtId="43" fontId="3" fillId="0" borderId="41" xfId="1" applyFont="1" applyBorder="1"/>
    <xf numFmtId="43" fontId="3" fillId="0" borderId="40" xfId="1" applyFont="1" applyBorder="1"/>
    <xf numFmtId="43" fontId="3" fillId="0" borderId="42" xfId="1" applyFont="1" applyBorder="1"/>
    <xf numFmtId="43" fontId="3" fillId="0" borderId="8" xfId="1" applyFont="1" applyFill="1" applyBorder="1"/>
    <xf numFmtId="43" fontId="4" fillId="0" borderId="20" xfId="1" applyFont="1" applyBorder="1" applyAlignment="1">
      <alignment horizontal="center"/>
    </xf>
    <xf numFmtId="43" fontId="4" fillId="0" borderId="31" xfId="1" applyFont="1" applyBorder="1" applyAlignment="1">
      <alignment horizontal="center"/>
    </xf>
    <xf numFmtId="43" fontId="4" fillId="0" borderId="33" xfId="1" applyFont="1" applyBorder="1" applyAlignment="1">
      <alignment horizontal="center"/>
    </xf>
    <xf numFmtId="43" fontId="3" fillId="0" borderId="24" xfId="1" applyFont="1" applyBorder="1"/>
    <xf numFmtId="43" fontId="3" fillId="0" borderId="43" xfId="1" applyFont="1" applyBorder="1"/>
    <xf numFmtId="43" fontId="3" fillId="0" borderId="33" xfId="1" applyFont="1" applyBorder="1"/>
    <xf numFmtId="43" fontId="3" fillId="0" borderId="16" xfId="1" applyFont="1" applyBorder="1" applyAlignment="1">
      <alignment horizontal="center"/>
    </xf>
    <xf numFmtId="43" fontId="0" fillId="0" borderId="0" xfId="1" applyFont="1" applyBorder="1"/>
    <xf numFmtId="14" fontId="4" fillId="0" borderId="5" xfId="1" applyNumberFormat="1" applyFont="1" applyBorder="1" applyAlignment="1">
      <alignment horizontal="center"/>
    </xf>
    <xf numFmtId="14" fontId="4" fillId="0" borderId="30" xfId="1" applyNumberFormat="1" applyFont="1" applyBorder="1" applyAlignment="1">
      <alignment horizontal="center"/>
    </xf>
    <xf numFmtId="41" fontId="3" fillId="2" borderId="8" xfId="0" applyNumberFormat="1" applyFont="1" applyFill="1" applyBorder="1"/>
    <xf numFmtId="10" fontId="0" fillId="0" borderId="0" xfId="0" applyNumberFormat="1"/>
    <xf numFmtId="165" fontId="0" fillId="0" borderId="0" xfId="0" applyAlignment="1">
      <alignment horizontal="center"/>
    </xf>
    <xf numFmtId="43" fontId="5" fillId="0" borderId="0" xfId="1" applyFont="1"/>
    <xf numFmtId="43" fontId="4" fillId="0" borderId="11" xfId="1" applyFont="1" applyBorder="1"/>
    <xf numFmtId="43" fontId="3" fillId="0" borderId="11" xfId="1" applyFont="1" applyFill="1" applyBorder="1"/>
    <xf numFmtId="43" fontId="3" fillId="0" borderId="28" xfId="1" applyFont="1" applyBorder="1"/>
    <xf numFmtId="41" fontId="11" fillId="0" borderId="19" xfId="0" applyNumberFormat="1" applyFont="1" applyBorder="1"/>
    <xf numFmtId="165" fontId="3" fillId="0" borderId="35" xfId="0" applyFont="1" applyBorder="1" applyAlignment="1">
      <alignment horizontal="center"/>
    </xf>
    <xf numFmtId="14" fontId="3" fillId="0" borderId="36" xfId="0" applyNumberFormat="1" applyFont="1" applyBorder="1" applyAlignment="1">
      <alignment horizontal="center"/>
    </xf>
    <xf numFmtId="14" fontId="3" fillId="0" borderId="8" xfId="0" applyNumberFormat="1" applyFont="1" applyBorder="1"/>
    <xf numFmtId="14" fontId="3" fillId="0" borderId="11" xfId="0" applyNumberFormat="1" applyFont="1" applyBorder="1"/>
    <xf numFmtId="43" fontId="3" fillId="0" borderId="11" xfId="1" applyFont="1" applyBorder="1" applyAlignment="1">
      <alignment horizontal="left"/>
    </xf>
    <xf numFmtId="43" fontId="3" fillId="0" borderId="11" xfId="1" applyFont="1" applyBorder="1" applyAlignment="1">
      <alignment horizontal="right"/>
    </xf>
    <xf numFmtId="43" fontId="3" fillId="0" borderId="8" xfId="0" applyNumberFormat="1" applyFont="1" applyBorder="1"/>
    <xf numFmtId="43" fontId="3" fillId="0" borderId="31" xfId="1" applyFont="1" applyBorder="1" applyAlignment="1">
      <alignment horizontal="center"/>
    </xf>
    <xf numFmtId="165" fontId="3" fillId="0" borderId="31" xfId="0" applyFont="1" applyBorder="1" applyAlignment="1">
      <alignment horizontal="center"/>
    </xf>
    <xf numFmtId="165" fontId="3" fillId="0" borderId="37" xfId="0" applyFont="1" applyBorder="1" applyAlignment="1">
      <alignment horizontal="center"/>
    </xf>
    <xf numFmtId="43" fontId="3" fillId="0" borderId="5" xfId="1" applyFont="1" applyBorder="1" applyAlignment="1">
      <alignment horizontal="center"/>
    </xf>
    <xf numFmtId="165" fontId="3" fillId="0" borderId="5" xfId="0" applyFont="1" applyBorder="1" applyAlignment="1">
      <alignment horizontal="center"/>
    </xf>
    <xf numFmtId="165" fontId="3" fillId="0" borderId="44" xfId="0" applyFont="1" applyBorder="1" applyAlignment="1">
      <alignment horizontal="center"/>
    </xf>
    <xf numFmtId="165" fontId="3" fillId="0" borderId="33" xfId="0" applyFont="1" applyBorder="1" applyAlignment="1">
      <alignment horizontal="center"/>
    </xf>
    <xf numFmtId="165" fontId="3" fillId="0" borderId="18" xfId="0" applyFont="1" applyBorder="1" applyAlignment="1">
      <alignment horizontal="center"/>
    </xf>
    <xf numFmtId="165" fontId="3" fillId="0" borderId="8" xfId="0" applyFont="1" applyBorder="1" applyAlignment="1">
      <alignment horizontal="center"/>
    </xf>
    <xf numFmtId="165" fontId="3" fillId="0" borderId="3" xfId="0" applyFont="1" applyBorder="1"/>
    <xf numFmtId="43" fontId="3" fillId="0" borderId="11" xfId="0" applyNumberFormat="1" applyFont="1" applyBorder="1"/>
    <xf numFmtId="43" fontId="3" fillId="0" borderId="0" xfId="0" applyNumberFormat="1" applyFont="1"/>
    <xf numFmtId="165" fontId="3" fillId="0" borderId="3" xfId="0" applyFont="1" applyBorder="1" applyAlignment="1">
      <alignment horizontal="center"/>
    </xf>
    <xf numFmtId="41" fontId="4" fillId="0" borderId="8" xfId="0" applyNumberFormat="1" applyFont="1" applyBorder="1"/>
    <xf numFmtId="41" fontId="4" fillId="0" borderId="11" xfId="0" applyNumberFormat="1" applyFont="1" applyBorder="1"/>
    <xf numFmtId="14" fontId="0" fillId="0" borderId="0" xfId="0" applyNumberFormat="1"/>
    <xf numFmtId="165" fontId="0" fillId="0" borderId="20" xfId="0" applyBorder="1"/>
    <xf numFmtId="41" fontId="4" fillId="0" borderId="12" xfId="0" applyNumberFormat="1" applyFont="1" applyBorder="1"/>
    <xf numFmtId="41" fontId="8" fillId="0" borderId="0" xfId="0" applyNumberFormat="1" applyFont="1"/>
    <xf numFmtId="165" fontId="4" fillId="0" borderId="23" xfId="0" applyFont="1" applyBorder="1" applyAlignment="1">
      <alignment horizontal="center"/>
    </xf>
    <xf numFmtId="43" fontId="8" fillId="0" borderId="11" xfId="1" applyFont="1" applyBorder="1"/>
    <xf numFmtId="165" fontId="0" fillId="0" borderId="26" xfId="0" applyBorder="1"/>
    <xf numFmtId="41" fontId="0" fillId="0" borderId="20" xfId="0" applyNumberFormat="1" applyBorder="1"/>
    <xf numFmtId="165" fontId="0" fillId="0" borderId="40" xfId="0" applyBorder="1"/>
    <xf numFmtId="16" fontId="0" fillId="0" borderId="0" xfId="0" applyNumberFormat="1"/>
    <xf numFmtId="41" fontId="0" fillId="0" borderId="7" xfId="0" applyNumberFormat="1" applyBorder="1"/>
    <xf numFmtId="165" fontId="0" fillId="0" borderId="10" xfId="0" applyBorder="1" applyAlignment="1">
      <alignment horizontal="center"/>
    </xf>
    <xf numFmtId="165" fontId="0" fillId="0" borderId="41" xfId="0" applyBorder="1" applyAlignment="1">
      <alignment horizontal="center"/>
    </xf>
    <xf numFmtId="165" fontId="0" fillId="0" borderId="24" xfId="0" applyBorder="1" applyAlignment="1">
      <alignment horizontal="center"/>
    </xf>
    <xf numFmtId="41" fontId="0" fillId="0" borderId="40" xfId="0" applyNumberFormat="1" applyBorder="1"/>
    <xf numFmtId="41" fontId="0" fillId="0" borderId="10" xfId="0" applyNumberFormat="1" applyBorder="1"/>
    <xf numFmtId="41" fontId="0" fillId="0" borderId="41" xfId="0" applyNumberFormat="1" applyBorder="1"/>
    <xf numFmtId="10" fontId="0" fillId="0" borderId="44" xfId="0" applyNumberFormat="1" applyBorder="1"/>
    <xf numFmtId="10" fontId="0" fillId="0" borderId="38" xfId="0" applyNumberFormat="1" applyBorder="1"/>
    <xf numFmtId="10" fontId="0" fillId="0" borderId="33" xfId="0" applyNumberFormat="1" applyBorder="1"/>
    <xf numFmtId="10" fontId="0" fillId="0" borderId="24" xfId="0" applyNumberFormat="1" applyBorder="1"/>
    <xf numFmtId="41" fontId="0" fillId="0" borderId="46" xfId="0" applyNumberFormat="1" applyBorder="1"/>
    <xf numFmtId="41" fontId="0" fillId="0" borderId="47" xfId="0" applyNumberFormat="1" applyBorder="1"/>
    <xf numFmtId="41" fontId="0" fillId="0" borderId="48" xfId="0" applyNumberFormat="1" applyBorder="1"/>
    <xf numFmtId="41" fontId="0" fillId="0" borderId="49" xfId="0" applyNumberFormat="1" applyBorder="1"/>
    <xf numFmtId="165" fontId="0" fillId="0" borderId="7" xfId="0" applyBorder="1" applyAlignment="1">
      <alignment horizontal="center"/>
    </xf>
    <xf numFmtId="165" fontId="0" fillId="0" borderId="33" xfId="0" applyBorder="1" applyAlignment="1">
      <alignment horizontal="center"/>
    </xf>
    <xf numFmtId="41" fontId="3" fillId="0" borderId="16" xfId="1" applyNumberFormat="1" applyFont="1" applyBorder="1"/>
    <xf numFmtId="41" fontId="3" fillId="0" borderId="19" xfId="1" applyNumberFormat="1" applyFont="1" applyBorder="1"/>
    <xf numFmtId="41" fontId="3" fillId="0" borderId="17" xfId="1" applyNumberFormat="1" applyFont="1" applyBorder="1"/>
    <xf numFmtId="9" fontId="0" fillId="0" borderId="0" xfId="0" applyNumberFormat="1"/>
    <xf numFmtId="3" fontId="0" fillId="0" borderId="0" xfId="0" applyNumberFormat="1"/>
    <xf numFmtId="165" fontId="0" fillId="0" borderId="44" xfId="0" applyBorder="1"/>
    <xf numFmtId="165" fontId="0" fillId="0" borderId="50" xfId="0" applyBorder="1"/>
    <xf numFmtId="165" fontId="0" fillId="0" borderId="51" xfId="0" applyBorder="1"/>
    <xf numFmtId="165" fontId="0" fillId="0" borderId="52" xfId="0" applyBorder="1"/>
    <xf numFmtId="165" fontId="0" fillId="0" borderId="53" xfId="0" applyBorder="1"/>
    <xf numFmtId="9" fontId="0" fillId="0" borderId="54" xfId="0" applyNumberFormat="1" applyBorder="1"/>
    <xf numFmtId="41" fontId="0" fillId="0" borderId="54" xfId="0" applyNumberFormat="1" applyBorder="1"/>
    <xf numFmtId="165" fontId="0" fillId="0" borderId="54" xfId="0" applyBorder="1"/>
    <xf numFmtId="165" fontId="0" fillId="0" borderId="55" xfId="0" applyBorder="1"/>
    <xf numFmtId="165" fontId="0" fillId="0" borderId="56" xfId="0" applyBorder="1"/>
    <xf numFmtId="165" fontId="0" fillId="0" borderId="57" xfId="0" applyBorder="1"/>
    <xf numFmtId="14" fontId="4" fillId="0" borderId="16" xfId="0" applyNumberFormat="1" applyFont="1" applyBorder="1" applyAlignment="1">
      <alignment horizontal="center"/>
    </xf>
    <xf numFmtId="41" fontId="0" fillId="0" borderId="8" xfId="0" applyNumberFormat="1" applyBorder="1"/>
    <xf numFmtId="41" fontId="3" fillId="0" borderId="23" xfId="0" applyNumberFormat="1" applyFont="1" applyBorder="1"/>
    <xf numFmtId="41" fontId="4" fillId="0" borderId="0" xfId="0" applyNumberFormat="1" applyFont="1"/>
    <xf numFmtId="165" fontId="4" fillId="0" borderId="8" xfId="0" applyFont="1" applyBorder="1"/>
    <xf numFmtId="41" fontId="13" fillId="0" borderId="0" xfId="0" applyNumberFormat="1" applyFont="1"/>
    <xf numFmtId="165" fontId="4" fillId="0" borderId="38" xfId="0" applyFont="1" applyBorder="1"/>
    <xf numFmtId="165" fontId="3" fillId="0" borderId="23" xfId="0" applyFont="1" applyBorder="1"/>
    <xf numFmtId="165" fontId="3" fillId="0" borderId="23" xfId="0" applyFont="1" applyBorder="1" applyAlignment="1">
      <alignment horizontal="center"/>
    </xf>
    <xf numFmtId="165" fontId="3" fillId="0" borderId="0" xfId="0" applyFont="1" applyAlignment="1">
      <alignment horizontal="center"/>
    </xf>
    <xf numFmtId="41" fontId="3" fillId="0" borderId="0" xfId="1" applyNumberFormat="1" applyFont="1" applyBorder="1"/>
    <xf numFmtId="49" fontId="0" fillId="0" borderId="0" xfId="0" applyNumberFormat="1"/>
    <xf numFmtId="41" fontId="4" fillId="0" borderId="0" xfId="1" applyNumberFormat="1" applyFont="1"/>
    <xf numFmtId="43" fontId="11" fillId="0" borderId="8" xfId="1" applyFont="1" applyBorder="1" applyAlignment="1">
      <alignment horizontal="center"/>
    </xf>
    <xf numFmtId="165" fontId="11" fillId="0" borderId="8" xfId="0" applyFont="1" applyBorder="1" applyAlignment="1">
      <alignment horizontal="center"/>
    </xf>
    <xf numFmtId="43" fontId="3" fillId="0" borderId="0" xfId="1" applyFont="1" applyBorder="1" applyAlignment="1">
      <alignment horizontal="center"/>
    </xf>
    <xf numFmtId="43" fontId="2" fillId="0" borderId="0" xfId="1" applyFont="1"/>
    <xf numFmtId="41" fontId="3" fillId="0" borderId="8" xfId="0" applyNumberFormat="1" applyFont="1" applyBorder="1" applyAlignment="1">
      <alignment horizontal="center"/>
    </xf>
    <xf numFmtId="43" fontId="3" fillId="0" borderId="23" xfId="0" applyNumberFormat="1" applyFont="1" applyBorder="1"/>
    <xf numFmtId="43" fontId="0" fillId="0" borderId="0" xfId="1" applyFont="1" applyFill="1" applyBorder="1"/>
    <xf numFmtId="43" fontId="16" fillId="0" borderId="0" xfId="1" applyFont="1"/>
    <xf numFmtId="43" fontId="17" fillId="0" borderId="0" xfId="1" applyFont="1" applyAlignment="1">
      <alignment horizontal="center"/>
    </xf>
    <xf numFmtId="43" fontId="3" fillId="0" borderId="18" xfId="1" applyFont="1" applyFill="1" applyBorder="1"/>
    <xf numFmtId="41" fontId="3" fillId="0" borderId="7" xfId="0" applyNumberFormat="1" applyFont="1" applyBorder="1"/>
    <xf numFmtId="165" fontId="2" fillId="0" borderId="0" xfId="0" applyFont="1"/>
    <xf numFmtId="165" fontId="18" fillId="0" borderId="0" xfId="0" applyFont="1"/>
    <xf numFmtId="165" fontId="18" fillId="0" borderId="0" xfId="0" applyFont="1" applyAlignment="1">
      <alignment horizontal="center"/>
    </xf>
    <xf numFmtId="165" fontId="19" fillId="0" borderId="0" xfId="0" applyFont="1"/>
    <xf numFmtId="165" fontId="19" fillId="0" borderId="0" xfId="0" applyFont="1" applyAlignment="1">
      <alignment horizontal="center"/>
    </xf>
    <xf numFmtId="165" fontId="16" fillId="0" borderId="0" xfId="0" applyFont="1"/>
    <xf numFmtId="41" fontId="3" fillId="0" borderId="11" xfId="1" applyNumberFormat="1" applyFont="1" applyFill="1" applyBorder="1"/>
    <xf numFmtId="41" fontId="3" fillId="0" borderId="8" xfId="1" applyNumberFormat="1" applyFont="1" applyFill="1" applyBorder="1"/>
    <xf numFmtId="43" fontId="3" fillId="0" borderId="44" xfId="1" applyFont="1" applyBorder="1"/>
    <xf numFmtId="41" fontId="3" fillId="0" borderId="40" xfId="0" applyNumberFormat="1" applyFont="1" applyBorder="1"/>
    <xf numFmtId="43" fontId="4" fillId="0" borderId="3" xfId="1" applyFont="1" applyBorder="1" applyAlignment="1">
      <alignment horizontal="center"/>
    </xf>
    <xf numFmtId="165" fontId="0" fillId="0" borderId="38" xfId="0" applyBorder="1"/>
    <xf numFmtId="165" fontId="29" fillId="0" borderId="0" xfId="0" applyFont="1" applyAlignment="1">
      <alignment horizontal="center"/>
    </xf>
    <xf numFmtId="165" fontId="29" fillId="0" borderId="38" xfId="0" applyFont="1" applyBorder="1" applyAlignment="1">
      <alignment horizontal="center"/>
    </xf>
    <xf numFmtId="165" fontId="20" fillId="0" borderId="20" xfId="0" applyFont="1" applyBorder="1"/>
    <xf numFmtId="165" fontId="20" fillId="0" borderId="40" xfId="0" applyFont="1" applyBorder="1"/>
    <xf numFmtId="43" fontId="0" fillId="0" borderId="58" xfId="1" applyFont="1" applyBorder="1"/>
    <xf numFmtId="41" fontId="0" fillId="0" borderId="58" xfId="0" applyNumberFormat="1" applyBorder="1"/>
    <xf numFmtId="165" fontId="0" fillId="3" borderId="0" xfId="0" applyFill="1"/>
    <xf numFmtId="43" fontId="30" fillId="3" borderId="58" xfId="1" applyFont="1" applyFill="1" applyBorder="1"/>
    <xf numFmtId="41" fontId="4" fillId="0" borderId="8" xfId="1" applyNumberFormat="1" applyFont="1" applyBorder="1"/>
    <xf numFmtId="43" fontId="0" fillId="0" borderId="11" xfId="1" applyFont="1" applyFill="1" applyBorder="1"/>
    <xf numFmtId="41" fontId="3" fillId="0" borderId="44" xfId="0" applyNumberFormat="1" applyFont="1" applyBorder="1"/>
    <xf numFmtId="41" fontId="4" fillId="0" borderId="42" xfId="0" applyNumberFormat="1" applyFont="1" applyBorder="1"/>
    <xf numFmtId="165" fontId="7" fillId="0" borderId="0" xfId="0" applyFont="1"/>
    <xf numFmtId="165" fontId="14" fillId="0" borderId="0" xfId="0" applyFont="1"/>
    <xf numFmtId="165" fontId="4" fillId="0" borderId="37" xfId="0" applyFont="1" applyBorder="1" applyAlignment="1">
      <alignment horizontal="center"/>
    </xf>
    <xf numFmtId="165" fontId="4" fillId="0" borderId="38" xfId="0" applyFont="1" applyBorder="1" applyAlignment="1">
      <alignment horizontal="center"/>
    </xf>
    <xf numFmtId="41" fontId="4" fillId="0" borderId="37" xfId="0" applyNumberFormat="1" applyFont="1" applyBorder="1" applyAlignment="1">
      <alignment horizontal="center"/>
    </xf>
    <xf numFmtId="41" fontId="4" fillId="0" borderId="38" xfId="0" applyNumberFormat="1" applyFont="1" applyBorder="1" applyAlignment="1">
      <alignment horizontal="center"/>
    </xf>
    <xf numFmtId="41" fontId="3" fillId="5" borderId="11" xfId="0" applyNumberFormat="1" applyFont="1" applyFill="1" applyBorder="1"/>
    <xf numFmtId="165" fontId="3" fillId="5" borderId="10" xfId="0" applyFont="1" applyFill="1" applyBorder="1"/>
    <xf numFmtId="165" fontId="3" fillId="0" borderId="21" xfId="0" applyFont="1" applyBorder="1" applyAlignment="1">
      <alignment horizontal="center"/>
    </xf>
    <xf numFmtId="41" fontId="4" fillId="0" borderId="7" xfId="0" applyNumberFormat="1" applyFont="1" applyBorder="1"/>
    <xf numFmtId="41" fontId="4" fillId="0" borderId="8" xfId="1" applyNumberFormat="1" applyFont="1" applyFill="1" applyBorder="1"/>
    <xf numFmtId="9" fontId="4" fillId="0" borderId="11" xfId="3" applyFont="1" applyFill="1" applyBorder="1"/>
    <xf numFmtId="165" fontId="3" fillId="5" borderId="11" xfId="0" applyFont="1" applyFill="1" applyBorder="1"/>
    <xf numFmtId="41" fontId="4" fillId="5" borderId="8" xfId="1" applyNumberFormat="1" applyFont="1" applyFill="1" applyBorder="1"/>
    <xf numFmtId="165" fontId="0" fillId="5" borderId="0" xfId="0" applyFill="1"/>
    <xf numFmtId="165" fontId="3" fillId="5" borderId="16" xfId="0" applyFont="1" applyFill="1" applyBorder="1"/>
    <xf numFmtId="43" fontId="4" fillId="0" borderId="5" xfId="1" applyFont="1" applyBorder="1" applyAlignment="1">
      <alignment horizontal="center"/>
    </xf>
    <xf numFmtId="43" fontId="4" fillId="0" borderId="30" xfId="1" applyFont="1" applyBorder="1" applyAlignment="1">
      <alignment horizontal="center"/>
    </xf>
    <xf numFmtId="43" fontId="3" fillId="0" borderId="33" xfId="1" applyFont="1" applyBorder="1" applyAlignment="1">
      <alignment horizontal="center"/>
    </xf>
    <xf numFmtId="43" fontId="4" fillId="0" borderId="12" xfId="1" applyFont="1" applyBorder="1"/>
    <xf numFmtId="43" fontId="4" fillId="0" borderId="8" xfId="1" applyFont="1" applyBorder="1"/>
    <xf numFmtId="43" fontId="3" fillId="0" borderId="10" xfId="1" applyFont="1" applyFill="1" applyBorder="1"/>
    <xf numFmtId="43" fontId="3" fillId="0" borderId="40" xfId="1" applyFont="1" applyFill="1" applyBorder="1"/>
    <xf numFmtId="43" fontId="4" fillId="0" borderId="42" xfId="1" applyFont="1" applyBorder="1"/>
    <xf numFmtId="43" fontId="3" fillId="0" borderId="8" xfId="1" applyFont="1" applyBorder="1" applyAlignment="1">
      <alignment horizontal="center"/>
    </xf>
    <xf numFmtId="43" fontId="3" fillId="0" borderId="35" xfId="1" applyFont="1" applyBorder="1" applyAlignment="1">
      <alignment horizontal="center"/>
    </xf>
    <xf numFmtId="43" fontId="3" fillId="0" borderId="12" xfId="1" applyFont="1" applyFill="1" applyBorder="1"/>
    <xf numFmtId="43" fontId="3" fillId="0" borderId="19" xfId="1" applyFont="1" applyFill="1" applyBorder="1"/>
    <xf numFmtId="43" fontId="3" fillId="0" borderId="16" xfId="1" applyFont="1" applyFill="1" applyBorder="1"/>
    <xf numFmtId="43" fontId="3" fillId="0" borderId="15" xfId="1" applyFont="1" applyFill="1" applyBorder="1"/>
    <xf numFmtId="43" fontId="3" fillId="0" borderId="17" xfId="1" applyFont="1" applyFill="1" applyBorder="1"/>
    <xf numFmtId="43" fontId="3" fillId="0" borderId="22" xfId="1" applyFont="1" applyBorder="1" applyAlignment="1">
      <alignment horizontal="center"/>
    </xf>
    <xf numFmtId="43" fontId="3" fillId="4" borderId="0" xfId="1" applyFont="1" applyFill="1"/>
    <xf numFmtId="43" fontId="3" fillId="0" borderId="0" xfId="1" applyFont="1" applyFill="1" applyBorder="1"/>
    <xf numFmtId="165" fontId="8" fillId="0" borderId="0" xfId="0" applyFont="1"/>
    <xf numFmtId="165" fontId="0" fillId="0" borderId="33" xfId="0" applyBorder="1"/>
    <xf numFmtId="14" fontId="0" fillId="0" borderId="0" xfId="0" applyNumberFormat="1" applyAlignment="1">
      <alignment horizontal="center"/>
    </xf>
    <xf numFmtId="41" fontId="3" fillId="0" borderId="24" xfId="0" applyNumberFormat="1" applyFont="1" applyBorder="1"/>
    <xf numFmtId="41" fontId="3" fillId="0" borderId="43" xfId="0" applyNumberFormat="1" applyFont="1" applyBorder="1"/>
    <xf numFmtId="43" fontId="0" fillId="0" borderId="0" xfId="1" applyFont="1" applyFill="1"/>
    <xf numFmtId="41" fontId="3" fillId="0" borderId="15" xfId="1" applyNumberFormat="1" applyFont="1" applyFill="1" applyBorder="1"/>
    <xf numFmtId="165" fontId="2" fillId="0" borderId="20" xfId="0" applyFont="1" applyBorder="1"/>
    <xf numFmtId="165" fontId="2" fillId="0" borderId="38" xfId="0" applyFont="1" applyBorder="1"/>
    <xf numFmtId="14" fontId="3" fillId="0" borderId="36" xfId="1" applyNumberFormat="1" applyFont="1" applyBorder="1" applyAlignment="1">
      <alignment horizontal="center"/>
    </xf>
    <xf numFmtId="165" fontId="2" fillId="0" borderId="0" xfId="0" applyFont="1" applyAlignment="1">
      <alignment horizontal="center"/>
    </xf>
    <xf numFmtId="41" fontId="2" fillId="0" borderId="0" xfId="0" applyNumberFormat="1" applyFont="1" applyAlignment="1">
      <alignment horizontal="center"/>
    </xf>
    <xf numFmtId="41" fontId="2" fillId="0" borderId="0" xfId="0" applyNumberFormat="1" applyFont="1"/>
    <xf numFmtId="165" fontId="2" fillId="0" borderId="40" xfId="0" applyFont="1" applyBorder="1"/>
    <xf numFmtId="165" fontId="14" fillId="0" borderId="0" xfId="0" applyFont="1" applyAlignment="1">
      <alignment horizontal="center"/>
    </xf>
    <xf numFmtId="41" fontId="4" fillId="0" borderId="3" xfId="0" applyNumberFormat="1" applyFont="1" applyBorder="1" applyAlignment="1">
      <alignment horizontal="center"/>
    </xf>
    <xf numFmtId="43" fontId="3" fillId="0" borderId="2" xfId="1" applyFont="1" applyBorder="1" applyAlignment="1">
      <alignment horizontal="center"/>
    </xf>
    <xf numFmtId="14" fontId="3" fillId="0" borderId="30" xfId="1" applyNumberFormat="1" applyFont="1" applyBorder="1" applyAlignment="1">
      <alignment horizontal="center"/>
    </xf>
    <xf numFmtId="43" fontId="3" fillId="0" borderId="30" xfId="1" applyFont="1" applyBorder="1" applyAlignment="1">
      <alignment horizontal="center"/>
    </xf>
    <xf numFmtId="165" fontId="2" fillId="0" borderId="51" xfId="0" applyFont="1" applyBorder="1"/>
    <xf numFmtId="165" fontId="2" fillId="0" borderId="18" xfId="0" applyFont="1" applyBorder="1"/>
    <xf numFmtId="165" fontId="2" fillId="0" borderId="0" xfId="0" applyFont="1" applyAlignment="1">
      <alignment horizontal="left"/>
    </xf>
    <xf numFmtId="41" fontId="0" fillId="0" borderId="58" xfId="1" applyNumberFormat="1" applyFont="1" applyBorder="1"/>
    <xf numFmtId="49" fontId="2" fillId="0" borderId="0" xfId="0" applyNumberFormat="1" applyFont="1"/>
    <xf numFmtId="41" fontId="4" fillId="0" borderId="0" xfId="1" applyNumberFormat="1" applyFont="1" applyFill="1"/>
    <xf numFmtId="43" fontId="3" fillId="0" borderId="12" xfId="1" quotePrefix="1" applyFont="1" applyBorder="1"/>
    <xf numFmtId="41" fontId="3" fillId="0" borderId="12" xfId="0" quotePrefix="1" applyNumberFormat="1" applyFont="1" applyBorder="1"/>
    <xf numFmtId="41" fontId="23" fillId="0" borderId="0" xfId="0" applyNumberFormat="1" applyFont="1"/>
    <xf numFmtId="165" fontId="2" fillId="4" borderId="0" xfId="0" applyFont="1" applyFill="1"/>
    <xf numFmtId="10" fontId="0" fillId="0" borderId="0" xfId="3" applyNumberFormat="1" applyFont="1"/>
    <xf numFmtId="165" fontId="28" fillId="0" borderId="0" xfId="2" applyAlignment="1" applyProtection="1"/>
    <xf numFmtId="43" fontId="25" fillId="0" borderId="0" xfId="1" applyFont="1" applyFill="1" applyBorder="1"/>
    <xf numFmtId="41" fontId="25" fillId="0" borderId="0" xfId="0" applyNumberFormat="1" applyFont="1"/>
    <xf numFmtId="41" fontId="4" fillId="0" borderId="11" xfId="1" applyNumberFormat="1" applyFont="1" applyFill="1" applyBorder="1"/>
    <xf numFmtId="165" fontId="24" fillId="0" borderId="0" xfId="0" applyFont="1"/>
    <xf numFmtId="43" fontId="24" fillId="0" borderId="0" xfId="1" applyFont="1"/>
    <xf numFmtId="41" fontId="24" fillId="0" borderId="0" xfId="0" applyNumberFormat="1" applyFont="1"/>
    <xf numFmtId="41" fontId="3" fillId="6" borderId="12" xfId="0" applyNumberFormat="1" applyFont="1" applyFill="1" applyBorder="1"/>
    <xf numFmtId="41" fontId="3" fillId="6" borderId="11" xfId="0" applyNumberFormat="1" applyFont="1" applyFill="1" applyBorder="1"/>
    <xf numFmtId="41" fontId="3" fillId="6" borderId="8" xfId="0" applyNumberFormat="1" applyFont="1" applyFill="1" applyBorder="1"/>
    <xf numFmtId="4" fontId="3" fillId="0" borderId="0" xfId="0" applyNumberFormat="1" applyFont="1"/>
    <xf numFmtId="41" fontId="3" fillId="0" borderId="0" xfId="1" quotePrefix="1" applyNumberFormat="1" applyFont="1"/>
    <xf numFmtId="43" fontId="4" fillId="0" borderId="0" xfId="1" applyFont="1" applyFill="1"/>
    <xf numFmtId="43" fontId="4" fillId="0" borderId="3" xfId="1" applyFont="1" applyFill="1" applyBorder="1" applyAlignment="1">
      <alignment horizontal="center"/>
    </xf>
    <xf numFmtId="43" fontId="4" fillId="0" borderId="37" xfId="1" applyFont="1" applyFill="1" applyBorder="1" applyAlignment="1">
      <alignment horizontal="center"/>
    </xf>
    <xf numFmtId="43" fontId="4" fillId="0" borderId="16" xfId="1" applyFont="1" applyFill="1" applyBorder="1" applyAlignment="1">
      <alignment horizontal="center"/>
    </xf>
    <xf numFmtId="43" fontId="4" fillId="0" borderId="38" xfId="1" applyFont="1" applyFill="1" applyBorder="1" applyAlignment="1">
      <alignment horizontal="center"/>
    </xf>
    <xf numFmtId="43" fontId="4" fillId="0" borderId="5" xfId="1" applyFont="1" applyFill="1" applyBorder="1" applyAlignment="1">
      <alignment horizontal="center"/>
    </xf>
    <xf numFmtId="14" fontId="4" fillId="0" borderId="30" xfId="1" applyNumberFormat="1" applyFont="1" applyFill="1" applyBorder="1" applyAlignment="1">
      <alignment horizontal="center"/>
    </xf>
    <xf numFmtId="43" fontId="3" fillId="0" borderId="33" xfId="1" applyFont="1" applyFill="1" applyBorder="1" applyAlignment="1">
      <alignment horizontal="center"/>
    </xf>
    <xf numFmtId="43" fontId="4" fillId="0" borderId="33" xfId="1" applyFont="1" applyFill="1" applyBorder="1" applyAlignment="1">
      <alignment horizontal="center"/>
    </xf>
    <xf numFmtId="43" fontId="3" fillId="0" borderId="24" xfId="1" applyFont="1" applyFill="1" applyBorder="1"/>
    <xf numFmtId="43" fontId="3" fillId="0" borderId="33" xfId="1" applyFont="1" applyFill="1" applyBorder="1"/>
    <xf numFmtId="43" fontId="3" fillId="0" borderId="43" xfId="1" applyFont="1" applyFill="1" applyBorder="1"/>
    <xf numFmtId="43" fontId="3" fillId="0" borderId="25" xfId="1" applyFont="1" applyFill="1" applyBorder="1"/>
    <xf numFmtId="41" fontId="3" fillId="0" borderId="25" xfId="0" applyNumberFormat="1" applyFont="1" applyBorder="1"/>
    <xf numFmtId="43" fontId="3" fillId="0" borderId="8" xfId="1" applyFont="1" applyFill="1" applyBorder="1" applyAlignment="1">
      <alignment horizontal="center"/>
    </xf>
    <xf numFmtId="165" fontId="0" fillId="4" borderId="0" xfId="0" applyFill="1"/>
    <xf numFmtId="41" fontId="3" fillId="4" borderId="18" xfId="0" applyNumberFormat="1" applyFont="1" applyFill="1" applyBorder="1"/>
    <xf numFmtId="165" fontId="21" fillId="0" borderId="0" xfId="0" applyFont="1" applyAlignment="1">
      <alignment horizontal="center"/>
    </xf>
    <xf numFmtId="43" fontId="8" fillId="0" borderId="11" xfId="1" applyFont="1" applyFill="1" applyBorder="1"/>
    <xf numFmtId="165" fontId="2" fillId="0" borderId="11" xfId="0" applyFont="1" applyBorder="1"/>
    <xf numFmtId="165" fontId="3" fillId="0" borderId="41" xfId="0" applyFont="1" applyBorder="1"/>
    <xf numFmtId="165" fontId="3" fillId="0" borderId="0" xfId="1" applyNumberFormat="1" applyFont="1"/>
    <xf numFmtId="165" fontId="34" fillId="0" borderId="0" xfId="0" applyFont="1"/>
    <xf numFmtId="165" fontId="2" fillId="0" borderId="0" xfId="0" quotePrefix="1" applyFont="1"/>
    <xf numFmtId="43" fontId="4" fillId="0" borderId="11" xfId="1" quotePrefix="1" applyFont="1" applyBorder="1"/>
    <xf numFmtId="43" fontId="2" fillId="0" borderId="0" xfId="1" applyFont="1" applyFill="1"/>
    <xf numFmtId="43" fontId="3" fillId="0" borderId="11" xfId="1" applyFont="1" applyFill="1" applyBorder="1" applyAlignment="1">
      <alignment horizontal="left"/>
    </xf>
    <xf numFmtId="165" fontId="33" fillId="0" borderId="20" xfId="0" applyFont="1" applyBorder="1"/>
    <xf numFmtId="164" fontId="33" fillId="0" borderId="0" xfId="0" applyNumberFormat="1" applyFont="1"/>
    <xf numFmtId="164" fontId="0" fillId="0" borderId="0" xfId="0" applyNumberFormat="1"/>
    <xf numFmtId="165" fontId="24" fillId="4" borderId="0" xfId="0" applyFont="1" applyFill="1"/>
    <xf numFmtId="43" fontId="24" fillId="4" borderId="0" xfId="1" applyFont="1" applyFill="1"/>
    <xf numFmtId="43" fontId="8" fillId="0" borderId="0" xfId="1" applyFont="1" applyFill="1"/>
    <xf numFmtId="165" fontId="22" fillId="0" borderId="0" xfId="0" applyFont="1"/>
    <xf numFmtId="43" fontId="4" fillId="0" borderId="0" xfId="1" applyFont="1" applyAlignment="1">
      <alignment horizontal="right"/>
    </xf>
    <xf numFmtId="43" fontId="3" fillId="0" borderId="23" xfId="1" applyFont="1" applyBorder="1"/>
    <xf numFmtId="43" fontId="3" fillId="0" borderId="23" xfId="1" applyFont="1" applyFill="1" applyBorder="1" applyAlignment="1">
      <alignment horizontal="center"/>
    </xf>
    <xf numFmtId="43" fontId="3" fillId="0" borderId="11" xfId="1" applyFont="1" applyFill="1" applyBorder="1" applyAlignment="1">
      <alignment horizontal="center"/>
    </xf>
    <xf numFmtId="43" fontId="3" fillId="0" borderId="5" xfId="1" applyFont="1" applyFill="1" applyBorder="1" applyAlignment="1">
      <alignment horizontal="center"/>
    </xf>
    <xf numFmtId="43" fontId="3" fillId="0" borderId="10" xfId="1" applyFont="1" applyFill="1" applyBorder="1" applyAlignment="1">
      <alignment horizontal="center"/>
    </xf>
    <xf numFmtId="10" fontId="3" fillId="0" borderId="0" xfId="1" applyNumberFormat="1" applyFont="1" applyBorder="1"/>
    <xf numFmtId="41" fontId="3" fillId="0" borderId="12" xfId="1" applyNumberFormat="1" applyFont="1" applyFill="1" applyBorder="1"/>
    <xf numFmtId="14" fontId="2" fillId="0" borderId="0" xfId="0" applyNumberFormat="1" applyFont="1" applyAlignment="1">
      <alignment horizontal="center"/>
    </xf>
    <xf numFmtId="9" fontId="0" fillId="0" borderId="0" xfId="0" applyNumberFormat="1" applyAlignment="1">
      <alignment horizontal="center"/>
    </xf>
    <xf numFmtId="41" fontId="0" fillId="0" borderId="28" xfId="0" applyNumberFormat="1" applyBorder="1" applyAlignment="1">
      <alignment horizontal="center"/>
    </xf>
    <xf numFmtId="9" fontId="0" fillId="0" borderId="28" xfId="0" applyNumberFormat="1" applyBorder="1" applyAlignment="1">
      <alignment horizontal="center"/>
    </xf>
    <xf numFmtId="42" fontId="0" fillId="0" borderId="0" xfId="0" applyNumberFormat="1"/>
    <xf numFmtId="165" fontId="4" fillId="8" borderId="2" xfId="0" applyFont="1" applyFill="1" applyBorder="1"/>
    <xf numFmtId="43" fontId="4" fillId="8" borderId="31" xfId="1" applyFont="1" applyFill="1" applyBorder="1" applyAlignment="1">
      <alignment horizontal="center"/>
    </xf>
    <xf numFmtId="43" fontId="4" fillId="8" borderId="3" xfId="1" applyFont="1" applyFill="1" applyBorder="1" applyAlignment="1">
      <alignment horizontal="center"/>
    </xf>
    <xf numFmtId="165" fontId="4" fillId="8" borderId="3" xfId="0" applyFont="1" applyFill="1" applyBorder="1" applyAlignment="1">
      <alignment horizontal="center"/>
    </xf>
    <xf numFmtId="43" fontId="4" fillId="8" borderId="37" xfId="1" applyFont="1" applyFill="1" applyBorder="1" applyAlignment="1">
      <alignment horizontal="center"/>
    </xf>
    <xf numFmtId="165" fontId="4" fillId="8" borderId="37" xfId="0" applyFont="1" applyFill="1" applyBorder="1" applyAlignment="1">
      <alignment horizontal="center"/>
    </xf>
    <xf numFmtId="165" fontId="4" fillId="8" borderId="31" xfId="0" applyFont="1" applyFill="1" applyBorder="1" applyAlignment="1">
      <alignment horizontal="center"/>
    </xf>
    <xf numFmtId="165" fontId="4" fillId="8" borderId="30" xfId="0" applyFont="1" applyFill="1" applyBorder="1"/>
    <xf numFmtId="43" fontId="4" fillId="8" borderId="5" xfId="1" applyFont="1" applyFill="1" applyBorder="1" applyAlignment="1">
      <alignment horizontal="center"/>
    </xf>
    <xf numFmtId="165" fontId="4" fillId="8" borderId="5" xfId="0" applyFont="1" applyFill="1" applyBorder="1" applyAlignment="1">
      <alignment horizontal="center"/>
    </xf>
    <xf numFmtId="165" fontId="4" fillId="8" borderId="30" xfId="0" applyFont="1" applyFill="1" applyBorder="1" applyAlignment="1">
      <alignment horizontal="center"/>
    </xf>
    <xf numFmtId="14" fontId="4" fillId="8" borderId="30" xfId="1" applyNumberFormat="1" applyFont="1" applyFill="1" applyBorder="1" applyAlignment="1">
      <alignment horizontal="center"/>
    </xf>
    <xf numFmtId="165" fontId="4" fillId="8" borderId="21" xfId="0" applyFont="1" applyFill="1" applyBorder="1" applyAlignment="1">
      <alignment horizontal="center"/>
    </xf>
    <xf numFmtId="165" fontId="3" fillId="8" borderId="22" xfId="0" applyFont="1" applyFill="1" applyBorder="1" applyAlignment="1">
      <alignment horizontal="center"/>
    </xf>
    <xf numFmtId="43" fontId="3" fillId="8" borderId="23" xfId="1" applyFont="1" applyFill="1" applyBorder="1" applyAlignment="1">
      <alignment horizontal="center"/>
    </xf>
    <xf numFmtId="41" fontId="3" fillId="8" borderId="23" xfId="0" applyNumberFormat="1" applyFont="1" applyFill="1" applyBorder="1" applyAlignment="1">
      <alignment horizontal="center"/>
    </xf>
    <xf numFmtId="43" fontId="3" fillId="8" borderId="8" xfId="1" applyFont="1" applyFill="1" applyBorder="1"/>
    <xf numFmtId="41" fontId="3" fillId="8" borderId="8" xfId="0" applyNumberFormat="1" applyFont="1" applyFill="1" applyBorder="1"/>
    <xf numFmtId="41" fontId="3" fillId="8" borderId="10" xfId="0" applyNumberFormat="1" applyFont="1" applyFill="1" applyBorder="1"/>
    <xf numFmtId="41" fontId="3" fillId="8" borderId="24" xfId="0" applyNumberFormat="1" applyFont="1" applyFill="1" applyBorder="1"/>
    <xf numFmtId="165" fontId="3" fillId="8" borderId="10" xfId="0" applyFont="1" applyFill="1" applyBorder="1"/>
    <xf numFmtId="165" fontId="3" fillId="8" borderId="24" xfId="0" applyFont="1" applyFill="1" applyBorder="1"/>
    <xf numFmtId="43" fontId="3" fillId="8" borderId="12" xfId="1" applyFont="1" applyFill="1" applyBorder="1"/>
    <xf numFmtId="41" fontId="3" fillId="8" borderId="11" xfId="0" applyNumberFormat="1" applyFont="1" applyFill="1" applyBorder="1"/>
    <xf numFmtId="43" fontId="3" fillId="8" borderId="11" xfId="1" applyFont="1" applyFill="1" applyBorder="1"/>
    <xf numFmtId="10" fontId="3" fillId="8" borderId="33" xfId="1" applyNumberFormat="1" applyFont="1" applyFill="1" applyBorder="1"/>
    <xf numFmtId="43" fontId="3" fillId="8" borderId="18" xfId="1" applyFont="1" applyFill="1" applyBorder="1"/>
    <xf numFmtId="165" fontId="3" fillId="8" borderId="7" xfId="0" applyFont="1" applyFill="1" applyBorder="1"/>
    <xf numFmtId="43" fontId="3" fillId="8" borderId="16" xfId="1" applyFont="1" applyFill="1" applyBorder="1"/>
    <xf numFmtId="43" fontId="3" fillId="8" borderId="7" xfId="1" applyFont="1" applyFill="1" applyBorder="1"/>
    <xf numFmtId="41" fontId="3" fillId="8" borderId="7" xfId="0" applyNumberFormat="1" applyFont="1" applyFill="1" applyBorder="1"/>
    <xf numFmtId="43" fontId="3" fillId="8" borderId="10" xfId="1" applyFont="1" applyFill="1" applyBorder="1"/>
    <xf numFmtId="41" fontId="3" fillId="8" borderId="12" xfId="0" applyNumberFormat="1" applyFont="1" applyFill="1" applyBorder="1"/>
    <xf numFmtId="165" fontId="3" fillId="8" borderId="41" xfId="0" applyFont="1" applyFill="1" applyBorder="1"/>
    <xf numFmtId="165" fontId="4" fillId="8" borderId="7" xfId="0" applyFont="1" applyFill="1" applyBorder="1" applyAlignment="1">
      <alignment horizontal="center"/>
    </xf>
    <xf numFmtId="43" fontId="4" fillId="8" borderId="8" xfId="1" applyFont="1" applyFill="1" applyBorder="1" applyAlignment="1">
      <alignment horizontal="center"/>
    </xf>
    <xf numFmtId="43" fontId="3" fillId="8" borderId="8" xfId="1" applyFont="1" applyFill="1" applyBorder="1" applyAlignment="1">
      <alignment horizontal="center"/>
    </xf>
    <xf numFmtId="165" fontId="3" fillId="8" borderId="8" xfId="0" applyFont="1" applyFill="1" applyBorder="1" applyAlignment="1">
      <alignment horizontal="center"/>
    </xf>
    <xf numFmtId="43" fontId="3" fillId="8" borderId="16" xfId="1" applyFont="1" applyFill="1" applyBorder="1" applyAlignment="1">
      <alignment horizontal="center"/>
    </xf>
    <xf numFmtId="165" fontId="3" fillId="8" borderId="0" xfId="0" applyFont="1" applyFill="1"/>
    <xf numFmtId="165" fontId="3" fillId="8" borderId="23" xfId="0" applyFont="1" applyFill="1" applyBorder="1"/>
    <xf numFmtId="165" fontId="3" fillId="8" borderId="16" xfId="0" applyFont="1" applyFill="1" applyBorder="1" applyAlignment="1">
      <alignment horizontal="center"/>
    </xf>
    <xf numFmtId="43" fontId="3" fillId="8" borderId="19" xfId="1" applyFont="1" applyFill="1" applyBorder="1"/>
    <xf numFmtId="41" fontId="3" fillId="8" borderId="8" xfId="1" applyNumberFormat="1" applyFont="1" applyFill="1" applyBorder="1"/>
    <xf numFmtId="41" fontId="3" fillId="8" borderId="11" xfId="1" applyNumberFormat="1" applyFont="1" applyFill="1" applyBorder="1"/>
    <xf numFmtId="43" fontId="0" fillId="8" borderId="11" xfId="1" applyFont="1" applyFill="1" applyBorder="1"/>
    <xf numFmtId="41" fontId="3" fillId="8" borderId="23" xfId="0" applyNumberFormat="1" applyFont="1" applyFill="1" applyBorder="1"/>
    <xf numFmtId="41" fontId="3" fillId="8" borderId="33" xfId="0" applyNumberFormat="1" applyFont="1" applyFill="1" applyBorder="1"/>
    <xf numFmtId="165" fontId="3" fillId="8" borderId="11" xfId="0" applyFont="1" applyFill="1" applyBorder="1"/>
    <xf numFmtId="43" fontId="3" fillId="8" borderId="0" xfId="1" applyFont="1" applyFill="1"/>
    <xf numFmtId="41" fontId="3" fillId="8" borderId="0" xfId="0" applyNumberFormat="1" applyFont="1" applyFill="1"/>
    <xf numFmtId="165" fontId="3" fillId="8" borderId="8" xfId="0" applyFont="1" applyFill="1" applyBorder="1"/>
    <xf numFmtId="41" fontId="3" fillId="8" borderId="43" xfId="0" applyNumberFormat="1" applyFont="1" applyFill="1" applyBorder="1"/>
    <xf numFmtId="41" fontId="3" fillId="8" borderId="42" xfId="0" applyNumberFormat="1" applyFont="1" applyFill="1" applyBorder="1"/>
    <xf numFmtId="43" fontId="4" fillId="8" borderId="30" xfId="1" applyFont="1" applyFill="1" applyBorder="1" applyAlignment="1">
      <alignment horizontal="center"/>
    </xf>
    <xf numFmtId="41" fontId="3" fillId="8" borderId="59" xfId="0" applyNumberFormat="1" applyFont="1" applyFill="1" applyBorder="1"/>
    <xf numFmtId="41" fontId="3" fillId="8" borderId="22" xfId="0" applyNumberFormat="1" applyFont="1" applyFill="1" applyBorder="1"/>
    <xf numFmtId="41" fontId="3" fillId="8" borderId="40" xfId="0" applyNumberFormat="1" applyFont="1" applyFill="1" applyBorder="1"/>
    <xf numFmtId="41" fontId="3" fillId="8" borderId="44" xfId="0" applyNumberFormat="1" applyFont="1" applyFill="1" applyBorder="1"/>
    <xf numFmtId="43" fontId="3" fillId="8" borderId="33" xfId="1" applyFont="1" applyFill="1" applyBorder="1"/>
    <xf numFmtId="43" fontId="3" fillId="8" borderId="23" xfId="1" applyFont="1" applyFill="1" applyBorder="1"/>
    <xf numFmtId="41" fontId="3" fillId="8" borderId="37" xfId="0" applyNumberFormat="1" applyFont="1" applyFill="1" applyBorder="1"/>
    <xf numFmtId="43" fontId="3" fillId="8" borderId="24" xfId="1" applyFont="1" applyFill="1" applyBorder="1"/>
    <xf numFmtId="43" fontId="3" fillId="8" borderId="44" xfId="1" applyFont="1" applyFill="1" applyBorder="1"/>
    <xf numFmtId="43" fontId="3" fillId="8" borderId="43" xfId="1" applyFont="1" applyFill="1" applyBorder="1"/>
    <xf numFmtId="41" fontId="3" fillId="8" borderId="24" xfId="1" applyNumberFormat="1" applyFont="1" applyFill="1" applyBorder="1"/>
    <xf numFmtId="165" fontId="4" fillId="8" borderId="38" xfId="0" applyFont="1" applyFill="1" applyBorder="1" applyAlignment="1">
      <alignment horizontal="center"/>
    </xf>
    <xf numFmtId="165" fontId="4" fillId="8" borderId="16" xfId="0" applyFont="1" applyFill="1" applyBorder="1" applyAlignment="1">
      <alignment horizontal="center"/>
    </xf>
    <xf numFmtId="14" fontId="4" fillId="8" borderId="38" xfId="1" applyNumberFormat="1" applyFont="1" applyFill="1" applyBorder="1" applyAlignment="1">
      <alignment horizontal="center"/>
    </xf>
    <xf numFmtId="165" fontId="4" fillId="8" borderId="20" xfId="0" applyFont="1" applyFill="1" applyBorder="1" applyAlignment="1">
      <alignment horizontal="center"/>
    </xf>
    <xf numFmtId="41" fontId="3" fillId="8" borderId="11" xfId="0" applyNumberFormat="1" applyFont="1" applyFill="1" applyBorder="1" applyAlignment="1">
      <alignment horizontal="center"/>
    </xf>
    <xf numFmtId="43" fontId="3" fillId="8" borderId="11" xfId="1" applyFont="1" applyFill="1" applyBorder="1" applyAlignment="1">
      <alignment horizontal="center"/>
    </xf>
    <xf numFmtId="43" fontId="4" fillId="8" borderId="11" xfId="1" applyFont="1" applyFill="1" applyBorder="1" applyAlignment="1">
      <alignment horizontal="center"/>
    </xf>
    <xf numFmtId="43" fontId="3" fillId="8" borderId="11" xfId="1" quotePrefix="1" applyFont="1" applyFill="1" applyBorder="1"/>
    <xf numFmtId="43" fontId="4" fillId="8" borderId="11" xfId="1" quotePrefix="1" applyFont="1" applyFill="1" applyBorder="1"/>
    <xf numFmtId="41" fontId="3" fillId="8" borderId="24" xfId="0" quotePrefix="1" applyNumberFormat="1" applyFont="1" applyFill="1" applyBorder="1"/>
    <xf numFmtId="43" fontId="3" fillId="8" borderId="12" xfId="1" quotePrefix="1" applyFont="1" applyFill="1" applyBorder="1"/>
    <xf numFmtId="165" fontId="4" fillId="8" borderId="59" xfId="0" applyFont="1" applyFill="1" applyBorder="1" applyAlignment="1">
      <alignment horizontal="center"/>
    </xf>
    <xf numFmtId="165" fontId="4" fillId="8" borderId="22" xfId="0" applyFont="1" applyFill="1" applyBorder="1" applyAlignment="1">
      <alignment horizontal="center"/>
    </xf>
    <xf numFmtId="165" fontId="4" fillId="8" borderId="38" xfId="0" applyFont="1" applyFill="1" applyBorder="1"/>
    <xf numFmtId="43" fontId="4" fillId="8" borderId="38" xfId="1" applyFont="1" applyFill="1" applyBorder="1" applyAlignment="1">
      <alignment horizontal="center"/>
    </xf>
    <xf numFmtId="165" fontId="4" fillId="8" borderId="11" xfId="0" applyFont="1" applyFill="1" applyBorder="1" applyAlignment="1">
      <alignment horizontal="center"/>
    </xf>
    <xf numFmtId="165" fontId="3" fillId="8" borderId="11" xfId="0" applyFont="1" applyFill="1" applyBorder="1" applyAlignment="1">
      <alignment horizontal="center"/>
    </xf>
    <xf numFmtId="165" fontId="4" fillId="9" borderId="4" xfId="0" applyFont="1" applyFill="1" applyBorder="1"/>
    <xf numFmtId="165" fontId="4" fillId="9" borderId="30" xfId="0" applyFont="1" applyFill="1" applyBorder="1"/>
    <xf numFmtId="165" fontId="4" fillId="9" borderId="5" xfId="0" applyFont="1" applyFill="1" applyBorder="1" applyAlignment="1">
      <alignment horizontal="center"/>
    </xf>
    <xf numFmtId="165" fontId="3" fillId="9" borderId="6" xfId="0" applyFont="1" applyFill="1" applyBorder="1"/>
    <xf numFmtId="165" fontId="3" fillId="9" borderId="7" xfId="0" applyFont="1" applyFill="1" applyBorder="1"/>
    <xf numFmtId="41" fontId="3" fillId="9" borderId="8" xfId="0" applyNumberFormat="1" applyFont="1" applyFill="1" applyBorder="1"/>
    <xf numFmtId="165" fontId="3" fillId="9" borderId="9" xfId="0" applyFont="1" applyFill="1" applyBorder="1"/>
    <xf numFmtId="165" fontId="3" fillId="9" borderId="10" xfId="0" applyFont="1" applyFill="1" applyBorder="1"/>
    <xf numFmtId="41" fontId="3" fillId="9" borderId="11" xfId="0" applyNumberFormat="1" applyFont="1" applyFill="1" applyBorder="1"/>
    <xf numFmtId="165" fontId="3" fillId="9" borderId="8" xfId="0" applyFont="1" applyFill="1" applyBorder="1"/>
    <xf numFmtId="165" fontId="3" fillId="9" borderId="11" xfId="0" applyFont="1" applyFill="1" applyBorder="1"/>
    <xf numFmtId="41" fontId="3" fillId="9" borderId="12" xfId="0" applyNumberFormat="1" applyFont="1" applyFill="1" applyBorder="1"/>
    <xf numFmtId="41" fontId="4" fillId="9" borderId="11" xfId="0" applyNumberFormat="1" applyFont="1" applyFill="1" applyBorder="1"/>
    <xf numFmtId="165" fontId="3" fillId="10" borderId="7" xfId="0" applyFont="1" applyFill="1" applyBorder="1"/>
    <xf numFmtId="41" fontId="3" fillId="10" borderId="8" xfId="0" applyNumberFormat="1" applyFont="1" applyFill="1" applyBorder="1"/>
    <xf numFmtId="165" fontId="3" fillId="10" borderId="9" xfId="0" applyFont="1" applyFill="1" applyBorder="1"/>
    <xf numFmtId="165" fontId="3" fillId="10" borderId="10" xfId="0" applyFont="1" applyFill="1" applyBorder="1"/>
    <xf numFmtId="41" fontId="3" fillId="10" borderId="11" xfId="0" applyNumberFormat="1" applyFont="1" applyFill="1" applyBorder="1"/>
    <xf numFmtId="165" fontId="3" fillId="10" borderId="8" xfId="0" applyFont="1" applyFill="1" applyBorder="1"/>
    <xf numFmtId="165" fontId="3" fillId="10" borderId="11" xfId="0" applyFont="1" applyFill="1" applyBorder="1"/>
    <xf numFmtId="41" fontId="3" fillId="10" borderId="12" xfId="0" applyNumberFormat="1" applyFont="1" applyFill="1" applyBorder="1"/>
    <xf numFmtId="41" fontId="4" fillId="10" borderId="11" xfId="0" applyNumberFormat="1" applyFont="1" applyFill="1" applyBorder="1"/>
    <xf numFmtId="165" fontId="4" fillId="6" borderId="4" xfId="0" applyFont="1" applyFill="1" applyBorder="1"/>
    <xf numFmtId="165" fontId="3" fillId="6" borderId="7" xfId="0" applyFont="1" applyFill="1" applyBorder="1"/>
    <xf numFmtId="165" fontId="3" fillId="6" borderId="9" xfId="0" applyFont="1" applyFill="1" applyBorder="1"/>
    <xf numFmtId="165" fontId="3" fillId="6" borderId="10" xfId="0" applyFont="1" applyFill="1" applyBorder="1"/>
    <xf numFmtId="165" fontId="3" fillId="6" borderId="8" xfId="0" applyFont="1" applyFill="1" applyBorder="1"/>
    <xf numFmtId="165" fontId="3" fillId="6" borderId="11" xfId="0" applyFont="1" applyFill="1" applyBorder="1"/>
    <xf numFmtId="41" fontId="4" fillId="6" borderId="11" xfId="0" applyNumberFormat="1" applyFont="1" applyFill="1" applyBorder="1"/>
    <xf numFmtId="41" fontId="3" fillId="6" borderId="17" xfId="0" applyNumberFormat="1" applyFont="1" applyFill="1" applyBorder="1"/>
    <xf numFmtId="165" fontId="4" fillId="10" borderId="6" xfId="0" applyFont="1" applyFill="1" applyBorder="1"/>
    <xf numFmtId="165" fontId="3" fillId="11" borderId="6" xfId="0" applyFont="1" applyFill="1" applyBorder="1"/>
    <xf numFmtId="165" fontId="3" fillId="11" borderId="7" xfId="0" applyFont="1" applyFill="1" applyBorder="1"/>
    <xf numFmtId="41" fontId="3" fillId="11" borderId="8" xfId="0" applyNumberFormat="1" applyFont="1" applyFill="1" applyBorder="1"/>
    <xf numFmtId="165" fontId="4" fillId="0" borderId="6" xfId="0" applyFont="1" applyBorder="1"/>
    <xf numFmtId="41" fontId="3" fillId="0" borderId="60" xfId="0" applyNumberFormat="1" applyFont="1" applyBorder="1"/>
    <xf numFmtId="41" fontId="3" fillId="4" borderId="16" xfId="0" applyNumberFormat="1" applyFont="1" applyFill="1" applyBorder="1"/>
    <xf numFmtId="41" fontId="3" fillId="0" borderId="62" xfId="0" applyNumberFormat="1" applyFont="1" applyBorder="1"/>
    <xf numFmtId="41" fontId="3" fillId="0" borderId="61" xfId="0" applyNumberFormat="1" applyFont="1" applyBorder="1"/>
    <xf numFmtId="165" fontId="3" fillId="0" borderId="18" xfId="0" applyFont="1" applyBorder="1"/>
    <xf numFmtId="43" fontId="3" fillId="0" borderId="18" xfId="0" applyNumberFormat="1" applyFont="1" applyBorder="1"/>
    <xf numFmtId="164" fontId="34" fillId="0" borderId="11" xfId="0" applyNumberFormat="1" applyFont="1" applyBorder="1"/>
    <xf numFmtId="164" fontId="34" fillId="0" borderId="8" xfId="0" applyNumberFormat="1" applyFont="1" applyBorder="1"/>
    <xf numFmtId="164" fontId="34" fillId="0" borderId="19" xfId="0" applyNumberFormat="1" applyFont="1" applyBorder="1"/>
    <xf numFmtId="41" fontId="3" fillId="8" borderId="10" xfId="0" quotePrefix="1" applyNumberFormat="1" applyFont="1" applyFill="1" applyBorder="1" applyAlignment="1">
      <alignment horizontal="left"/>
    </xf>
    <xf numFmtId="41" fontId="3" fillId="8" borderId="10" xfId="0" applyNumberFormat="1" applyFont="1" applyFill="1" applyBorder="1" applyAlignment="1">
      <alignment horizontal="left"/>
    </xf>
    <xf numFmtId="8" fontId="3" fillId="0" borderId="0" xfId="0" applyNumberFormat="1" applyFont="1"/>
    <xf numFmtId="165" fontId="27" fillId="0" borderId="0" xfId="0" applyFont="1" applyAlignment="1">
      <alignment vertical="center"/>
    </xf>
    <xf numFmtId="165" fontId="3" fillId="10" borderId="0" xfId="0" applyFont="1" applyFill="1"/>
    <xf numFmtId="165" fontId="3" fillId="6" borderId="0" xfId="0" applyFont="1" applyFill="1"/>
    <xf numFmtId="165" fontId="3" fillId="13" borderId="0" xfId="0" applyFont="1" applyFill="1"/>
    <xf numFmtId="165" fontId="12" fillId="0" borderId="0" xfId="0" applyFont="1"/>
    <xf numFmtId="41" fontId="2" fillId="0" borderId="26" xfId="0" applyNumberFormat="1" applyFont="1" applyBorder="1" applyAlignment="1">
      <alignment horizontal="center"/>
    </xf>
    <xf numFmtId="165" fontId="25" fillId="0" borderId="0" xfId="0" applyFont="1"/>
    <xf numFmtId="41" fontId="25" fillId="0" borderId="0" xfId="0" applyNumberFormat="1" applyFont="1" applyAlignment="1">
      <alignment horizontal="center"/>
    </xf>
    <xf numFmtId="10" fontId="25" fillId="0" borderId="0" xfId="0" applyNumberFormat="1" applyFont="1"/>
    <xf numFmtId="41" fontId="25" fillId="0" borderId="28" xfId="0" applyNumberFormat="1" applyFont="1" applyBorder="1"/>
    <xf numFmtId="41" fontId="25" fillId="0" borderId="27" xfId="0" applyNumberFormat="1" applyFont="1" applyBorder="1"/>
    <xf numFmtId="41" fontId="3" fillId="0" borderId="16" xfId="1" applyNumberFormat="1" applyFont="1" applyFill="1" applyBorder="1"/>
    <xf numFmtId="165" fontId="37" fillId="0" borderId="0" xfId="0" applyFont="1"/>
    <xf numFmtId="43" fontId="25" fillId="0" borderId="0" xfId="1" applyFont="1"/>
    <xf numFmtId="165" fontId="13" fillId="0" borderId="0" xfId="0" applyFont="1"/>
    <xf numFmtId="165" fontId="25" fillId="0" borderId="40" xfId="0" applyFont="1" applyBorder="1"/>
    <xf numFmtId="165" fontId="25" fillId="0" borderId="26" xfId="0" applyFont="1" applyBorder="1"/>
    <xf numFmtId="43" fontId="25" fillId="0" borderId="26" xfId="1" applyFont="1" applyBorder="1"/>
    <xf numFmtId="165" fontId="25" fillId="0" borderId="44" xfId="0" applyFont="1" applyBorder="1"/>
    <xf numFmtId="165" fontId="25" fillId="0" borderId="20" xfId="0" applyFont="1" applyBorder="1"/>
    <xf numFmtId="43" fontId="25" fillId="0" borderId="0" xfId="1" applyFont="1" applyBorder="1"/>
    <xf numFmtId="165" fontId="25" fillId="0" borderId="38" xfId="0" applyFont="1" applyBorder="1"/>
    <xf numFmtId="43" fontId="25" fillId="0" borderId="28" xfId="1" applyFont="1" applyFill="1" applyBorder="1"/>
    <xf numFmtId="43" fontId="25" fillId="0" borderId="28" xfId="1" applyFont="1" applyBorder="1"/>
    <xf numFmtId="165" fontId="25" fillId="0" borderId="7" xfId="0" applyFont="1" applyBorder="1"/>
    <xf numFmtId="165" fontId="25" fillId="0" borderId="28" xfId="0" applyFont="1" applyBorder="1"/>
    <xf numFmtId="165" fontId="25" fillId="0" borderId="33" xfId="0" applyFont="1" applyBorder="1"/>
    <xf numFmtId="43" fontId="25" fillId="0" borderId="0" xfId="0" applyNumberFormat="1" applyFont="1"/>
    <xf numFmtId="9" fontId="25" fillId="0" borderId="0" xfId="0" applyNumberFormat="1" applyFont="1"/>
    <xf numFmtId="16" fontId="25" fillId="0" borderId="0" xfId="0" applyNumberFormat="1" applyFont="1"/>
    <xf numFmtId="43" fontId="13" fillId="0" borderId="0" xfId="1" applyFont="1" applyBorder="1"/>
    <xf numFmtId="43" fontId="13" fillId="0" borderId="28" xfId="1" applyFont="1" applyBorder="1"/>
    <xf numFmtId="43" fontId="25" fillId="0" borderId="28" xfId="0" applyNumberFormat="1" applyFont="1" applyBorder="1"/>
    <xf numFmtId="10" fontId="25" fillId="0" borderId="0" xfId="1" applyNumberFormat="1" applyFont="1" applyBorder="1"/>
    <xf numFmtId="9" fontId="25" fillId="0" borderId="0" xfId="1" applyNumberFormat="1" applyFont="1" applyBorder="1"/>
    <xf numFmtId="9" fontId="25" fillId="0" borderId="28" xfId="1" applyNumberFormat="1" applyFont="1" applyBorder="1"/>
    <xf numFmtId="14" fontId="25" fillId="0" borderId="0" xfId="0" applyNumberFormat="1" applyFont="1" applyAlignment="1">
      <alignment horizontal="center"/>
    </xf>
    <xf numFmtId="165" fontId="38" fillId="0" borderId="0" xfId="0" applyFont="1"/>
    <xf numFmtId="10" fontId="25" fillId="0" borderId="0" xfId="0" applyNumberFormat="1" applyFont="1" applyAlignment="1">
      <alignment horizontal="left"/>
    </xf>
    <xf numFmtId="41" fontId="25" fillId="0" borderId="26" xfId="0" applyNumberFormat="1" applyFont="1" applyBorder="1"/>
    <xf numFmtId="10" fontId="25" fillId="0" borderId="0" xfId="3" applyNumberFormat="1" applyFont="1" applyFill="1" applyBorder="1"/>
    <xf numFmtId="41" fontId="25" fillId="0" borderId="0" xfId="3" applyNumberFormat="1" applyFont="1"/>
    <xf numFmtId="9" fontId="25" fillId="0" borderId="0" xfId="0" applyNumberFormat="1" applyFont="1" applyAlignment="1">
      <alignment horizontal="left"/>
    </xf>
    <xf numFmtId="3" fontId="37" fillId="0" borderId="0" xfId="0" applyNumberFormat="1" applyFont="1"/>
    <xf numFmtId="3" fontId="25" fillId="0" borderId="0" xfId="0" applyNumberFormat="1" applyFont="1"/>
    <xf numFmtId="165" fontId="4" fillId="0" borderId="37" xfId="0" applyFont="1" applyBorder="1"/>
    <xf numFmtId="41" fontId="3" fillId="8" borderId="33" xfId="1" applyNumberFormat="1" applyFont="1" applyFill="1" applyBorder="1"/>
    <xf numFmtId="41" fontId="3" fillId="8" borderId="12" xfId="1" applyNumberFormat="1" applyFont="1" applyFill="1" applyBorder="1"/>
    <xf numFmtId="41" fontId="3" fillId="8" borderId="8" xfId="1" applyNumberFormat="1" applyFont="1" applyFill="1" applyBorder="1" applyAlignment="1">
      <alignment horizontal="center"/>
    </xf>
    <xf numFmtId="41" fontId="3" fillId="8" borderId="16" xfId="1" applyNumberFormat="1" applyFont="1" applyFill="1" applyBorder="1" applyAlignment="1">
      <alignment horizontal="center"/>
    </xf>
    <xf numFmtId="41" fontId="3" fillId="8" borderId="18" xfId="1" applyNumberFormat="1" applyFont="1" applyFill="1" applyBorder="1"/>
    <xf numFmtId="41" fontId="0" fillId="14" borderId="58" xfId="1" applyNumberFormat="1" applyFont="1" applyFill="1" applyBorder="1"/>
    <xf numFmtId="43" fontId="2" fillId="0" borderId="58" xfId="1" applyFont="1" applyFill="1" applyBorder="1"/>
    <xf numFmtId="41" fontId="25" fillId="0" borderId="44" xfId="0" applyNumberFormat="1" applyFont="1" applyBorder="1"/>
    <xf numFmtId="41" fontId="25" fillId="0" borderId="38" xfId="0" applyNumberFormat="1" applyFont="1" applyBorder="1"/>
    <xf numFmtId="41" fontId="25" fillId="0" borderId="33" xfId="0" applyNumberFormat="1" applyFont="1" applyBorder="1"/>
    <xf numFmtId="41" fontId="25" fillId="0" borderId="18" xfId="0" applyNumberFormat="1" applyFont="1" applyBorder="1"/>
    <xf numFmtId="41" fontId="25" fillId="0" borderId="8" xfId="0" applyNumberFormat="1" applyFont="1" applyBorder="1"/>
    <xf numFmtId="41" fontId="25" fillId="0" borderId="16" xfId="0" applyNumberFormat="1" applyFont="1" applyBorder="1"/>
    <xf numFmtId="167" fontId="3" fillId="0" borderId="15" xfId="1" applyNumberFormat="1" applyFont="1" applyBorder="1"/>
    <xf numFmtId="167" fontId="3" fillId="8" borderId="11" xfId="1" applyNumberFormat="1" applyFont="1" applyFill="1" applyBorder="1"/>
    <xf numFmtId="166" fontId="3" fillId="0" borderId="15" xfId="1" applyNumberFormat="1" applyFont="1" applyBorder="1"/>
    <xf numFmtId="41" fontId="36" fillId="0" borderId="18" xfId="0" applyNumberFormat="1" applyFont="1" applyBorder="1"/>
    <xf numFmtId="43" fontId="8" fillId="0" borderId="0" xfId="1" applyFont="1"/>
    <xf numFmtId="14" fontId="3" fillId="0" borderId="16" xfId="0" applyNumberFormat="1" applyFont="1" applyBorder="1"/>
    <xf numFmtId="9" fontId="4" fillId="0" borderId="18" xfId="3" applyFont="1" applyFill="1" applyBorder="1"/>
    <xf numFmtId="165" fontId="26" fillId="0" borderId="0" xfId="0" applyFont="1"/>
    <xf numFmtId="165" fontId="26" fillId="0" borderId="0" xfId="0" applyFont="1" applyAlignment="1">
      <alignment horizontal="center"/>
    </xf>
    <xf numFmtId="41" fontId="5" fillId="0" borderId="0" xfId="0" applyNumberFormat="1" applyFont="1"/>
    <xf numFmtId="3" fontId="37" fillId="0" borderId="0" xfId="0" applyNumberFormat="1" applyFont="1" applyAlignment="1">
      <alignment horizontal="center"/>
    </xf>
    <xf numFmtId="10" fontId="3" fillId="0" borderId="0" xfId="0" applyNumberFormat="1" applyFont="1"/>
    <xf numFmtId="165" fontId="24" fillId="0" borderId="0" xfId="0" applyFont="1" applyAlignment="1">
      <alignment horizontal="left" vertical="center" wrapText="1"/>
    </xf>
    <xf numFmtId="165" fontId="4" fillId="8" borderId="2" xfId="0" applyFont="1" applyFill="1" applyBorder="1" applyAlignment="1">
      <alignment horizontal="center"/>
    </xf>
    <xf numFmtId="165" fontId="4" fillId="8" borderId="29" xfId="0" applyFont="1" applyFill="1" applyBorder="1" applyAlignment="1">
      <alignment horizontal="center"/>
    </xf>
    <xf numFmtId="41" fontId="3" fillId="8" borderId="63" xfId="0" applyNumberFormat="1" applyFont="1" applyFill="1" applyBorder="1"/>
    <xf numFmtId="41" fontId="3" fillId="8" borderId="41" xfId="0" applyNumberFormat="1" applyFont="1" applyFill="1" applyBorder="1"/>
    <xf numFmtId="41" fontId="3" fillId="8" borderId="41" xfId="1" applyNumberFormat="1" applyFont="1" applyFill="1" applyBorder="1"/>
    <xf numFmtId="167" fontId="24" fillId="0" borderId="0" xfId="1" applyNumberFormat="1" applyFont="1"/>
    <xf numFmtId="167" fontId="24" fillId="0" borderId="0" xfId="0" applyNumberFormat="1" applyFont="1"/>
    <xf numFmtId="43" fontId="1" fillId="0" borderId="38" xfId="1" applyFont="1" applyFill="1" applyBorder="1"/>
    <xf numFmtId="43" fontId="1" fillId="0" borderId="33" xfId="1" applyFont="1" applyFill="1" applyBorder="1"/>
    <xf numFmtId="165" fontId="14" fillId="0" borderId="44" xfId="0" applyFont="1" applyBorder="1" applyAlignment="1">
      <alignment horizontal="center"/>
    </xf>
    <xf numFmtId="165" fontId="14" fillId="0" borderId="38" xfId="0" applyFont="1" applyBorder="1" applyAlignment="1">
      <alignment horizontal="center"/>
    </xf>
    <xf numFmtId="167" fontId="0" fillId="0" borderId="58" xfId="1" applyNumberFormat="1" applyFont="1" applyBorder="1"/>
    <xf numFmtId="43" fontId="2" fillId="14" borderId="58" xfId="1" applyFont="1" applyFill="1" applyBorder="1"/>
    <xf numFmtId="43" fontId="0" fillId="0" borderId="58" xfId="1" applyFont="1" applyFill="1" applyBorder="1"/>
    <xf numFmtId="167" fontId="0" fillId="0" borderId="58" xfId="1" applyNumberFormat="1" applyFont="1" applyFill="1" applyBorder="1"/>
    <xf numFmtId="43" fontId="3" fillId="0" borderId="11" xfId="1" applyFont="1" applyFill="1" applyBorder="1" applyAlignment="1">
      <alignment horizontal="right"/>
    </xf>
    <xf numFmtId="41" fontId="25" fillId="0" borderId="0" xfId="3" applyNumberFormat="1" applyFont="1" applyBorder="1"/>
    <xf numFmtId="43" fontId="0" fillId="0" borderId="20" xfId="1" applyFont="1" applyBorder="1"/>
    <xf numFmtId="43" fontId="3" fillId="0" borderId="44" xfId="1" applyFont="1" applyFill="1" applyBorder="1"/>
    <xf numFmtId="43" fontId="34" fillId="0" borderId="11" xfId="1" applyFont="1" applyBorder="1"/>
    <xf numFmtId="43" fontId="34" fillId="0" borderId="8" xfId="1" applyFont="1" applyBorder="1"/>
    <xf numFmtId="43" fontId="34" fillId="0" borderId="19" xfId="1" applyFont="1" applyBorder="1"/>
    <xf numFmtId="43" fontId="3" fillId="0" borderId="38" xfId="1" applyFont="1" applyBorder="1"/>
    <xf numFmtId="43" fontId="3" fillId="0" borderId="64" xfId="1" applyFont="1" applyBorder="1"/>
    <xf numFmtId="43" fontId="3" fillId="0" borderId="24" xfId="1" quotePrefix="1" applyFont="1" applyBorder="1"/>
    <xf numFmtId="43" fontId="3" fillId="0" borderId="43" xfId="1" quotePrefix="1" applyFont="1" applyBorder="1"/>
    <xf numFmtId="43" fontId="11" fillId="0" borderId="33" xfId="1" applyFont="1" applyBorder="1" applyAlignment="1">
      <alignment horizontal="center"/>
    </xf>
    <xf numFmtId="43" fontId="3" fillId="0" borderId="25" xfId="1" applyFont="1" applyBorder="1"/>
    <xf numFmtId="43" fontId="4" fillId="8" borderId="2" xfId="1" applyFont="1" applyFill="1" applyBorder="1" applyAlignment="1">
      <alignment horizontal="center"/>
    </xf>
    <xf numFmtId="43" fontId="3" fillId="0" borderId="65" xfId="1" applyFont="1" applyFill="1" applyBorder="1"/>
    <xf numFmtId="43" fontId="3" fillId="0" borderId="64" xfId="1" applyFont="1" applyFill="1" applyBorder="1"/>
    <xf numFmtId="43" fontId="3" fillId="0" borderId="65" xfId="1" applyFont="1" applyBorder="1"/>
    <xf numFmtId="43" fontId="3" fillId="0" borderId="38" xfId="1" applyFont="1" applyBorder="1" applyAlignment="1">
      <alignment horizontal="center"/>
    </xf>
    <xf numFmtId="165" fontId="4" fillId="0" borderId="15" xfId="0" applyFont="1" applyBorder="1"/>
    <xf numFmtId="165" fontId="3" fillId="0" borderId="38" xfId="0" applyFont="1" applyBorder="1"/>
    <xf numFmtId="165" fontId="4" fillId="8" borderId="37" xfId="0" applyFont="1" applyFill="1" applyBorder="1"/>
    <xf numFmtId="43" fontId="4" fillId="0" borderId="42" xfId="1" applyFont="1" applyFill="1" applyBorder="1"/>
    <xf numFmtId="41" fontId="2" fillId="0" borderId="0" xfId="0" applyNumberFormat="1" applyFont="1" applyAlignment="1">
      <alignment wrapText="1"/>
    </xf>
    <xf numFmtId="41" fontId="2" fillId="0" borderId="43" xfId="0" applyNumberFormat="1" applyFont="1" applyBorder="1"/>
    <xf numFmtId="43" fontId="0" fillId="4" borderId="0" xfId="1" applyFont="1" applyFill="1"/>
    <xf numFmtId="43" fontId="3" fillId="8" borderId="0" xfId="1" applyFont="1" applyFill="1" applyBorder="1"/>
    <xf numFmtId="41" fontId="3" fillId="4" borderId="11" xfId="0" applyNumberFormat="1" applyFont="1" applyFill="1" applyBorder="1"/>
    <xf numFmtId="167" fontId="0" fillId="0" borderId="0" xfId="0" applyNumberFormat="1"/>
    <xf numFmtId="167" fontId="0" fillId="0" borderId="0" xfId="1" applyNumberFormat="1" applyFont="1"/>
    <xf numFmtId="165" fontId="3" fillId="4" borderId="11" xfId="0" applyFont="1" applyFill="1" applyBorder="1"/>
    <xf numFmtId="41" fontId="3" fillId="8" borderId="16" xfId="0" applyNumberFormat="1" applyFont="1" applyFill="1" applyBorder="1"/>
    <xf numFmtId="43" fontId="0" fillId="0" borderId="28" xfId="1" applyFont="1" applyBorder="1"/>
    <xf numFmtId="167" fontId="3" fillId="0" borderId="0" xfId="1" applyNumberFormat="1" applyFont="1"/>
    <xf numFmtId="10" fontId="3" fillId="0" borderId="0" xfId="1" applyNumberFormat="1" applyFont="1" applyFill="1" applyBorder="1"/>
    <xf numFmtId="167" fontId="3" fillId="8" borderId="8" xfId="1" applyNumberFormat="1" applyFont="1" applyFill="1" applyBorder="1"/>
    <xf numFmtId="165" fontId="41" fillId="0" borderId="0" xfId="0" applyFont="1"/>
    <xf numFmtId="41" fontId="41" fillId="0" borderId="26" xfId="0" applyNumberFormat="1" applyFont="1" applyBorder="1"/>
    <xf numFmtId="10" fontId="3" fillId="0" borderId="28" xfId="0" applyNumberFormat="1" applyFont="1" applyBorder="1"/>
    <xf numFmtId="165" fontId="3" fillId="4" borderId="9" xfId="0" applyFont="1" applyFill="1" applyBorder="1"/>
    <xf numFmtId="41" fontId="41" fillId="0" borderId="0" xfId="0" applyNumberFormat="1" applyFont="1"/>
    <xf numFmtId="165" fontId="41" fillId="0" borderId="28" xfId="0" applyFont="1" applyBorder="1"/>
    <xf numFmtId="41" fontId="41" fillId="0" borderId="28" xfId="0" applyNumberFormat="1" applyFont="1" applyBorder="1"/>
    <xf numFmtId="167" fontId="41" fillId="0" borderId="0" xfId="1" applyNumberFormat="1" applyFont="1"/>
    <xf numFmtId="9" fontId="0" fillId="0" borderId="0" xfId="3" applyFont="1"/>
    <xf numFmtId="9" fontId="3" fillId="0" borderId="0" xfId="3" applyFont="1"/>
    <xf numFmtId="41" fontId="41" fillId="0" borderId="27" xfId="0" applyNumberFormat="1" applyFont="1" applyBorder="1"/>
    <xf numFmtId="41" fontId="42" fillId="0" borderId="0" xfId="0" applyNumberFormat="1" applyFont="1"/>
    <xf numFmtId="165" fontId="43" fillId="0" borderId="0" xfId="0" applyFont="1"/>
    <xf numFmtId="165" fontId="44" fillId="0" borderId="0" xfId="0" applyFont="1"/>
    <xf numFmtId="41" fontId="11" fillId="0" borderId="12" xfId="0" applyNumberFormat="1" applyFont="1" applyBorder="1"/>
    <xf numFmtId="43" fontId="3" fillId="0" borderId="40" xfId="1" applyFont="1" applyFill="1" applyBorder="1" applyAlignment="1">
      <alignment horizontal="center"/>
    </xf>
    <xf numFmtId="43" fontId="3" fillId="0" borderId="0" xfId="1" applyFont="1" applyFill="1" applyBorder="1" applyAlignment="1">
      <alignment horizontal="center"/>
    </xf>
    <xf numFmtId="43" fontId="3" fillId="0" borderId="0" xfId="1" applyFont="1" applyFill="1" applyBorder="1" applyAlignment="1">
      <alignment horizontal="left"/>
    </xf>
    <xf numFmtId="43" fontId="4" fillId="0" borderId="0" xfId="1" applyFont="1" applyFill="1" applyBorder="1" applyAlignment="1">
      <alignment horizontal="center"/>
    </xf>
    <xf numFmtId="41" fontId="41" fillId="0" borderId="0" xfId="1" applyNumberFormat="1" applyFont="1"/>
    <xf numFmtId="41" fontId="41" fillId="0" borderId="0" xfId="1" applyNumberFormat="1" applyFont="1" applyFill="1"/>
    <xf numFmtId="41" fontId="41" fillId="0" borderId="0" xfId="1" applyNumberFormat="1" applyFont="1" applyFill="1" applyBorder="1"/>
    <xf numFmtId="165" fontId="45" fillId="0" borderId="0" xfId="2" applyFont="1" applyAlignment="1" applyProtection="1"/>
    <xf numFmtId="165" fontId="46" fillId="0" borderId="0" xfId="0" applyFont="1"/>
    <xf numFmtId="165" fontId="46" fillId="0" borderId="0" xfId="0" applyFont="1" applyAlignment="1">
      <alignment horizontal="center"/>
    </xf>
    <xf numFmtId="41" fontId="46" fillId="0" borderId="0" xfId="1" applyNumberFormat="1" applyFont="1" applyAlignment="1">
      <alignment horizontal="center"/>
    </xf>
    <xf numFmtId="41" fontId="46" fillId="0" borderId="0" xfId="0" applyNumberFormat="1" applyFont="1" applyAlignment="1">
      <alignment horizontal="center"/>
    </xf>
    <xf numFmtId="41" fontId="46" fillId="0" borderId="0" xfId="0" applyNumberFormat="1" applyFont="1"/>
    <xf numFmtId="41" fontId="46" fillId="0" borderId="0" xfId="1" applyNumberFormat="1" applyFont="1"/>
    <xf numFmtId="41" fontId="46" fillId="0" borderId="28" xfId="1" applyNumberFormat="1" applyFont="1" applyBorder="1"/>
    <xf numFmtId="41" fontId="46" fillId="0" borderId="28" xfId="0" applyNumberFormat="1" applyFont="1" applyBorder="1"/>
    <xf numFmtId="41" fontId="46" fillId="0" borderId="0" xfId="1" applyNumberFormat="1" applyFont="1" applyFill="1"/>
    <xf numFmtId="41" fontId="47" fillId="0" borderId="0" xfId="1" applyNumberFormat="1" applyFont="1"/>
    <xf numFmtId="41" fontId="47" fillId="0" borderId="0" xfId="0" applyNumberFormat="1" applyFont="1"/>
    <xf numFmtId="165" fontId="47" fillId="0" borderId="0" xfId="0" applyFont="1"/>
    <xf numFmtId="41" fontId="46" fillId="0" borderId="0" xfId="2" applyNumberFormat="1" applyFont="1" applyAlignment="1" applyProtection="1"/>
    <xf numFmtId="41" fontId="46" fillId="0" borderId="0" xfId="1" applyNumberFormat="1" applyFont="1" applyFill="1" applyAlignment="1">
      <alignment horizontal="center"/>
    </xf>
    <xf numFmtId="41" fontId="47" fillId="0" borderId="0" xfId="1" applyNumberFormat="1" applyFont="1" applyFill="1"/>
    <xf numFmtId="165" fontId="49" fillId="0" borderId="0" xfId="0" applyFont="1"/>
    <xf numFmtId="41" fontId="46" fillId="0" borderId="29" xfId="1" applyNumberFormat="1" applyFont="1" applyBorder="1"/>
    <xf numFmtId="41" fontId="46" fillId="0" borderId="0" xfId="1" applyNumberFormat="1" applyFont="1" applyFill="1" applyBorder="1"/>
    <xf numFmtId="165" fontId="50" fillId="0" borderId="0" xfId="0" applyFont="1"/>
    <xf numFmtId="167" fontId="46" fillId="0" borderId="0" xfId="1" applyNumberFormat="1" applyFont="1" applyAlignment="1">
      <alignment horizontal="center"/>
    </xf>
    <xf numFmtId="167" fontId="46" fillId="0" borderId="0" xfId="1" applyNumberFormat="1" applyFont="1"/>
    <xf numFmtId="167" fontId="45" fillId="0" borderId="0" xfId="1" applyNumberFormat="1" applyFont="1" applyAlignment="1" applyProtection="1"/>
    <xf numFmtId="167" fontId="46" fillId="0" borderId="28" xfId="1" applyNumberFormat="1" applyFont="1" applyBorder="1"/>
    <xf numFmtId="167" fontId="46" fillId="0" borderId="0" xfId="1" applyNumberFormat="1" applyFont="1" applyFill="1"/>
    <xf numFmtId="167" fontId="46" fillId="0" borderId="29" xfId="1" applyNumberFormat="1" applyFont="1" applyBorder="1"/>
    <xf numFmtId="167" fontId="46" fillId="0" borderId="0" xfId="1" applyNumberFormat="1" applyFont="1" applyFill="1" applyBorder="1"/>
    <xf numFmtId="165" fontId="4" fillId="4" borderId="37" xfId="0" applyFont="1" applyFill="1" applyBorder="1"/>
    <xf numFmtId="165" fontId="3" fillId="4" borderId="8" xfId="0" applyFont="1" applyFill="1" applyBorder="1"/>
    <xf numFmtId="43" fontId="3" fillId="4" borderId="38" xfId="1" applyFont="1" applyFill="1" applyBorder="1"/>
    <xf numFmtId="43" fontId="3" fillId="4" borderId="11" xfId="1" applyFont="1" applyFill="1" applyBorder="1"/>
    <xf numFmtId="43" fontId="3" fillId="4" borderId="16" xfId="1" applyFont="1" applyFill="1" applyBorder="1"/>
    <xf numFmtId="43" fontId="3" fillId="4" borderId="24" xfId="1" applyFont="1" applyFill="1" applyBorder="1"/>
    <xf numFmtId="43" fontId="3" fillId="4" borderId="44" xfId="1" applyFont="1" applyFill="1" applyBorder="1"/>
    <xf numFmtId="43" fontId="3" fillId="4" borderId="18" xfId="1" applyFont="1" applyFill="1" applyBorder="1"/>
    <xf numFmtId="165" fontId="3" fillId="4" borderId="10" xfId="0" applyFont="1" applyFill="1" applyBorder="1"/>
    <xf numFmtId="165" fontId="3" fillId="4" borderId="7" xfId="0" applyFont="1" applyFill="1" applyBorder="1"/>
    <xf numFmtId="10" fontId="3" fillId="0" borderId="0" xfId="1" applyNumberFormat="1" applyFont="1"/>
    <xf numFmtId="165" fontId="53" fillId="0" borderId="0" xfId="2" applyFont="1" applyAlignment="1" applyProtection="1"/>
    <xf numFmtId="165" fontId="3" fillId="0" borderId="8" xfId="0" applyFont="1" applyBorder="1" applyAlignment="1">
      <alignment horizontal="left"/>
    </xf>
    <xf numFmtId="167" fontId="25" fillId="0" borderId="0" xfId="1" applyNumberFormat="1" applyFont="1" applyBorder="1"/>
    <xf numFmtId="167" fontId="54" fillId="0" borderId="0" xfId="1" applyNumberFormat="1" applyFont="1" applyBorder="1"/>
    <xf numFmtId="41" fontId="41" fillId="0" borderId="0" xfId="0" applyNumberFormat="1" applyFont="1" applyAlignment="1">
      <alignment horizontal="center"/>
    </xf>
    <xf numFmtId="165" fontId="56" fillId="0" borderId="0" xfId="2" applyFont="1" applyAlignment="1" applyProtection="1"/>
    <xf numFmtId="165" fontId="57" fillId="0" borderId="0" xfId="0" applyFont="1"/>
    <xf numFmtId="10" fontId="41" fillId="0" borderId="0" xfId="0" applyNumberFormat="1" applyFont="1" applyAlignment="1">
      <alignment horizontal="left"/>
    </xf>
    <xf numFmtId="41" fontId="41" fillId="4" borderId="0" xfId="0" applyNumberFormat="1" applyFont="1" applyFill="1"/>
    <xf numFmtId="41" fontId="41" fillId="0" borderId="0" xfId="3" applyNumberFormat="1" applyFont="1"/>
    <xf numFmtId="9" fontId="41" fillId="0" borderId="0" xfId="0" applyNumberFormat="1" applyFont="1"/>
    <xf numFmtId="9" fontId="41" fillId="0" borderId="0" xfId="0" applyNumberFormat="1" applyFont="1" applyAlignment="1">
      <alignment horizontal="left"/>
    </xf>
    <xf numFmtId="165" fontId="41" fillId="0" borderId="40" xfId="0" applyFont="1" applyBorder="1"/>
    <xf numFmtId="41" fontId="41" fillId="0" borderId="44" xfId="0" applyNumberFormat="1" applyFont="1" applyBorder="1"/>
    <xf numFmtId="165" fontId="41" fillId="0" borderId="20" xfId="0" applyFont="1" applyBorder="1"/>
    <xf numFmtId="41" fontId="41" fillId="0" borderId="38" xfId="0" applyNumberFormat="1" applyFont="1" applyBorder="1"/>
    <xf numFmtId="41" fontId="41" fillId="0" borderId="18" xfId="0" applyNumberFormat="1" applyFont="1" applyBorder="1"/>
    <xf numFmtId="41" fontId="41" fillId="0" borderId="8" xfId="0" applyNumberFormat="1" applyFont="1" applyBorder="1"/>
    <xf numFmtId="41" fontId="41" fillId="0" borderId="16" xfId="0" applyNumberFormat="1" applyFont="1" applyBorder="1"/>
    <xf numFmtId="165" fontId="41" fillId="0" borderId="7" xfId="0" applyFont="1" applyBorder="1"/>
    <xf numFmtId="41" fontId="41" fillId="0" borderId="33" xfId="0" applyNumberFormat="1" applyFont="1" applyBorder="1"/>
    <xf numFmtId="41" fontId="41" fillId="0" borderId="28" xfId="0" applyNumberFormat="1" applyFont="1" applyBorder="1" applyAlignment="1">
      <alignment horizontal="center"/>
    </xf>
    <xf numFmtId="165" fontId="41" fillId="0" borderId="26" xfId="0" applyFont="1" applyBorder="1"/>
    <xf numFmtId="167" fontId="41" fillId="0" borderId="28" xfId="1" applyNumberFormat="1" applyFont="1" applyBorder="1"/>
    <xf numFmtId="41" fontId="41" fillId="4" borderId="28" xfId="0" applyNumberFormat="1" applyFont="1" applyFill="1" applyBorder="1"/>
    <xf numFmtId="41" fontId="41" fillId="15" borderId="0" xfId="0" applyNumberFormat="1" applyFont="1" applyFill="1" applyAlignment="1">
      <alignment horizontal="center"/>
    </xf>
    <xf numFmtId="14" fontId="41" fillId="15" borderId="0" xfId="0" applyNumberFormat="1" applyFont="1" applyFill="1" applyAlignment="1">
      <alignment horizontal="center"/>
    </xf>
    <xf numFmtId="167" fontId="41" fillId="15" borderId="0" xfId="1" applyNumberFormat="1" applyFont="1" applyFill="1" applyAlignment="1">
      <alignment horizontal="center"/>
    </xf>
    <xf numFmtId="167" fontId="41" fillId="15" borderId="28" xfId="1" applyNumberFormat="1" applyFont="1" applyFill="1" applyBorder="1" applyAlignment="1">
      <alignment horizontal="center"/>
    </xf>
    <xf numFmtId="41" fontId="41" fillId="15" borderId="0" xfId="0" applyNumberFormat="1" applyFont="1" applyFill="1"/>
    <xf numFmtId="41" fontId="41" fillId="15" borderId="26" xfId="0" applyNumberFormat="1" applyFont="1" applyFill="1" applyBorder="1"/>
    <xf numFmtId="41" fontId="41" fillId="15" borderId="0" xfId="3" applyNumberFormat="1" applyFont="1" applyFill="1" applyBorder="1"/>
    <xf numFmtId="165" fontId="41" fillId="15" borderId="0" xfId="0" applyFont="1" applyFill="1"/>
    <xf numFmtId="41" fontId="41" fillId="15" borderId="28" xfId="0" applyNumberFormat="1" applyFont="1" applyFill="1" applyBorder="1"/>
    <xf numFmtId="41" fontId="41" fillId="15" borderId="27" xfId="0" applyNumberFormat="1" applyFont="1" applyFill="1" applyBorder="1"/>
    <xf numFmtId="41" fontId="41" fillId="16" borderId="0" xfId="0" applyNumberFormat="1" applyFont="1" applyFill="1" applyAlignment="1">
      <alignment horizontal="center"/>
    </xf>
    <xf numFmtId="14" fontId="41" fillId="16" borderId="0" xfId="0" applyNumberFormat="1" applyFont="1" applyFill="1" applyAlignment="1">
      <alignment horizontal="center"/>
    </xf>
    <xf numFmtId="167" fontId="41" fillId="16" borderId="0" xfId="1" applyNumberFormat="1" applyFont="1" applyFill="1" applyAlignment="1">
      <alignment horizontal="center"/>
    </xf>
    <xf numFmtId="167" fontId="41" fillId="16" borderId="28" xfId="1" applyNumberFormat="1" applyFont="1" applyFill="1" applyBorder="1" applyAlignment="1">
      <alignment horizontal="center"/>
    </xf>
    <xf numFmtId="41" fontId="41" fillId="16" borderId="0" xfId="0" applyNumberFormat="1" applyFont="1" applyFill="1"/>
    <xf numFmtId="41" fontId="41" fillId="16" borderId="28" xfId="0" applyNumberFormat="1" applyFont="1" applyFill="1" applyBorder="1"/>
    <xf numFmtId="41" fontId="41" fillId="16" borderId="26" xfId="0" applyNumberFormat="1" applyFont="1" applyFill="1" applyBorder="1"/>
    <xf numFmtId="41" fontId="41" fillId="16" borderId="0" xfId="3" applyNumberFormat="1" applyFont="1" applyFill="1" applyBorder="1"/>
    <xf numFmtId="41" fontId="41" fillId="16" borderId="0" xfId="3" applyNumberFormat="1" applyFont="1" applyFill="1"/>
    <xf numFmtId="165" fontId="41" fillId="16" borderId="0" xfId="0" applyFont="1" applyFill="1"/>
    <xf numFmtId="41" fontId="41" fillId="16" borderId="27" xfId="0" applyNumberFormat="1" applyFont="1" applyFill="1" applyBorder="1"/>
    <xf numFmtId="41" fontId="41" fillId="11" borderId="0" xfId="0" applyNumberFormat="1" applyFont="1" applyFill="1"/>
    <xf numFmtId="41" fontId="41" fillId="11" borderId="28" xfId="0" applyNumberFormat="1" applyFont="1" applyFill="1" applyBorder="1"/>
    <xf numFmtId="41" fontId="41" fillId="11" borderId="26" xfId="0" applyNumberFormat="1" applyFont="1" applyFill="1" applyBorder="1"/>
    <xf numFmtId="9" fontId="3" fillId="0" borderId="11" xfId="3" applyFont="1" applyFill="1" applyBorder="1"/>
    <xf numFmtId="43" fontId="41" fillId="0" borderId="11" xfId="1" applyFont="1" applyFill="1" applyBorder="1"/>
    <xf numFmtId="41" fontId="3" fillId="0" borderId="54" xfId="0" applyNumberFormat="1" applyFont="1" applyBorder="1"/>
    <xf numFmtId="43" fontId="3" fillId="8" borderId="18" xfId="1" quotePrefix="1" applyFont="1" applyFill="1" applyBorder="1"/>
    <xf numFmtId="165" fontId="4" fillId="0" borderId="20" xfId="0" applyFont="1" applyBorder="1"/>
    <xf numFmtId="43" fontId="3" fillId="0" borderId="5" xfId="1" applyFont="1" applyBorder="1"/>
    <xf numFmtId="41" fontId="3" fillId="0" borderId="5" xfId="0" applyNumberFormat="1" applyFont="1" applyBorder="1"/>
    <xf numFmtId="41" fontId="3" fillId="8" borderId="40" xfId="0" applyNumberFormat="1" applyFont="1" applyFill="1" applyBorder="1" applyAlignment="1">
      <alignment horizontal="left"/>
    </xf>
    <xf numFmtId="10" fontId="3" fillId="8" borderId="11" xfId="1" applyNumberFormat="1" applyFont="1" applyFill="1" applyBorder="1"/>
    <xf numFmtId="41" fontId="25" fillId="0" borderId="0" xfId="3" applyNumberFormat="1" applyFont="1" applyFill="1" applyBorder="1"/>
    <xf numFmtId="10" fontId="25" fillId="0" borderId="0" xfId="3" applyNumberFormat="1" applyFont="1" applyBorder="1"/>
    <xf numFmtId="41" fontId="0" fillId="4" borderId="28" xfId="0" applyNumberFormat="1" applyFill="1" applyBorder="1"/>
    <xf numFmtId="10" fontId="0" fillId="4" borderId="0" xfId="0" applyNumberFormat="1" applyFill="1"/>
    <xf numFmtId="39" fontId="3" fillId="0" borderId="0" xfId="0" applyNumberFormat="1" applyFont="1"/>
    <xf numFmtId="10" fontId="3" fillId="0" borderId="0" xfId="3" applyNumberFormat="1" applyFont="1"/>
    <xf numFmtId="165" fontId="3" fillId="17" borderId="0" xfId="0" applyFont="1" applyFill="1"/>
    <xf numFmtId="165" fontId="3" fillId="0" borderId="28" xfId="0" applyFont="1" applyBorder="1"/>
    <xf numFmtId="165" fontId="3" fillId="0" borderId="0" xfId="0" quotePrefix="1" applyFont="1"/>
    <xf numFmtId="165" fontId="58" fillId="0" borderId="0" xfId="0" applyFont="1"/>
    <xf numFmtId="165" fontId="3" fillId="0" borderId="40" xfId="0" applyFont="1" applyBorder="1"/>
    <xf numFmtId="165" fontId="3" fillId="0" borderId="26" xfId="0" applyFont="1" applyBorder="1"/>
    <xf numFmtId="165" fontId="3" fillId="0" borderId="44" xfId="0" applyFont="1" applyBorder="1"/>
    <xf numFmtId="165" fontId="3" fillId="0" borderId="20" xfId="0" applyFont="1" applyBorder="1"/>
    <xf numFmtId="165" fontId="3" fillId="0" borderId="33" xfId="0" applyFont="1" applyBorder="1"/>
    <xf numFmtId="167" fontId="3" fillId="4" borderId="67" xfId="1" applyNumberFormat="1" applyFont="1" applyFill="1" applyBorder="1"/>
    <xf numFmtId="41" fontId="3" fillId="18" borderId="0" xfId="0" applyNumberFormat="1" applyFont="1" applyFill="1"/>
    <xf numFmtId="41" fontId="3" fillId="18" borderId="28" xfId="0" applyNumberFormat="1" applyFont="1" applyFill="1" applyBorder="1"/>
    <xf numFmtId="167" fontId="3" fillId="0" borderId="0" xfId="1" applyNumberFormat="1" applyFont="1" applyFill="1"/>
    <xf numFmtId="167" fontId="4" fillId="4" borderId="67" xfId="1" applyNumberFormat="1" applyFont="1" applyFill="1" applyBorder="1"/>
    <xf numFmtId="167" fontId="59" fillId="4" borderId="67" xfId="1" applyNumberFormat="1" applyFont="1" applyFill="1" applyBorder="1"/>
    <xf numFmtId="167" fontId="3" fillId="0" borderId="0" xfId="1" applyNumberFormat="1" applyFont="1" applyBorder="1"/>
    <xf numFmtId="167" fontId="3" fillId="0" borderId="0" xfId="1" applyNumberFormat="1" applyFont="1" applyFill="1" applyBorder="1"/>
    <xf numFmtId="0" fontId="28" fillId="0" borderId="0" xfId="1" applyNumberFormat="1" applyFont="1" applyAlignment="1" applyProtection="1"/>
    <xf numFmtId="0" fontId="5" fillId="0" borderId="0" xfId="1" applyNumberFormat="1" applyFont="1"/>
    <xf numFmtId="0" fontId="3" fillId="0" borderId="0" xfId="1" applyNumberFormat="1" applyFont="1"/>
    <xf numFmtId="0" fontId="4" fillId="0" borderId="1" xfId="1" applyNumberFormat="1" applyFont="1" applyBorder="1"/>
    <xf numFmtId="0" fontId="4" fillId="0" borderId="32" xfId="1" applyNumberFormat="1" applyFont="1" applyBorder="1"/>
    <xf numFmtId="0" fontId="4" fillId="0" borderId="4" xfId="1" applyNumberFormat="1" applyFont="1" applyBorder="1"/>
    <xf numFmtId="0" fontId="3" fillId="0" borderId="6" xfId="1" applyNumberFormat="1" applyFont="1" applyBorder="1"/>
    <xf numFmtId="0" fontId="3" fillId="0" borderId="9" xfId="1" applyNumberFormat="1" applyFont="1" applyBorder="1"/>
    <xf numFmtId="0" fontId="3" fillId="0" borderId="13" xfId="1" applyNumberFormat="1" applyFont="1" applyBorder="1"/>
    <xf numFmtId="0" fontId="3" fillId="0" borderId="0" xfId="1" applyNumberFormat="1" applyFont="1" applyBorder="1"/>
    <xf numFmtId="0" fontId="4" fillId="8" borderId="1" xfId="1" applyNumberFormat="1" applyFont="1" applyFill="1" applyBorder="1"/>
    <xf numFmtId="0" fontId="0" fillId="0" borderId="0" xfId="1" applyNumberFormat="1" applyFont="1"/>
    <xf numFmtId="0" fontId="28" fillId="0" borderId="0" xfId="2" applyNumberFormat="1" applyAlignment="1" applyProtection="1"/>
    <xf numFmtId="0" fontId="5" fillId="0" borderId="0" xfId="0" applyNumberFormat="1" applyFont="1"/>
    <xf numFmtId="0" fontId="3" fillId="0" borderId="0" xfId="0" applyNumberFormat="1" applyFont="1"/>
    <xf numFmtId="0" fontId="4" fillId="0" borderId="1" xfId="0" applyNumberFormat="1" applyFont="1" applyBorder="1"/>
    <xf numFmtId="0" fontId="4" fillId="0" borderId="32" xfId="0" applyNumberFormat="1" applyFont="1" applyBorder="1"/>
    <xf numFmtId="0" fontId="4" fillId="0" borderId="4" xfId="0" applyNumberFormat="1" applyFont="1" applyBorder="1"/>
    <xf numFmtId="0" fontId="4" fillId="0" borderId="6" xfId="0" applyNumberFormat="1" applyFont="1" applyBorder="1" applyAlignment="1">
      <alignment horizontal="center"/>
    </xf>
    <xf numFmtId="0" fontId="3" fillId="0" borderId="9" xfId="0" applyNumberFormat="1" applyFont="1" applyBorder="1"/>
    <xf numFmtId="0" fontId="3" fillId="0" borderId="13" xfId="0" applyNumberFormat="1" applyFont="1" applyBorder="1"/>
    <xf numFmtId="0" fontId="3" fillId="0" borderId="35" xfId="0" applyNumberFormat="1" applyFont="1" applyBorder="1" applyAlignment="1">
      <alignment horizontal="center"/>
    </xf>
    <xf numFmtId="0" fontId="3" fillId="0" borderId="36" xfId="0" applyNumberFormat="1" applyFont="1" applyBorder="1" applyAlignment="1">
      <alignment horizontal="center"/>
    </xf>
    <xf numFmtId="0" fontId="0" fillId="0" borderId="0" xfId="0" applyNumberFormat="1"/>
    <xf numFmtId="0" fontId="3" fillId="0" borderId="0" xfId="0" applyNumberFormat="1" applyFont="1" applyAlignment="1">
      <alignment horizontal="left" indent="5"/>
    </xf>
    <xf numFmtId="0" fontId="18" fillId="0" borderId="0" xfId="0" applyNumberFormat="1" applyFont="1"/>
    <xf numFmtId="0" fontId="3" fillId="0" borderId="20" xfId="0" applyNumberFormat="1" applyFont="1" applyBorder="1" applyAlignment="1">
      <alignment horizontal="center"/>
    </xf>
    <xf numFmtId="0" fontId="3" fillId="0" borderId="10" xfId="0" applyNumberFormat="1" applyFont="1" applyBorder="1"/>
    <xf numFmtId="0" fontId="3" fillId="0" borderId="21" xfId="0" applyNumberFormat="1" applyFont="1" applyBorder="1"/>
    <xf numFmtId="0" fontId="4" fillId="8" borderId="1" xfId="0" applyNumberFormat="1" applyFont="1" applyFill="1" applyBorder="1"/>
    <xf numFmtId="0" fontId="4" fillId="8" borderId="4" xfId="0" applyNumberFormat="1" applyFont="1" applyFill="1" applyBorder="1"/>
    <xf numFmtId="0" fontId="3" fillId="8" borderId="20" xfId="0" applyNumberFormat="1" applyFont="1" applyFill="1" applyBorder="1" applyAlignment="1">
      <alignment horizontal="center"/>
    </xf>
    <xf numFmtId="0" fontId="3" fillId="8" borderId="10" xfId="0" applyNumberFormat="1" applyFont="1" applyFill="1" applyBorder="1"/>
    <xf numFmtId="0" fontId="28" fillId="7" borderId="0" xfId="2" applyNumberFormat="1" applyFill="1" applyAlignment="1" applyProtection="1"/>
    <xf numFmtId="0" fontId="4" fillId="8" borderId="6" xfId="0" applyNumberFormat="1" applyFont="1" applyFill="1" applyBorder="1" applyAlignment="1">
      <alignment horizontal="center"/>
    </xf>
    <xf numFmtId="0" fontId="3" fillId="8" borderId="9" xfId="0" applyNumberFormat="1" applyFont="1" applyFill="1" applyBorder="1"/>
    <xf numFmtId="0" fontId="3" fillId="0" borderId="6" xfId="0" applyNumberFormat="1" applyFont="1" applyBorder="1"/>
    <xf numFmtId="0" fontId="3" fillId="8" borderId="6" xfId="0" applyNumberFormat="1" applyFont="1" applyFill="1" applyBorder="1"/>
    <xf numFmtId="0" fontId="3" fillId="0" borderId="11" xfId="0" applyNumberFormat="1" applyFont="1" applyBorder="1"/>
    <xf numFmtId="0" fontId="3" fillId="0" borderId="66" xfId="0" applyNumberFormat="1" applyFont="1" applyBorder="1"/>
    <xf numFmtId="0" fontId="3" fillId="0" borderId="24" xfId="0" applyNumberFormat="1" applyFont="1" applyBorder="1"/>
    <xf numFmtId="0" fontId="3" fillId="8" borderId="11" xfId="0" applyNumberFormat="1" applyFont="1" applyFill="1" applyBorder="1"/>
    <xf numFmtId="0" fontId="3" fillId="0" borderId="6" xfId="0" applyNumberFormat="1" applyFont="1" applyBorder="1" applyAlignment="1">
      <alignment horizontal="right"/>
    </xf>
    <xf numFmtId="0" fontId="3" fillId="0" borderId="8" xfId="0" applyNumberFormat="1" applyFont="1" applyBorder="1"/>
    <xf numFmtId="0" fontId="35" fillId="0" borderId="0" xfId="0" applyNumberFormat="1" applyFont="1" applyAlignment="1">
      <alignment horizontal="center"/>
    </xf>
    <xf numFmtId="0" fontId="4" fillId="0" borderId="9" xfId="0" applyNumberFormat="1" applyFont="1" applyBorder="1"/>
    <xf numFmtId="0" fontId="3" fillId="4" borderId="9" xfId="0" applyNumberFormat="1" applyFont="1" applyFill="1" applyBorder="1"/>
    <xf numFmtId="0" fontId="3" fillId="4" borderId="6" xfId="0" applyNumberFormat="1" applyFont="1" applyFill="1" applyBorder="1"/>
    <xf numFmtId="0" fontId="3" fillId="0" borderId="39" xfId="0" applyNumberFormat="1" applyFont="1" applyBorder="1"/>
    <xf numFmtId="0" fontId="3" fillId="8" borderId="0" xfId="0" applyNumberFormat="1" applyFont="1" applyFill="1"/>
    <xf numFmtId="0" fontId="32" fillId="0" borderId="0" xfId="0" applyNumberFormat="1" applyFont="1"/>
    <xf numFmtId="0" fontId="27" fillId="0" borderId="0" xfId="0" applyNumberFormat="1" applyFont="1"/>
    <xf numFmtId="0" fontId="31" fillId="0" borderId="0" xfId="0" applyNumberFormat="1" applyFont="1"/>
    <xf numFmtId="0" fontId="24" fillId="0" borderId="0" xfId="0" applyNumberFormat="1" applyFont="1"/>
    <xf numFmtId="0" fontId="25" fillId="0" borderId="0" xfId="0" applyNumberFormat="1" applyFont="1"/>
    <xf numFmtId="0" fontId="2" fillId="0" borderId="0" xfId="0" applyNumberFormat="1" applyFont="1"/>
    <xf numFmtId="0" fontId="3" fillId="0" borderId="0" xfId="0" applyNumberFormat="1" applyFont="1" applyAlignment="1">
      <alignment horizontal="right"/>
    </xf>
    <xf numFmtId="0" fontId="3" fillId="0" borderId="22" xfId="0" applyNumberFormat="1" applyFont="1" applyBorder="1"/>
    <xf numFmtId="0" fontId="39" fillId="0" borderId="0" xfId="0" applyNumberFormat="1" applyFont="1"/>
    <xf numFmtId="0" fontId="3" fillId="0" borderId="32" xfId="0" applyNumberFormat="1" applyFont="1" applyBorder="1"/>
    <xf numFmtId="0" fontId="3" fillId="8" borderId="32" xfId="0" applyNumberFormat="1" applyFont="1" applyFill="1" applyBorder="1"/>
    <xf numFmtId="0" fontId="24" fillId="12" borderId="0" xfId="0" applyNumberFormat="1" applyFont="1" applyFill="1" applyAlignment="1">
      <alignment vertical="center"/>
    </xf>
    <xf numFmtId="0" fontId="18" fillId="0" borderId="0" xfId="0" applyNumberFormat="1" applyFont="1" applyAlignment="1">
      <alignment horizontal="left" indent="1"/>
    </xf>
    <xf numFmtId="0" fontId="27" fillId="0" borderId="0" xfId="0" applyNumberFormat="1" applyFont="1" applyAlignment="1">
      <alignment vertical="center"/>
    </xf>
    <xf numFmtId="0" fontId="3" fillId="0" borderId="35" xfId="0" applyNumberFormat="1" applyFont="1" applyBorder="1"/>
    <xf numFmtId="0" fontId="3" fillId="0" borderId="36" xfId="0" applyNumberFormat="1" applyFont="1" applyBorder="1"/>
    <xf numFmtId="14" fontId="3" fillId="0" borderId="35" xfId="0" applyNumberFormat="1" applyFont="1" applyBorder="1" applyAlignment="1">
      <alignment horizontal="center"/>
    </xf>
    <xf numFmtId="0" fontId="0" fillId="0" borderId="0" xfId="0" applyNumberFormat="1" applyAlignment="1">
      <alignment horizontal="center"/>
    </xf>
    <xf numFmtId="0" fontId="2" fillId="0" borderId="0" xfId="0" applyNumberFormat="1" applyFont="1" applyAlignment="1">
      <alignment horizontal="center"/>
    </xf>
    <xf numFmtId="14" fontId="3" fillId="0" borderId="0" xfId="1" applyNumberFormat="1" applyFont="1" applyFill="1" applyBorder="1"/>
    <xf numFmtId="14" fontId="24" fillId="4" borderId="0" xfId="0" applyNumberFormat="1" applyFont="1" applyFill="1"/>
    <xf numFmtId="14" fontId="24" fillId="0" borderId="0" xfId="0" applyNumberFormat="1" applyFont="1"/>
    <xf numFmtId="41" fontId="0" fillId="0" borderId="11" xfId="0" applyNumberFormat="1" applyBorder="1"/>
    <xf numFmtId="0" fontId="45" fillId="0" borderId="0" xfId="2" applyNumberFormat="1" applyFont="1" applyAlignment="1" applyProtection="1"/>
    <xf numFmtId="0" fontId="46" fillId="0" borderId="0" xfId="0" applyNumberFormat="1" applyFont="1"/>
    <xf numFmtId="0" fontId="45" fillId="0" borderId="0" xfId="2" quotePrefix="1" applyNumberFormat="1" applyFont="1" applyAlignment="1" applyProtection="1"/>
    <xf numFmtId="0" fontId="48" fillId="0" borderId="0" xfId="0" applyNumberFormat="1" applyFont="1"/>
    <xf numFmtId="0" fontId="46" fillId="0" borderId="0" xfId="1" applyNumberFormat="1" applyFont="1"/>
    <xf numFmtId="16" fontId="26" fillId="0" borderId="0" xfId="0" applyNumberFormat="1" applyFont="1"/>
    <xf numFmtId="14" fontId="3" fillId="0" borderId="0" xfId="0" applyNumberFormat="1" applyFont="1" applyAlignment="1">
      <alignment horizontal="left"/>
    </xf>
    <xf numFmtId="14" fontId="3" fillId="0" borderId="0" xfId="0" applyNumberFormat="1" applyFont="1" applyAlignment="1">
      <alignment horizontal="right"/>
    </xf>
    <xf numFmtId="41" fontId="3" fillId="0" borderId="20" xfId="0" applyNumberFormat="1" applyFont="1" applyBorder="1"/>
    <xf numFmtId="0" fontId="0" fillId="0" borderId="0" xfId="0" applyNumberFormat="1" applyAlignment="1">
      <alignment horizontal="right"/>
    </xf>
    <xf numFmtId="41" fontId="43" fillId="0" borderId="0" xfId="0" applyNumberFormat="1" applyFont="1"/>
    <xf numFmtId="41" fontId="43" fillId="0" borderId="0" xfId="1" applyNumberFormat="1" applyFont="1" applyAlignment="1">
      <alignment horizontal="center"/>
    </xf>
    <xf numFmtId="41" fontId="43" fillId="0" borderId="0" xfId="1" applyNumberFormat="1" applyFont="1" applyFill="1" applyAlignment="1">
      <alignment horizontal="center"/>
    </xf>
    <xf numFmtId="41" fontId="43" fillId="0" borderId="0" xfId="0" applyNumberFormat="1" applyFont="1" applyAlignment="1">
      <alignment horizontal="center"/>
    </xf>
    <xf numFmtId="41" fontId="43" fillId="0" borderId="0" xfId="1" applyNumberFormat="1" applyFont="1"/>
    <xf numFmtId="41" fontId="44" fillId="0" borderId="0" xfId="1" applyNumberFormat="1" applyFont="1"/>
    <xf numFmtId="41" fontId="43" fillId="0" borderId="0" xfId="1" applyNumberFormat="1" applyFont="1" applyFill="1"/>
    <xf numFmtId="41" fontId="43" fillId="0" borderId="41" xfId="0" applyNumberFormat="1" applyFont="1" applyBorder="1"/>
    <xf numFmtId="41" fontId="43" fillId="0" borderId="41" xfId="1" applyNumberFormat="1" applyFont="1" applyBorder="1"/>
    <xf numFmtId="41" fontId="43" fillId="0" borderId="41" xfId="1" applyNumberFormat="1" applyFont="1" applyFill="1" applyBorder="1"/>
    <xf numFmtId="169" fontId="0" fillId="0" borderId="0" xfId="0" applyNumberFormat="1"/>
    <xf numFmtId="0" fontId="26" fillId="0" borderId="0" xfId="0" applyNumberFormat="1" applyFont="1"/>
    <xf numFmtId="0" fontId="4" fillId="0" borderId="0" xfId="0" applyNumberFormat="1" applyFont="1"/>
    <xf numFmtId="0" fontId="19" fillId="0" borderId="0" xfId="0" applyNumberFormat="1" applyFont="1"/>
    <xf numFmtId="10" fontId="46" fillId="0" borderId="0" xfId="3" applyNumberFormat="1" applyFont="1"/>
    <xf numFmtId="168" fontId="0" fillId="0" borderId="0" xfId="3" applyNumberFormat="1" applyFont="1"/>
    <xf numFmtId="165" fontId="61" fillId="0" borderId="0" xfId="0" applyFont="1"/>
    <xf numFmtId="165" fontId="62" fillId="0" borderId="0" xfId="0" applyFont="1"/>
    <xf numFmtId="9" fontId="61" fillId="0" borderId="0" xfId="3" applyFont="1"/>
    <xf numFmtId="168" fontId="61" fillId="0" borderId="0" xfId="3" applyNumberFormat="1" applyFont="1"/>
    <xf numFmtId="168" fontId="25" fillId="0" borderId="0" xfId="0" applyNumberFormat="1" applyFont="1"/>
    <xf numFmtId="168" fontId="13" fillId="0" borderId="0" xfId="0" applyNumberFormat="1" applyFont="1"/>
    <xf numFmtId="165" fontId="63" fillId="0" borderId="0" xfId="0" applyFont="1"/>
    <xf numFmtId="41" fontId="44" fillId="0" borderId="0" xfId="1" applyNumberFormat="1" applyFont="1" applyFill="1"/>
    <xf numFmtId="165" fontId="27" fillId="0" borderId="0" xfId="0" applyFont="1"/>
    <xf numFmtId="41" fontId="27" fillId="0" borderId="0" xfId="0" applyNumberFormat="1" applyFont="1"/>
    <xf numFmtId="41" fontId="27" fillId="0" borderId="0" xfId="0" applyNumberFormat="1" applyFont="1" applyAlignment="1">
      <alignment horizontal="center"/>
    </xf>
    <xf numFmtId="165" fontId="27" fillId="0" borderId="0" xfId="0" applyFont="1" applyAlignment="1">
      <alignment horizontal="center"/>
    </xf>
    <xf numFmtId="10" fontId="27" fillId="0" borderId="0" xfId="0" applyNumberFormat="1" applyFont="1"/>
    <xf numFmtId="41" fontId="27" fillId="0" borderId="28" xfId="0" applyNumberFormat="1" applyFont="1" applyBorder="1"/>
    <xf numFmtId="167" fontId="27" fillId="0" borderId="0" xfId="0" applyNumberFormat="1" applyFont="1"/>
    <xf numFmtId="41" fontId="27" fillId="0" borderId="27" xfId="0" applyNumberFormat="1" applyFont="1" applyBorder="1"/>
    <xf numFmtId="168" fontId="27" fillId="0" borderId="0" xfId="0" applyNumberFormat="1" applyFont="1"/>
    <xf numFmtId="165" fontId="25" fillId="4" borderId="0" xfId="0" applyFont="1" applyFill="1" applyAlignment="1">
      <alignment horizontal="right"/>
    </xf>
    <xf numFmtId="14" fontId="3" fillId="0" borderId="0" xfId="1" applyNumberFormat="1" applyFont="1"/>
    <xf numFmtId="41" fontId="4" fillId="0" borderId="18" xfId="1" applyNumberFormat="1" applyFont="1" applyFill="1" applyBorder="1"/>
    <xf numFmtId="0" fontId="60" fillId="0" borderId="0" xfId="1" applyNumberFormat="1" applyFont="1" applyFill="1"/>
    <xf numFmtId="167" fontId="3" fillId="0" borderId="16" xfId="1" applyNumberFormat="1" applyFont="1" applyBorder="1"/>
    <xf numFmtId="0" fontId="0" fillId="0" borderId="0" xfId="0" applyNumberFormat="1" applyAlignment="1">
      <alignment horizontal="center" vertical="center"/>
    </xf>
    <xf numFmtId="0" fontId="2" fillId="0" borderId="38" xfId="0" applyNumberFormat="1" applyFont="1" applyBorder="1" applyAlignment="1">
      <alignment horizontal="center"/>
    </xf>
    <xf numFmtId="0" fontId="29" fillId="0" borderId="0" xfId="0" applyNumberFormat="1" applyFont="1" applyAlignment="1">
      <alignment horizontal="center"/>
    </xf>
    <xf numFmtId="0" fontId="29" fillId="0" borderId="38" xfId="0" applyNumberFormat="1" applyFont="1" applyBorder="1" applyAlignment="1">
      <alignment horizontal="center"/>
    </xf>
    <xf numFmtId="0" fontId="0" fillId="0" borderId="38" xfId="0" applyNumberFormat="1" applyBorder="1" applyAlignment="1">
      <alignment horizontal="center" vertical="center"/>
    </xf>
    <xf numFmtId="165" fontId="0" fillId="4" borderId="0" xfId="0" quotePrefix="1" applyFill="1"/>
    <xf numFmtId="44" fontId="0" fillId="0" borderId="0" xfId="1" applyNumberFormat="1" applyFont="1"/>
    <xf numFmtId="165" fontId="2" fillId="4" borderId="0" xfId="0" applyFont="1" applyFill="1" applyAlignment="1">
      <alignment horizontal="left"/>
    </xf>
    <xf numFmtId="43" fontId="3" fillId="0" borderId="11" xfId="1" quotePrefix="1" applyFont="1" applyFill="1" applyBorder="1"/>
    <xf numFmtId="43" fontId="3" fillId="0" borderId="12" xfId="1" quotePrefix="1" applyFont="1" applyFill="1" applyBorder="1"/>
    <xf numFmtId="43" fontId="4" fillId="0" borderId="40" xfId="1" applyFont="1" applyFill="1" applyBorder="1"/>
    <xf numFmtId="41" fontId="4" fillId="0" borderId="40" xfId="0" applyNumberFormat="1" applyFont="1" applyBorder="1"/>
    <xf numFmtId="41" fontId="4" fillId="0" borderId="18" xfId="0" applyNumberFormat="1" applyFont="1" applyBorder="1"/>
    <xf numFmtId="43" fontId="3" fillId="0" borderId="68" xfId="1" applyFont="1" applyFill="1" applyBorder="1"/>
    <xf numFmtId="41" fontId="3" fillId="0" borderId="68" xfId="0" applyNumberFormat="1" applyFont="1" applyBorder="1"/>
    <xf numFmtId="43" fontId="3" fillId="0" borderId="68" xfId="1" applyFont="1" applyBorder="1"/>
    <xf numFmtId="43" fontId="4" fillId="0" borderId="18" xfId="1" applyFont="1" applyBorder="1"/>
    <xf numFmtId="14" fontId="41" fillId="0" borderId="8" xfId="0" applyNumberFormat="1" applyFont="1" applyBorder="1"/>
    <xf numFmtId="14" fontId="41" fillId="0" borderId="11" xfId="0" applyNumberFormat="1" applyFont="1" applyBorder="1"/>
    <xf numFmtId="14" fontId="41" fillId="5" borderId="11" xfId="0" applyNumberFormat="1" applyFont="1" applyFill="1" applyBorder="1"/>
    <xf numFmtId="14" fontId="41" fillId="5" borderId="8" xfId="0" applyNumberFormat="1" applyFont="1" applyFill="1" applyBorder="1"/>
    <xf numFmtId="14" fontId="41" fillId="0" borderId="16" xfId="0" applyNumberFormat="1" applyFont="1" applyBorder="1"/>
    <xf numFmtId="14" fontId="41" fillId="0" borderId="0" xfId="0" applyNumberFormat="1" applyFont="1"/>
    <xf numFmtId="14" fontId="41" fillId="0" borderId="18" xfId="0" applyNumberFormat="1" applyFont="1" applyBorder="1"/>
    <xf numFmtId="43" fontId="0" fillId="0" borderId="18" xfId="1" applyFont="1" applyBorder="1"/>
    <xf numFmtId="14" fontId="41" fillId="0" borderId="0" xfId="0" applyNumberFormat="1" applyFont="1" applyAlignment="1">
      <alignment horizontal="left"/>
    </xf>
    <xf numFmtId="49" fontId="41" fillId="0" borderId="0" xfId="0" applyNumberFormat="1" applyFont="1"/>
    <xf numFmtId="169" fontId="0" fillId="0" borderId="0" xfId="0" applyNumberFormat="1" applyAlignment="1">
      <alignment horizontal="left"/>
    </xf>
    <xf numFmtId="14" fontId="41" fillId="0" borderId="11" xfId="0" applyNumberFormat="1" applyFont="1" applyBorder="1" applyAlignment="1">
      <alignment horizontal="left"/>
    </xf>
    <xf numFmtId="49" fontId="41" fillId="0" borderId="11" xfId="0" applyNumberFormat="1" applyFont="1" applyBorder="1"/>
    <xf numFmtId="14" fontId="41" fillId="0" borderId="0" xfId="1" applyNumberFormat="1" applyFont="1"/>
    <xf numFmtId="169" fontId="3" fillId="0" borderId="0" xfId="0" applyNumberFormat="1" applyFont="1" applyAlignment="1">
      <alignment horizontal="left"/>
    </xf>
    <xf numFmtId="169" fontId="0" fillId="0" borderId="0" xfId="1" applyNumberFormat="1" applyFont="1" applyAlignment="1">
      <alignment horizontal="left"/>
    </xf>
    <xf numFmtId="169" fontId="3" fillId="0" borderId="0" xfId="1" applyNumberFormat="1" applyFont="1" applyAlignment="1">
      <alignment horizontal="left"/>
    </xf>
    <xf numFmtId="0" fontId="4" fillId="8" borderId="32" xfId="1" applyNumberFormat="1" applyFont="1" applyFill="1" applyBorder="1"/>
    <xf numFmtId="43" fontId="4" fillId="8" borderId="16" xfId="1" applyFont="1" applyFill="1" applyBorder="1" applyAlignment="1">
      <alignment horizontal="center"/>
    </xf>
    <xf numFmtId="0" fontId="3" fillId="8" borderId="11" xfId="1" applyNumberFormat="1" applyFont="1" applyFill="1" applyBorder="1"/>
    <xf numFmtId="165" fontId="3" fillId="8" borderId="38" xfId="0" applyFont="1" applyFill="1" applyBorder="1" applyAlignment="1">
      <alignment horizontal="center"/>
    </xf>
    <xf numFmtId="14" fontId="4" fillId="8" borderId="5" xfId="1" applyNumberFormat="1" applyFont="1" applyFill="1" applyBorder="1" applyAlignment="1">
      <alignment horizontal="center"/>
    </xf>
    <xf numFmtId="167" fontId="3" fillId="8" borderId="0" xfId="1" applyNumberFormat="1" applyFont="1" applyFill="1"/>
    <xf numFmtId="9" fontId="0" fillId="12" borderId="0" xfId="3" applyFont="1" applyFill="1"/>
    <xf numFmtId="168" fontId="0" fillId="12" borderId="0" xfId="3" applyNumberFormat="1" applyFont="1" applyFill="1"/>
    <xf numFmtId="167" fontId="0" fillId="4" borderId="0" xfId="1" applyNumberFormat="1" applyFont="1" applyFill="1"/>
    <xf numFmtId="167" fontId="3" fillId="0" borderId="16" xfId="1" applyNumberFormat="1" applyFont="1" applyFill="1" applyBorder="1"/>
    <xf numFmtId="43" fontId="43" fillId="0" borderId="11" xfId="1" applyFont="1" applyBorder="1"/>
    <xf numFmtId="43" fontId="41" fillId="0" borderId="0" xfId="1" applyFont="1"/>
    <xf numFmtId="14" fontId="56" fillId="0" borderId="0" xfId="2" applyNumberFormat="1" applyFont="1" applyAlignment="1" applyProtection="1"/>
    <xf numFmtId="0" fontId="41" fillId="0" borderId="0" xfId="0" applyNumberFormat="1" applyFont="1"/>
    <xf numFmtId="16" fontId="41" fillId="0" borderId="0" xfId="0" applyNumberFormat="1" applyFont="1"/>
    <xf numFmtId="10" fontId="41" fillId="0" borderId="0" xfId="0" applyNumberFormat="1" applyFont="1"/>
    <xf numFmtId="14" fontId="41" fillId="0" borderId="0" xfId="0" applyNumberFormat="1" applyFont="1" applyAlignment="1">
      <alignment horizontal="right"/>
    </xf>
    <xf numFmtId="41" fontId="41" fillId="0" borderId="0" xfId="1" applyNumberFormat="1" applyFont="1" applyBorder="1"/>
    <xf numFmtId="41" fontId="0" fillId="0" borderId="0" xfId="1" applyNumberFormat="1" applyFont="1" applyFill="1"/>
    <xf numFmtId="167" fontId="0" fillId="0" borderId="28" xfId="1" applyNumberFormat="1" applyFont="1" applyFill="1" applyBorder="1"/>
    <xf numFmtId="41" fontId="65" fillId="0" borderId="0" xfId="0" applyNumberFormat="1" applyFont="1"/>
    <xf numFmtId="10" fontId="0" fillId="0" borderId="26" xfId="0" applyNumberFormat="1" applyBorder="1"/>
    <xf numFmtId="10" fontId="0" fillId="0" borderId="28" xfId="0" applyNumberFormat="1" applyBorder="1"/>
    <xf numFmtId="41" fontId="0" fillId="0" borderId="24" xfId="0" applyNumberFormat="1" applyBorder="1"/>
    <xf numFmtId="41" fontId="0" fillId="0" borderId="38" xfId="0" applyNumberFormat="1" applyBorder="1"/>
    <xf numFmtId="41" fontId="0" fillId="0" borderId="33" xfId="0" applyNumberFormat="1" applyBorder="1"/>
    <xf numFmtId="10" fontId="0" fillId="0" borderId="33" xfId="3" applyNumberFormat="1" applyFont="1" applyBorder="1"/>
    <xf numFmtId="41" fontId="3" fillId="0" borderId="69" xfId="0" applyNumberFormat="1" applyFont="1" applyBorder="1"/>
    <xf numFmtId="43" fontId="3" fillId="0" borderId="69" xfId="1" applyFont="1" applyBorder="1"/>
    <xf numFmtId="167" fontId="0" fillId="0" borderId="0" xfId="1" applyNumberFormat="1" applyFont="1" applyFill="1"/>
    <xf numFmtId="167" fontId="34" fillId="0" borderId="0" xfId="1" applyNumberFormat="1" applyFont="1" applyBorder="1" applyAlignment="1" applyProtection="1"/>
    <xf numFmtId="167" fontId="34" fillId="0" borderId="0" xfId="1" applyNumberFormat="1" applyFont="1"/>
    <xf numFmtId="43" fontId="34" fillId="0" borderId="0" xfId="1" applyFont="1" applyBorder="1" applyAlignment="1" applyProtection="1"/>
    <xf numFmtId="4" fontId="66" fillId="0" borderId="0" xfId="0" applyNumberFormat="1" applyFont="1"/>
    <xf numFmtId="165" fontId="67" fillId="0" borderId="0" xfId="0" applyFont="1"/>
    <xf numFmtId="10" fontId="27" fillId="0" borderId="27" xfId="0" applyNumberFormat="1" applyFont="1" applyBorder="1"/>
    <xf numFmtId="10" fontId="27" fillId="0" borderId="28" xfId="0" applyNumberFormat="1" applyFont="1" applyBorder="1"/>
    <xf numFmtId="41" fontId="41" fillId="0" borderId="11" xfId="0" applyNumberFormat="1" applyFont="1" applyBorder="1"/>
    <xf numFmtId="43" fontId="41" fillId="0" borderId="11" xfId="1" applyFont="1" applyBorder="1"/>
    <xf numFmtId="165" fontId="41" fillId="0" borderId="11" xfId="0" applyFont="1" applyBorder="1"/>
    <xf numFmtId="43" fontId="41" fillId="0" borderId="18" xfId="1" applyFont="1" applyBorder="1"/>
    <xf numFmtId="43" fontId="41" fillId="0" borderId="0" xfId="0" applyNumberFormat="1" applyFont="1"/>
    <xf numFmtId="170" fontId="41" fillId="0" borderId="0" xfId="0" applyNumberFormat="1" applyFont="1"/>
    <xf numFmtId="170" fontId="41" fillId="15" borderId="0" xfId="0" applyNumberFormat="1" applyFont="1" applyFill="1"/>
    <xf numFmtId="165" fontId="34" fillId="20" borderId="20" xfId="0" applyFont="1" applyFill="1" applyBorder="1" applyAlignment="1">
      <alignment horizontal="left"/>
    </xf>
    <xf numFmtId="164" fontId="34" fillId="20" borderId="10" xfId="0" applyNumberFormat="1" applyFont="1" applyFill="1" applyBorder="1"/>
    <xf numFmtId="165" fontId="34" fillId="20" borderId="10" xfId="0" applyFont="1" applyFill="1" applyBorder="1"/>
    <xf numFmtId="165" fontId="34" fillId="20" borderId="11" xfId="0" applyFont="1" applyFill="1" applyBorder="1"/>
    <xf numFmtId="167" fontId="25" fillId="0" borderId="0" xfId="1" applyNumberFormat="1" applyFont="1"/>
    <xf numFmtId="43" fontId="46" fillId="0" borderId="0" xfId="1" applyFont="1"/>
    <xf numFmtId="171" fontId="46" fillId="0" borderId="0" xfId="1" applyNumberFormat="1" applyFont="1"/>
    <xf numFmtId="43" fontId="46" fillId="0" borderId="0" xfId="1" applyFont="1" applyFill="1" applyBorder="1"/>
    <xf numFmtId="174" fontId="0" fillId="0" borderId="0" xfId="3" applyNumberFormat="1" applyFont="1"/>
    <xf numFmtId="41" fontId="0" fillId="0" borderId="0" xfId="3" applyNumberFormat="1" applyFont="1"/>
    <xf numFmtId="172" fontId="46" fillId="0" borderId="0" xfId="3" applyNumberFormat="1" applyFont="1" applyBorder="1"/>
    <xf numFmtId="43" fontId="46" fillId="0" borderId="0" xfId="1" applyFont="1" applyBorder="1"/>
    <xf numFmtId="173" fontId="46" fillId="0" borderId="0" xfId="1" applyNumberFormat="1" applyFont="1" applyBorder="1"/>
    <xf numFmtId="171" fontId="46" fillId="0" borderId="0" xfId="1" applyNumberFormat="1" applyFont="1" applyBorder="1"/>
    <xf numFmtId="167" fontId="50" fillId="0" borderId="0" xfId="1" applyNumberFormat="1" applyFont="1" applyFill="1" applyBorder="1"/>
    <xf numFmtId="165" fontId="46" fillId="0" borderId="0" xfId="0" applyFont="1" applyAlignment="1">
      <alignment horizontal="left" vertical="center" wrapText="1"/>
    </xf>
    <xf numFmtId="165" fontId="0" fillId="0" borderId="0" xfId="0" applyAlignment="1">
      <alignment vertical="center"/>
    </xf>
    <xf numFmtId="167" fontId="69" fillId="0" borderId="0" xfId="1" applyNumberFormat="1" applyFont="1" applyFill="1" applyBorder="1" applyAlignment="1">
      <alignment vertical="center"/>
    </xf>
    <xf numFmtId="41" fontId="46" fillId="0" borderId="0" xfId="1" applyNumberFormat="1" applyFont="1" applyFill="1" applyAlignment="1">
      <alignment vertical="center"/>
    </xf>
    <xf numFmtId="41" fontId="46" fillId="0" borderId="0" xfId="1" applyNumberFormat="1" applyFont="1" applyFill="1" applyBorder="1" applyAlignment="1">
      <alignment vertical="center"/>
    </xf>
    <xf numFmtId="41" fontId="69" fillId="0" borderId="0" xfId="0" applyNumberFormat="1" applyFont="1" applyAlignment="1">
      <alignment vertical="center"/>
    </xf>
    <xf numFmtId="165" fontId="68" fillId="0" borderId="0" xfId="4" applyFont="1"/>
    <xf numFmtId="165" fontId="61" fillId="0" borderId="0" xfId="4" applyFont="1"/>
    <xf numFmtId="43" fontId="61" fillId="0" borderId="0" xfId="1" applyFont="1"/>
    <xf numFmtId="171" fontId="61" fillId="0" borderId="0" xfId="1" applyNumberFormat="1" applyFont="1"/>
    <xf numFmtId="165" fontId="70" fillId="0" borderId="0" xfId="4" applyFont="1"/>
    <xf numFmtId="41" fontId="61" fillId="0" borderId="40" xfId="4" applyNumberFormat="1" applyFont="1" applyBorder="1"/>
    <xf numFmtId="41" fontId="61" fillId="0" borderId="26" xfId="1" applyNumberFormat="1" applyFont="1" applyFill="1" applyBorder="1"/>
    <xf numFmtId="41" fontId="61" fillId="0" borderId="26" xfId="4" applyNumberFormat="1" applyFont="1" applyBorder="1"/>
    <xf numFmtId="41" fontId="61" fillId="0" borderId="44" xfId="4" applyNumberFormat="1" applyFont="1" applyBorder="1"/>
    <xf numFmtId="41" fontId="61" fillId="0" borderId="20" xfId="4" applyNumberFormat="1" applyFont="1" applyBorder="1"/>
    <xf numFmtId="41" fontId="61" fillId="0" borderId="0" xfId="1" applyNumberFormat="1" applyFont="1" applyFill="1" applyBorder="1"/>
    <xf numFmtId="41" fontId="61" fillId="0" borderId="0" xfId="4" applyNumberFormat="1" applyFont="1"/>
    <xf numFmtId="41" fontId="61" fillId="0" borderId="38" xfId="4" applyNumberFormat="1" applyFont="1" applyBorder="1"/>
    <xf numFmtId="41" fontId="61" fillId="0" borderId="7" xfId="4" applyNumberFormat="1" applyFont="1" applyBorder="1"/>
    <xf numFmtId="41" fontId="61" fillId="0" borderId="28" xfId="1" applyNumberFormat="1" applyFont="1" applyFill="1" applyBorder="1"/>
    <xf numFmtId="41" fontId="61" fillId="0" borderId="33" xfId="4" applyNumberFormat="1" applyFont="1" applyBorder="1"/>
    <xf numFmtId="165" fontId="70" fillId="0" borderId="40" xfId="4" applyFont="1" applyBorder="1"/>
    <xf numFmtId="165" fontId="61" fillId="0" borderId="26" xfId="4" applyFont="1" applyBorder="1"/>
    <xf numFmtId="43" fontId="61" fillId="0" borderId="26" xfId="1" applyFont="1" applyBorder="1"/>
    <xf numFmtId="171" fontId="61" fillId="0" borderId="44" xfId="1" applyNumberFormat="1" applyFont="1" applyBorder="1"/>
    <xf numFmtId="165" fontId="70" fillId="0" borderId="20" xfId="4" applyFont="1" applyBorder="1"/>
    <xf numFmtId="43" fontId="61" fillId="0" borderId="0" xfId="1" applyFont="1" applyBorder="1"/>
    <xf numFmtId="171" fontId="61" fillId="0" borderId="38" xfId="1" applyNumberFormat="1" applyFont="1" applyBorder="1"/>
    <xf numFmtId="165" fontId="61" fillId="0" borderId="20" xfId="4" applyFont="1" applyBorder="1"/>
    <xf numFmtId="168" fontId="61" fillId="0" borderId="0" xfId="3" applyNumberFormat="1" applyFont="1" applyBorder="1"/>
    <xf numFmtId="43" fontId="61" fillId="0" borderId="38" xfId="1" applyFont="1" applyBorder="1"/>
    <xf numFmtId="173" fontId="61" fillId="4" borderId="38" xfId="1" applyNumberFormat="1" applyFont="1" applyFill="1" applyBorder="1"/>
    <xf numFmtId="173" fontId="61" fillId="0" borderId="38" xfId="1" applyNumberFormat="1" applyFont="1" applyBorder="1"/>
    <xf numFmtId="165" fontId="61" fillId="0" borderId="38" xfId="4" applyFont="1" applyBorder="1"/>
    <xf numFmtId="165" fontId="61" fillId="0" borderId="0" xfId="4" applyFont="1" applyAlignment="1">
      <alignment horizontal="center"/>
    </xf>
    <xf numFmtId="165" fontId="61" fillId="0" borderId="0" xfId="4" quotePrefix="1" applyFont="1" applyAlignment="1">
      <alignment horizontal="center"/>
    </xf>
    <xf numFmtId="165" fontId="61" fillId="0" borderId="28" xfId="4" applyFont="1" applyBorder="1"/>
    <xf numFmtId="173" fontId="61" fillId="4" borderId="28" xfId="1" applyNumberFormat="1" applyFont="1" applyFill="1" applyBorder="1"/>
    <xf numFmtId="165" fontId="61" fillId="12" borderId="7" xfId="4" applyFont="1" applyFill="1" applyBorder="1" applyAlignment="1">
      <alignment horizontal="left"/>
    </xf>
    <xf numFmtId="43" fontId="61" fillId="12" borderId="0" xfId="1" applyFont="1" applyFill="1" applyBorder="1"/>
    <xf numFmtId="165" fontId="70" fillId="0" borderId="38" xfId="4" applyFont="1" applyBorder="1" applyAlignment="1">
      <alignment horizontal="center"/>
    </xf>
    <xf numFmtId="170" fontId="70" fillId="0" borderId="33" xfId="4" applyNumberFormat="1" applyFont="1" applyBorder="1"/>
    <xf numFmtId="165" fontId="4" fillId="8" borderId="63" xfId="0" applyFont="1" applyFill="1" applyBorder="1" applyAlignment="1">
      <alignment horizontal="center"/>
    </xf>
    <xf numFmtId="41" fontId="3" fillId="8" borderId="28" xfId="0" applyNumberFormat="1" applyFont="1" applyFill="1" applyBorder="1"/>
    <xf numFmtId="41" fontId="4" fillId="8" borderId="28" xfId="0" applyNumberFormat="1" applyFont="1" applyFill="1" applyBorder="1"/>
    <xf numFmtId="165" fontId="4" fillId="8" borderId="0" xfId="0" applyFont="1" applyFill="1" applyAlignment="1">
      <alignment horizontal="center"/>
    </xf>
    <xf numFmtId="41" fontId="3" fillId="8" borderId="41" xfId="0" applyNumberFormat="1" applyFont="1" applyFill="1" applyBorder="1" applyAlignment="1">
      <alignment horizontal="left"/>
    </xf>
    <xf numFmtId="41" fontId="3" fillId="8" borderId="41" xfId="0" quotePrefix="1" applyNumberFormat="1" applyFont="1" applyFill="1" applyBorder="1" applyAlignment="1">
      <alignment horizontal="left"/>
    </xf>
    <xf numFmtId="41" fontId="3" fillId="8" borderId="26" xfId="0" applyNumberFormat="1" applyFont="1" applyFill="1" applyBorder="1" applyAlignment="1">
      <alignment horizontal="left"/>
    </xf>
    <xf numFmtId="165" fontId="34" fillId="20" borderId="0" xfId="0" applyFont="1" applyFill="1" applyAlignment="1">
      <alignment horizontal="left"/>
    </xf>
    <xf numFmtId="164" fontId="34" fillId="20" borderId="41" xfId="0" applyNumberFormat="1" applyFont="1" applyFill="1" applyBorder="1"/>
    <xf numFmtId="165" fontId="34" fillId="20" borderId="41" xfId="0" applyFont="1" applyFill="1" applyBorder="1"/>
    <xf numFmtId="165" fontId="34" fillId="20" borderId="26" xfId="0" applyFont="1" applyFill="1" applyBorder="1"/>
    <xf numFmtId="41" fontId="3" fillId="8" borderId="26" xfId="0" applyNumberFormat="1" applyFont="1" applyFill="1" applyBorder="1"/>
    <xf numFmtId="41" fontId="3" fillId="8" borderId="45" xfId="0" applyNumberFormat="1" applyFont="1" applyFill="1" applyBorder="1"/>
    <xf numFmtId="165" fontId="68" fillId="0" borderId="0" xfId="0" applyFont="1" applyAlignment="1">
      <alignment vertical="center"/>
    </xf>
    <xf numFmtId="167" fontId="68" fillId="0" borderId="0" xfId="1" applyNumberFormat="1" applyFont="1" applyFill="1" applyBorder="1" applyAlignment="1">
      <alignment horizontal="center" vertical="center"/>
    </xf>
    <xf numFmtId="167" fontId="68" fillId="0" borderId="0" xfId="1" applyNumberFormat="1" applyFont="1" applyFill="1" applyBorder="1" applyAlignment="1">
      <alignment vertical="center"/>
    </xf>
    <xf numFmtId="14" fontId="41" fillId="4" borderId="0" xfId="0" applyNumberFormat="1" applyFont="1" applyFill="1"/>
    <xf numFmtId="165" fontId="46" fillId="0" borderId="0" xfId="0" applyFont="1" applyAlignment="1">
      <alignment vertical="center"/>
    </xf>
    <xf numFmtId="165" fontId="68" fillId="0" borderId="0" xfId="0" applyFont="1" applyAlignment="1">
      <alignment horizontal="center" vertical="center"/>
    </xf>
    <xf numFmtId="165" fontId="69" fillId="0" borderId="0" xfId="0" applyFont="1" applyAlignment="1">
      <alignment horizontal="right" vertical="center"/>
    </xf>
    <xf numFmtId="165" fontId="69" fillId="0" borderId="0" xfId="0" applyFont="1" applyAlignment="1">
      <alignment vertical="center"/>
    </xf>
    <xf numFmtId="14" fontId="25" fillId="0" borderId="20" xfId="0" applyNumberFormat="1" applyFont="1" applyBorder="1"/>
    <xf numFmtId="165" fontId="64" fillId="0" borderId="0" xfId="0" applyFont="1"/>
    <xf numFmtId="167" fontId="3" fillId="19" borderId="0" xfId="1" applyNumberFormat="1" applyFont="1" applyFill="1"/>
    <xf numFmtId="167" fontId="3" fillId="19" borderId="0" xfId="1" applyNumberFormat="1" applyFont="1" applyFill="1" applyBorder="1"/>
    <xf numFmtId="167" fontId="26" fillId="19" borderId="0" xfId="1" applyNumberFormat="1" applyFont="1" applyFill="1" applyBorder="1"/>
    <xf numFmtId="0" fontId="0" fillId="0" borderId="28" xfId="0" applyNumberFormat="1" applyBorder="1" applyAlignment="1">
      <alignment horizontal="center"/>
    </xf>
    <xf numFmtId="165" fontId="46" fillId="0" borderId="0" xfId="0" applyFont="1" applyAlignment="1">
      <alignment wrapText="1"/>
    </xf>
    <xf numFmtId="165" fontId="46" fillId="0" borderId="0" xfId="0" applyFont="1" applyAlignment="1">
      <alignment vertical="center" wrapText="1"/>
    </xf>
    <xf numFmtId="165" fontId="71" fillId="0" borderId="0" xfId="0" applyFont="1"/>
    <xf numFmtId="165" fontId="72" fillId="0" borderId="0" xfId="0" applyFont="1"/>
    <xf numFmtId="10" fontId="71" fillId="0" borderId="0" xfId="0" applyNumberFormat="1" applyFont="1" applyAlignment="1">
      <alignment horizontal="left"/>
    </xf>
    <xf numFmtId="41" fontId="71" fillId="0" borderId="0" xfId="0" applyNumberFormat="1" applyFont="1"/>
    <xf numFmtId="41" fontId="73" fillId="0" borderId="0" xfId="0" applyNumberFormat="1" applyFont="1"/>
    <xf numFmtId="41" fontId="71" fillId="0" borderId="0" xfId="0" applyNumberFormat="1" applyFont="1" applyAlignment="1">
      <alignment horizontal="center"/>
    </xf>
    <xf numFmtId="41" fontId="74" fillId="0" borderId="0" xfId="0" applyNumberFormat="1" applyFont="1"/>
    <xf numFmtId="165" fontId="75" fillId="0" borderId="0" xfId="0" applyFont="1"/>
    <xf numFmtId="41" fontId="75" fillId="0" borderId="45" xfId="0" applyNumberFormat="1" applyFont="1" applyBorder="1"/>
    <xf numFmtId="14" fontId="4" fillId="0" borderId="20" xfId="0" applyNumberFormat="1" applyFont="1" applyBorder="1" applyAlignment="1">
      <alignment horizontal="center"/>
    </xf>
    <xf numFmtId="165" fontId="25" fillId="0" borderId="28" xfId="1" applyNumberFormat="1" applyFont="1" applyFill="1" applyBorder="1"/>
    <xf numFmtId="16" fontId="41" fillId="4" borderId="0" xfId="0" applyNumberFormat="1" applyFont="1" applyFill="1"/>
    <xf numFmtId="10" fontId="43" fillId="0" borderId="0" xfId="3" applyNumberFormat="1" applyFont="1"/>
    <xf numFmtId="43" fontId="3" fillId="4" borderId="8" xfId="1" applyFont="1" applyFill="1" applyBorder="1"/>
    <xf numFmtId="167" fontId="41" fillId="0" borderId="11" xfId="1" applyNumberFormat="1" applyFont="1" applyBorder="1"/>
    <xf numFmtId="9" fontId="0" fillId="0" borderId="26" xfId="3" applyFont="1" applyFill="1" applyBorder="1"/>
    <xf numFmtId="43" fontId="0" fillId="21" borderId="0" xfId="1" applyFont="1" applyFill="1"/>
    <xf numFmtId="41" fontId="3" fillId="4" borderId="8" xfId="0" applyNumberFormat="1" applyFont="1" applyFill="1" applyBorder="1"/>
    <xf numFmtId="43" fontId="4" fillId="0" borderId="11" xfId="1" applyFont="1" applyFill="1" applyBorder="1"/>
    <xf numFmtId="43" fontId="43" fillId="0" borderId="11" xfId="1" applyFont="1" applyFill="1" applyBorder="1"/>
    <xf numFmtId="41" fontId="4" fillId="4" borderId="0" xfId="0" applyNumberFormat="1" applyFont="1" applyFill="1"/>
    <xf numFmtId="165" fontId="77" fillId="0" borderId="0" xfId="0" applyFont="1"/>
    <xf numFmtId="165" fontId="77" fillId="0" borderId="11" xfId="0" applyFont="1" applyBorder="1"/>
    <xf numFmtId="165" fontId="51" fillId="0" borderId="0" xfId="0" applyFont="1"/>
    <xf numFmtId="167" fontId="46" fillId="0" borderId="0" xfId="0" applyNumberFormat="1" applyFont="1"/>
    <xf numFmtId="41" fontId="25" fillId="0" borderId="40" xfId="0" applyNumberFormat="1" applyFont="1" applyBorder="1"/>
    <xf numFmtId="41" fontId="25" fillId="0" borderId="7" xfId="0" applyNumberFormat="1" applyFont="1" applyBorder="1"/>
    <xf numFmtId="41" fontId="25" fillId="0" borderId="20" xfId="0" applyNumberFormat="1" applyFont="1" applyBorder="1"/>
    <xf numFmtId="165" fontId="25" fillId="0" borderId="0" xfId="0" applyFont="1" applyAlignment="1">
      <alignment horizontal="center"/>
    </xf>
    <xf numFmtId="165" fontId="52" fillId="0" borderId="0" xfId="0" applyFont="1"/>
    <xf numFmtId="167" fontId="25" fillId="0" borderId="0" xfId="0" applyNumberFormat="1" applyFont="1"/>
    <xf numFmtId="41" fontId="54" fillId="0" borderId="0" xfId="0" applyNumberFormat="1" applyFont="1"/>
    <xf numFmtId="168" fontId="25" fillId="0" borderId="0" xfId="3" applyNumberFormat="1" applyFont="1" applyBorder="1"/>
    <xf numFmtId="167" fontId="46" fillId="8" borderId="0" xfId="1" applyNumberFormat="1" applyFont="1" applyFill="1"/>
    <xf numFmtId="165" fontId="46" fillId="8" borderId="0" xfId="0" applyFont="1" applyFill="1"/>
    <xf numFmtId="165" fontId="3" fillId="12" borderId="0" xfId="0" applyFont="1" applyFill="1"/>
    <xf numFmtId="41" fontId="3" fillId="12" borderId="18" xfId="0" applyNumberFormat="1" applyFont="1" applyFill="1" applyBorder="1"/>
    <xf numFmtId="43" fontId="0" fillId="0" borderId="0" xfId="1" applyFont="1" applyAlignment="1"/>
    <xf numFmtId="14" fontId="0" fillId="0" borderId="0" xfId="0" applyNumberFormat="1" applyAlignment="1">
      <alignment horizontal="left"/>
    </xf>
    <xf numFmtId="0" fontId="0" fillId="0" borderId="0" xfId="0" applyNumberFormat="1" applyAlignment="1">
      <alignment horizontal="left"/>
    </xf>
    <xf numFmtId="167" fontId="3" fillId="0" borderId="16" xfId="1" applyNumberFormat="1" applyFont="1" applyBorder="1" applyAlignment="1">
      <alignment horizontal="center"/>
    </xf>
    <xf numFmtId="43" fontId="2" fillId="0" borderId="0" xfId="1" applyFont="1" applyBorder="1"/>
    <xf numFmtId="43" fontId="2" fillId="8" borderId="0" xfId="1" applyFont="1" applyFill="1"/>
    <xf numFmtId="14" fontId="2" fillId="0" borderId="11" xfId="0" applyNumberFormat="1" applyFont="1" applyBorder="1"/>
    <xf numFmtId="14" fontId="2" fillId="5" borderId="11" xfId="0" applyNumberFormat="1" applyFont="1" applyFill="1" applyBorder="1"/>
    <xf numFmtId="14" fontId="2" fillId="5" borderId="8" xfId="0" applyNumberFormat="1" applyFont="1" applyFill="1" applyBorder="1"/>
    <xf numFmtId="43" fontId="2" fillId="0" borderId="18" xfId="1" applyFont="1" applyBorder="1"/>
    <xf numFmtId="43" fontId="2" fillId="0" borderId="11" xfId="1" applyFont="1" applyBorder="1"/>
    <xf numFmtId="43" fontId="2" fillId="0" borderId="0" xfId="1" applyFont="1" applyFill="1" applyBorder="1"/>
    <xf numFmtId="41" fontId="2" fillId="0" borderId="12" xfId="1" applyNumberFormat="1" applyFont="1" applyBorder="1"/>
    <xf numFmtId="43" fontId="2" fillId="4" borderId="0" xfId="1" applyFont="1" applyFill="1"/>
    <xf numFmtId="43" fontId="2" fillId="0" borderId="0" xfId="0" applyNumberFormat="1" applyFont="1"/>
    <xf numFmtId="43" fontId="2" fillId="8" borderId="11" xfId="1" applyFont="1" applyFill="1" applyBorder="1"/>
    <xf numFmtId="43" fontId="2" fillId="0" borderId="11" xfId="1" applyFont="1" applyFill="1" applyBorder="1"/>
    <xf numFmtId="43" fontId="1" fillId="0" borderId="0" xfId="1" applyFont="1" applyFill="1" applyBorder="1"/>
    <xf numFmtId="43" fontId="1" fillId="0" borderId="28" xfId="1" applyFont="1" applyFill="1" applyBorder="1"/>
    <xf numFmtId="165" fontId="2" fillId="3" borderId="0" xfId="0" applyFont="1" applyFill="1" applyAlignment="1">
      <alignment horizontal="center"/>
    </xf>
    <xf numFmtId="165" fontId="2" fillId="3" borderId="58" xfId="0" applyFont="1" applyFill="1" applyBorder="1"/>
    <xf numFmtId="43" fontId="43" fillId="4" borderId="11" xfId="1" applyFont="1" applyFill="1" applyBorder="1"/>
    <xf numFmtId="14" fontId="41" fillId="0" borderId="0" xfId="1" applyNumberFormat="1" applyFont="1" applyFill="1"/>
    <xf numFmtId="43" fontId="4" fillId="0" borderId="11" xfId="1" applyFont="1" applyFill="1" applyBorder="1" applyAlignment="1">
      <alignment horizontal="center"/>
    </xf>
    <xf numFmtId="41" fontId="3" fillId="4" borderId="12" xfId="0" applyNumberFormat="1" applyFont="1" applyFill="1" applyBorder="1"/>
    <xf numFmtId="14" fontId="3" fillId="4" borderId="11" xfId="0" applyNumberFormat="1" applyFont="1" applyFill="1" applyBorder="1"/>
    <xf numFmtId="43" fontId="3" fillId="4" borderId="8" xfId="0" applyNumberFormat="1" applyFont="1" applyFill="1" applyBorder="1"/>
    <xf numFmtId="41" fontId="3" fillId="4" borderId="10" xfId="0" applyNumberFormat="1" applyFont="1" applyFill="1" applyBorder="1"/>
    <xf numFmtId="0" fontId="3" fillId="4" borderId="11" xfId="0" applyNumberFormat="1" applyFont="1" applyFill="1" applyBorder="1"/>
    <xf numFmtId="165" fontId="76" fillId="0" borderId="0" xfId="0" applyFont="1"/>
    <xf numFmtId="167" fontId="41" fillId="0" borderId="0" xfId="1" applyNumberFormat="1" applyFont="1" applyFill="1"/>
    <xf numFmtId="43" fontId="34" fillId="0" borderId="16" xfId="1" applyFont="1" applyBorder="1"/>
    <xf numFmtId="165" fontId="0" fillId="0" borderId="0" xfId="0" quotePrefix="1"/>
    <xf numFmtId="167" fontId="4" fillId="0" borderId="0" xfId="1" applyNumberFormat="1" applyFont="1"/>
    <xf numFmtId="10" fontId="4" fillId="0" borderId="0" xfId="3" applyNumberFormat="1" applyFont="1"/>
    <xf numFmtId="41" fontId="0" fillId="4" borderId="0" xfId="0" applyNumberFormat="1" applyFill="1"/>
    <xf numFmtId="43" fontId="25" fillId="0" borderId="0" xfId="1" quotePrefix="1" applyFont="1" applyFill="1" applyBorder="1"/>
    <xf numFmtId="43" fontId="25" fillId="4" borderId="0" xfId="1" applyFont="1" applyFill="1" applyBorder="1"/>
    <xf numFmtId="41" fontId="25" fillId="4" borderId="0" xfId="0" applyNumberFormat="1" applyFont="1" applyFill="1"/>
    <xf numFmtId="165" fontId="4" fillId="4" borderId="2" xfId="0" applyFont="1" applyFill="1" applyBorder="1"/>
    <xf numFmtId="41" fontId="3" fillId="4" borderId="8" xfId="1" applyNumberFormat="1" applyFont="1" applyFill="1" applyBorder="1"/>
    <xf numFmtId="165" fontId="25" fillId="4" borderId="0" xfId="0" applyFont="1" applyFill="1"/>
    <xf numFmtId="165" fontId="51" fillId="4" borderId="0" xfId="0" applyFont="1" applyFill="1"/>
    <xf numFmtId="41" fontId="3" fillId="12" borderId="11" xfId="0" applyNumberFormat="1" applyFont="1" applyFill="1" applyBorder="1"/>
    <xf numFmtId="10" fontId="25" fillId="0" borderId="0" xfId="0" applyNumberFormat="1" applyFont="1" applyAlignment="1">
      <alignment horizontal="center"/>
    </xf>
    <xf numFmtId="16" fontId="0" fillId="12" borderId="0" xfId="0" applyNumberFormat="1" applyFill="1"/>
    <xf numFmtId="43" fontId="3" fillId="4" borderId="12" xfId="1" applyFont="1" applyFill="1" applyBorder="1"/>
    <xf numFmtId="43" fontId="3" fillId="4" borderId="45" xfId="1" applyFont="1" applyFill="1" applyBorder="1"/>
    <xf numFmtId="165" fontId="78" fillId="0" borderId="0" xfId="0" applyFont="1" applyAlignment="1">
      <alignment horizontal="left" vertical="center" indent="2"/>
    </xf>
    <xf numFmtId="165" fontId="36" fillId="0" borderId="0" xfId="0" applyFont="1"/>
    <xf numFmtId="49" fontId="36" fillId="0" borderId="0" xfId="0" applyNumberFormat="1" applyFont="1"/>
    <xf numFmtId="16" fontId="3" fillId="0" borderId="0" xfId="1" quotePrefix="1" applyNumberFormat="1" applyFont="1" applyFill="1"/>
    <xf numFmtId="41" fontId="46" fillId="4" borderId="0" xfId="0" applyNumberFormat="1" applyFont="1" applyFill="1"/>
    <xf numFmtId="41" fontId="44" fillId="4" borderId="0" xfId="1" applyNumberFormat="1" applyFont="1" applyFill="1"/>
    <xf numFmtId="10" fontId="3" fillId="8" borderId="28" xfId="1" applyNumberFormat="1" applyFont="1" applyFill="1" applyBorder="1"/>
    <xf numFmtId="41" fontId="4" fillId="8" borderId="40" xfId="0" applyNumberFormat="1" applyFont="1" applyFill="1" applyBorder="1" applyAlignment="1">
      <alignment horizontal="center"/>
    </xf>
    <xf numFmtId="41" fontId="4" fillId="8" borderId="26" xfId="0" applyNumberFormat="1" applyFont="1" applyFill="1" applyBorder="1" applyAlignment="1">
      <alignment horizontal="center"/>
    </xf>
    <xf numFmtId="41" fontId="4" fillId="8" borderId="44" xfId="0" applyNumberFormat="1" applyFont="1" applyFill="1" applyBorder="1" applyAlignment="1">
      <alignment horizontal="center"/>
    </xf>
    <xf numFmtId="41" fontId="3" fillId="8" borderId="7" xfId="0" quotePrefix="1" applyNumberFormat="1" applyFont="1" applyFill="1" applyBorder="1" applyAlignment="1">
      <alignment horizontal="left"/>
    </xf>
    <xf numFmtId="41" fontId="3" fillId="8" borderId="28" xfId="0" quotePrefix="1" applyNumberFormat="1" applyFont="1" applyFill="1" applyBorder="1" applyAlignment="1">
      <alignment horizontal="left"/>
    </xf>
    <xf numFmtId="41" fontId="3" fillId="8" borderId="33" xfId="0" quotePrefix="1" applyNumberFormat="1" applyFont="1" applyFill="1" applyBorder="1"/>
    <xf numFmtId="41" fontId="3" fillId="8" borderId="0" xfId="0" applyNumberFormat="1" applyFont="1" applyFill="1" applyAlignment="1">
      <alignment horizontal="left"/>
    </xf>
    <xf numFmtId="41" fontId="3" fillId="8" borderId="0" xfId="0" quotePrefix="1" applyNumberFormat="1" applyFont="1" applyFill="1" applyAlignment="1">
      <alignment horizontal="left"/>
    </xf>
    <xf numFmtId="41" fontId="3" fillId="8" borderId="20" xfId="0" applyNumberFormat="1" applyFont="1" applyFill="1" applyBorder="1" applyAlignment="1">
      <alignment horizontal="left"/>
    </xf>
    <xf numFmtId="41" fontId="3" fillId="8" borderId="38" xfId="0" applyNumberFormat="1" applyFont="1" applyFill="1" applyBorder="1"/>
    <xf numFmtId="41" fontId="3" fillId="8" borderId="20" xfId="0" quotePrefix="1" applyNumberFormat="1" applyFont="1" applyFill="1" applyBorder="1" applyAlignment="1">
      <alignment horizontal="left"/>
    </xf>
    <xf numFmtId="41" fontId="3" fillId="8" borderId="38" xfId="0" quotePrefix="1" applyNumberFormat="1" applyFont="1" applyFill="1" applyBorder="1"/>
    <xf numFmtId="167" fontId="25" fillId="0" borderId="0" xfId="1" applyNumberFormat="1" applyFont="1" applyFill="1" applyBorder="1"/>
    <xf numFmtId="165" fontId="24" fillId="9" borderId="0" xfId="0" applyFont="1" applyFill="1"/>
    <xf numFmtId="43" fontId="24" fillId="9" borderId="0" xfId="1" applyFont="1" applyFill="1"/>
    <xf numFmtId="9" fontId="25" fillId="0" borderId="0" xfId="3" applyFont="1"/>
    <xf numFmtId="0" fontId="3" fillId="0" borderId="66" xfId="0" applyNumberFormat="1" applyFont="1" applyBorder="1" applyAlignment="1">
      <alignment horizontal="center"/>
    </xf>
    <xf numFmtId="165" fontId="0" fillId="0" borderId="16" xfId="0" applyBorder="1"/>
    <xf numFmtId="43" fontId="3" fillId="0" borderId="66" xfId="1" applyFont="1" applyBorder="1" applyAlignment="1">
      <alignment horizontal="center"/>
    </xf>
    <xf numFmtId="43" fontId="3" fillId="0" borderId="20" xfId="1" applyFont="1" applyBorder="1" applyAlignment="1">
      <alignment horizontal="center"/>
    </xf>
    <xf numFmtId="165" fontId="3" fillId="0" borderId="38" xfId="0" applyFont="1" applyBorder="1" applyAlignment="1">
      <alignment horizontal="center"/>
    </xf>
    <xf numFmtId="0" fontId="8" fillId="4" borderId="0" xfId="0" applyNumberFormat="1" applyFont="1" applyFill="1"/>
    <xf numFmtId="165" fontId="4" fillId="4" borderId="0" xfId="0" applyFont="1" applyFill="1"/>
    <xf numFmtId="165" fontId="24" fillId="0" borderId="0" xfId="0" applyFont="1" applyAlignment="1">
      <alignment horizontal="left" vertical="center" wrapText="1"/>
    </xf>
    <xf numFmtId="165" fontId="14" fillId="0" borderId="28" xfId="0" applyFont="1" applyBorder="1" applyAlignment="1">
      <alignment horizontal="center"/>
    </xf>
    <xf numFmtId="165" fontId="14" fillId="4" borderId="0" xfId="0" applyFont="1" applyFill="1" applyAlignment="1">
      <alignment horizontal="center"/>
    </xf>
    <xf numFmtId="165" fontId="47" fillId="0" borderId="0" xfId="0" applyFont="1" applyAlignment="1">
      <alignment horizontal="center" vertical="center"/>
    </xf>
    <xf numFmtId="165" fontId="68" fillId="0" borderId="0" xfId="0" applyFont="1" applyAlignment="1">
      <alignment horizontal="center" vertical="center"/>
    </xf>
    <xf numFmtId="43" fontId="34" fillId="20" borderId="10" xfId="1" applyFont="1" applyFill="1" applyBorder="1" applyAlignment="1" applyProtection="1">
      <alignment horizontal="left"/>
    </xf>
    <xf numFmtId="43" fontId="34" fillId="20" borderId="41" xfId="1" applyFont="1" applyFill="1" applyBorder="1" applyAlignment="1" applyProtection="1">
      <alignment horizontal="left"/>
    </xf>
    <xf numFmtId="43" fontId="34" fillId="20" borderId="24" xfId="1" applyFont="1" applyFill="1" applyBorder="1" applyAlignment="1" applyProtection="1">
      <alignment horizontal="left"/>
    </xf>
    <xf numFmtId="165" fontId="14" fillId="0" borderId="0" xfId="0" applyFont="1" applyAlignment="1">
      <alignment horizontal="center"/>
    </xf>
    <xf numFmtId="165" fontId="21" fillId="0" borderId="28" xfId="0" applyFont="1" applyBorder="1" applyAlignment="1">
      <alignment horizontal="center"/>
    </xf>
    <xf numFmtId="165" fontId="21" fillId="0" borderId="0" xfId="0" applyFont="1" applyAlignment="1">
      <alignment horizontal="center"/>
    </xf>
    <xf numFmtId="165" fontId="3" fillId="0" borderId="0" xfId="0" applyFont="1" applyAlignment="1">
      <alignment horizontal="center"/>
    </xf>
    <xf numFmtId="0" fontId="27" fillId="0" borderId="0" xfId="0" applyNumberFormat="1" applyFont="1" applyAlignment="1">
      <alignment horizontal="center"/>
    </xf>
    <xf numFmtId="165" fontId="0" fillId="0" borderId="40" xfId="0" applyBorder="1" applyAlignment="1">
      <alignment horizontal="center"/>
    </xf>
    <xf numFmtId="165" fontId="0" fillId="0" borderId="44" xfId="0" applyBorder="1" applyAlignment="1">
      <alignment horizontal="center"/>
    </xf>
    <xf numFmtId="165" fontId="2" fillId="0" borderId="10" xfId="0" applyFont="1" applyBorder="1" applyAlignment="1">
      <alignment horizontal="center"/>
    </xf>
    <xf numFmtId="165" fontId="0" fillId="0" borderId="41" xfId="0" applyBorder="1" applyAlignment="1">
      <alignment horizontal="center"/>
    </xf>
    <xf numFmtId="165" fontId="0" fillId="0" borderId="24" xfId="0" applyBorder="1" applyAlignment="1">
      <alignment horizontal="center"/>
    </xf>
  </cellXfs>
  <cellStyles count="6">
    <cellStyle name="Comma" xfId="1" builtinId="3"/>
    <cellStyle name="Comma 2" xfId="5" xr:uid="{00000000-0005-0000-0000-000001000000}"/>
    <cellStyle name="Hyperlink" xfId="2" builtinId="8"/>
    <cellStyle name="Normal" xfId="0" builtinId="0"/>
    <cellStyle name="Normal 2 2" xfId="4" xr:uid="{00000000-0005-0000-0000-000004000000}"/>
    <cellStyle name="Percent" xfId="3" builtinId="5"/>
  </cellStyles>
  <dxfs count="0"/>
  <tableStyles count="0" defaultTableStyle="TableStyleMedium9" defaultPivotStyle="PivotStyleLight16"/>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89"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88"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'Pie Charts'!$A$3:$A$9</c:f>
              <c:strCache>
                <c:ptCount val="7"/>
                <c:pt idx="0">
                  <c:v>Tax Levy</c:v>
                </c:pt>
                <c:pt idx="1">
                  <c:v>State Aid</c:v>
                </c:pt>
                <c:pt idx="2">
                  <c:v>Local Receipts</c:v>
                </c:pt>
                <c:pt idx="3">
                  <c:v>Sewer Fees</c:v>
                </c:pt>
                <c:pt idx="4">
                  <c:v>Airport Fees</c:v>
                </c:pt>
                <c:pt idx="6">
                  <c:v>Reserves &amp; Other</c:v>
                </c:pt>
              </c:strCache>
            </c:strRef>
          </c:cat>
          <c:val>
            <c:numRef>
              <c:f>'Pie Charts'!$B$3:$B$9</c:f>
              <c:numCache>
                <c:formatCode>_(* #,##0_);_(* \(#,##0\);_(* "-"_);_(@_)</c:formatCode>
                <c:ptCount val="7"/>
                <c:pt idx="0">
                  <c:v>21570869</c:v>
                </c:pt>
                <c:pt idx="1">
                  <c:v>1914986</c:v>
                </c:pt>
                <c:pt idx="2">
                  <c:v>2027000</c:v>
                </c:pt>
                <c:pt idx="3">
                  <c:v>2719305</c:v>
                </c:pt>
                <c:pt idx="4">
                  <c:v>426965</c:v>
                </c:pt>
                <c:pt idx="6">
                  <c:v>1267713</c:v>
                </c:pt>
              </c:numCache>
            </c:numRef>
          </c:val>
          <c:extLst>
            <c:ext xmlns:c16="http://schemas.microsoft.com/office/drawing/2014/chart" uri="{C3380CC4-5D6E-409C-BE32-E72D297353CC}">
              <c16:uniqueId val="{00000000-81A2-429B-9F17-208A4A465131}"/>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7.7410979877515315E-2"/>
                  <c:y val="-0.14079102260001586"/>
                </c:manualLayout>
              </c:layout>
              <c:tx>
                <c:rich>
                  <a:bodyPr/>
                  <a:lstStyle/>
                  <a:p>
                    <a:r>
                      <a:rPr lang="en-US"/>
                      <a:t>Tax Levy:  18,306,119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59E-433B-B2C5-06CEC48434BF}"/>
                </c:ext>
              </c:extLst>
            </c:dLbl>
            <c:dLbl>
              <c:idx val="1"/>
              <c:layout>
                <c:manualLayout>
                  <c:x val="-1.2994094488188977E-2"/>
                  <c:y val="2.9562769493946581E-2"/>
                </c:manualLayout>
              </c:layout>
              <c:tx>
                <c:rich>
                  <a:bodyPr/>
                  <a:lstStyle/>
                  <a:p>
                    <a:r>
                      <a:rPr lang="en-US"/>
                      <a:t>State Aid:  1,715,218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59E-433B-B2C5-06CEC48434BF}"/>
                </c:ext>
              </c:extLst>
            </c:dLbl>
            <c:dLbl>
              <c:idx val="2"/>
              <c:tx>
                <c:rich>
                  <a:bodyPr/>
                  <a:lstStyle/>
                  <a:p>
                    <a:r>
                      <a:rPr lang="en-US"/>
                      <a:t>Local Receipts:  1,636,076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59E-433B-B2C5-06CEC48434BF}"/>
                </c:ext>
              </c:extLst>
            </c:dLbl>
            <c:dLbl>
              <c:idx val="3"/>
              <c:layout>
                <c:manualLayout>
                  <c:x val="-8.0434164479440077E-3"/>
                  <c:y val="3.1859805832091495E-3"/>
                </c:manualLayout>
              </c:layout>
              <c:tx>
                <c:rich>
                  <a:bodyPr/>
                  <a:lstStyle/>
                  <a:p>
                    <a:r>
                      <a:rPr lang="en-US"/>
                      <a:t>Sewer Fees:  2,230,727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59E-433B-B2C5-06CEC48434BF}"/>
                </c:ext>
              </c:extLst>
            </c:dLbl>
            <c:dLbl>
              <c:idx val="4"/>
              <c:tx>
                <c:rich>
                  <a:bodyPr/>
                  <a:lstStyle/>
                  <a:p>
                    <a:r>
                      <a:rPr lang="en-US"/>
                      <a:t>Airport Fees:  46,984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59E-433B-B2C5-06CEC48434BF}"/>
                </c:ext>
              </c:extLst>
            </c:dLbl>
            <c:dLbl>
              <c:idx val="5"/>
              <c:tx>
                <c:rich>
                  <a:bodyPr/>
                  <a:lstStyle/>
                  <a:p>
                    <a:r>
                      <a:rPr lang="en-US"/>
                      <a:t>Reserves &amp; Other: 565,444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59E-433B-B2C5-06CEC48434BF}"/>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'Pie Charts'!$A$3:$A$9</c:f>
              <c:strCache>
                <c:ptCount val="7"/>
                <c:pt idx="0">
                  <c:v>Tax Levy</c:v>
                </c:pt>
                <c:pt idx="1">
                  <c:v>State Aid</c:v>
                </c:pt>
                <c:pt idx="2">
                  <c:v>Local Receipts</c:v>
                </c:pt>
                <c:pt idx="3">
                  <c:v>Sewer Fees</c:v>
                </c:pt>
                <c:pt idx="4">
                  <c:v>Airport Fees</c:v>
                </c:pt>
                <c:pt idx="6">
                  <c:v>Reserves &amp; Other</c:v>
                </c:pt>
              </c:strCache>
            </c:strRef>
          </c:cat>
          <c:val>
            <c:numRef>
              <c:f>'Pie Charts'!$B$3:$B$9</c:f>
              <c:numCache>
                <c:formatCode>_(* #,##0_);_(* \(#,##0\);_(* "-"_);_(@_)</c:formatCode>
                <c:ptCount val="7"/>
                <c:pt idx="0">
                  <c:v>21570869</c:v>
                </c:pt>
                <c:pt idx="1">
                  <c:v>1914986</c:v>
                </c:pt>
                <c:pt idx="2">
                  <c:v>2027000</c:v>
                </c:pt>
                <c:pt idx="3">
                  <c:v>2719305</c:v>
                </c:pt>
                <c:pt idx="4">
                  <c:v>426965</c:v>
                </c:pt>
                <c:pt idx="6">
                  <c:v>1267713</c:v>
                </c:pt>
              </c:numCache>
            </c:numRef>
          </c:val>
          <c:extLst>
            <c:ext xmlns:c16="http://schemas.microsoft.com/office/drawing/2014/chart" uri="{C3380CC4-5D6E-409C-BE32-E72D297353CC}">
              <c16:uniqueId val="{00000006-A59E-433B-B2C5-06CEC48434BF}"/>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'Pie Charts'!$A$52:$A$60</c:f>
              <c:strCache>
                <c:ptCount val="9"/>
                <c:pt idx="0">
                  <c:v>General Gov</c:v>
                </c:pt>
                <c:pt idx="1">
                  <c:v>Public Safety</c:v>
                </c:pt>
                <c:pt idx="2">
                  <c:v>Public Works</c:v>
                </c:pt>
                <c:pt idx="3">
                  <c:v>Human Services</c:v>
                </c:pt>
                <c:pt idx="4">
                  <c:v>Culture/Rec</c:v>
                </c:pt>
                <c:pt idx="5">
                  <c:v>Debt</c:v>
                </c:pt>
                <c:pt idx="6">
                  <c:v>Intergovt</c:v>
                </c:pt>
                <c:pt idx="7">
                  <c:v>Benefits</c:v>
                </c:pt>
                <c:pt idx="8">
                  <c:v>Miscellaneous</c:v>
                </c:pt>
              </c:strCache>
            </c:strRef>
          </c:cat>
          <c:val>
            <c:numRef>
              <c:f>'Pie Charts'!$B$52:$B$60</c:f>
              <c:numCache>
                <c:formatCode>_(* #,##0_);_(* \(#,##0\);_(* "-"_);_(@_)</c:formatCode>
                <c:ptCount val="9"/>
                <c:pt idx="0">
                  <c:v>1680319</c:v>
                </c:pt>
                <c:pt idx="1">
                  <c:v>2650917</c:v>
                </c:pt>
                <c:pt idx="2">
                  <c:v>2774507</c:v>
                </c:pt>
                <c:pt idx="3">
                  <c:v>310537</c:v>
                </c:pt>
                <c:pt idx="4">
                  <c:v>666139</c:v>
                </c:pt>
                <c:pt idx="5">
                  <c:v>1154319</c:v>
                </c:pt>
                <c:pt idx="6">
                  <c:v>113924</c:v>
                </c:pt>
                <c:pt idx="7">
                  <c:v>2490334</c:v>
                </c:pt>
                <c:pt idx="8">
                  <c:v>120600</c:v>
                </c:pt>
              </c:numCache>
            </c:numRef>
          </c:val>
          <c:extLst>
            <c:ext xmlns:c16="http://schemas.microsoft.com/office/drawing/2014/chart" uri="{C3380CC4-5D6E-409C-BE32-E72D297353CC}">
              <c16:uniqueId val="{00000000-CAC7-4E26-AB90-7698D7C05E39}"/>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'Pie Charts'!$A$25:$A$30</c:f>
              <c:strCache>
                <c:ptCount val="6"/>
                <c:pt idx="0">
                  <c:v>Town</c:v>
                </c:pt>
                <c:pt idx="1">
                  <c:v>WPCF</c:v>
                </c:pt>
                <c:pt idx="2">
                  <c:v>Airport</c:v>
                </c:pt>
                <c:pt idx="3">
                  <c:v>Special Articles</c:v>
                </c:pt>
                <c:pt idx="4">
                  <c:v>GMRSD</c:v>
                </c:pt>
                <c:pt idx="5">
                  <c:v>FCTS</c:v>
                </c:pt>
              </c:strCache>
            </c:strRef>
          </c:cat>
          <c:val>
            <c:numRef>
              <c:f>'Pie Charts'!$B$25:$B$30</c:f>
              <c:numCache>
                <c:formatCode>_(* #,##0_);_(* \(#,##0\);_(* "-"_);_(@_)</c:formatCode>
                <c:ptCount val="6"/>
                <c:pt idx="0">
                  <c:v>11961596</c:v>
                </c:pt>
                <c:pt idx="1">
                  <c:v>3006124</c:v>
                </c:pt>
                <c:pt idx="2">
                  <c:v>426965</c:v>
                </c:pt>
                <c:pt idx="3">
                  <c:v>1398085</c:v>
                </c:pt>
                <c:pt idx="4">
                  <c:v>11809191</c:v>
                </c:pt>
                <c:pt idx="5">
                  <c:v>1053018</c:v>
                </c:pt>
              </c:numCache>
            </c:numRef>
          </c:val>
          <c:extLst>
            <c:ext xmlns:c16="http://schemas.microsoft.com/office/drawing/2014/chart" uri="{C3380CC4-5D6E-409C-BE32-E72D297353CC}">
              <c16:uniqueId val="{00000000-A1F2-48FD-829E-E9B3FA867F3E}"/>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219075</xdr:colOff>
      <xdr:row>3</xdr:row>
      <xdr:rowOff>152400</xdr:rowOff>
    </xdr:from>
    <xdr:to>
      <xdr:col>10</xdr:col>
      <xdr:colOff>523875</xdr:colOff>
      <xdr:row>21</xdr:row>
      <xdr:rowOff>142875</xdr:rowOff>
    </xdr:to>
    <xdr:graphicFrame macro="">
      <xdr:nvGraphicFramePr>
        <xdr:cNvPr id="4" name="Chart 3">
          <a:extLst>
            <a:ext uri="{FF2B5EF4-FFF2-40B4-BE49-F238E27FC236}">
              <a16:creationId xmlns:a16="http://schemas.microsoft.com/office/drawing/2014/main" id="{00000000-0008-0000-4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323849</xdr:colOff>
      <xdr:row>1</xdr:row>
      <xdr:rowOff>57150</xdr:rowOff>
    </xdr:from>
    <xdr:to>
      <xdr:col>19</xdr:col>
      <xdr:colOff>369568</xdr:colOff>
      <xdr:row>1</xdr:row>
      <xdr:rowOff>114301</xdr:rowOff>
    </xdr:to>
    <xdr:graphicFrame macro="">
      <xdr:nvGraphicFramePr>
        <xdr:cNvPr id="9" name="Chart 8">
          <a:extLst>
            <a:ext uri="{FF2B5EF4-FFF2-40B4-BE49-F238E27FC236}">
              <a16:creationId xmlns:a16="http://schemas.microsoft.com/office/drawing/2014/main" id="{00000000-0008-0000-4D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257175</xdr:colOff>
      <xdr:row>49</xdr:row>
      <xdr:rowOff>85725</xdr:rowOff>
    </xdr:from>
    <xdr:to>
      <xdr:col>10</xdr:col>
      <xdr:colOff>9525</xdr:colOff>
      <xdr:row>75</xdr:row>
      <xdr:rowOff>28575</xdr:rowOff>
    </xdr:to>
    <xdr:graphicFrame macro="">
      <xdr:nvGraphicFramePr>
        <xdr:cNvPr id="3" name="Chart 2">
          <a:extLst>
            <a:ext uri="{FF2B5EF4-FFF2-40B4-BE49-F238E27FC236}">
              <a16:creationId xmlns:a16="http://schemas.microsoft.com/office/drawing/2014/main" id="{00000000-0008-0000-4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314325</xdr:colOff>
      <xdr:row>23</xdr:row>
      <xdr:rowOff>142875</xdr:rowOff>
    </xdr:from>
    <xdr:to>
      <xdr:col>10</xdr:col>
      <xdr:colOff>66675</xdr:colOff>
      <xdr:row>45</xdr:row>
      <xdr:rowOff>47625</xdr:rowOff>
    </xdr:to>
    <xdr:graphicFrame macro="">
      <xdr:nvGraphicFramePr>
        <xdr:cNvPr id="7" name="Chart 6">
          <a:extLst>
            <a:ext uri="{FF2B5EF4-FFF2-40B4-BE49-F238E27FC236}">
              <a16:creationId xmlns:a16="http://schemas.microsoft.com/office/drawing/2014/main" id="{00000000-0008-0000-4D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51"/>
  <sheetViews>
    <sheetView workbookViewId="0"/>
  </sheetViews>
  <sheetFormatPr defaultRowHeight="12.75" x14ac:dyDescent="0.2"/>
  <cols>
    <col min="1" max="1" width="40.33203125" customWidth="1"/>
    <col min="2" max="2" width="24" customWidth="1"/>
    <col min="3" max="3" width="30.33203125" customWidth="1"/>
  </cols>
  <sheetData>
    <row r="1" spans="1:3" ht="18.75" x14ac:dyDescent="0.3">
      <c r="A1" s="245" t="s">
        <v>0</v>
      </c>
    </row>
    <row r="2" spans="1:3" ht="18.75" x14ac:dyDescent="0.3">
      <c r="A2" s="245" t="s">
        <v>1</v>
      </c>
      <c r="B2" s="245" t="s">
        <v>2</v>
      </c>
      <c r="C2" s="245" t="s">
        <v>3</v>
      </c>
    </row>
    <row r="3" spans="1:3" x14ac:dyDescent="0.2">
      <c r="A3" s="308" t="s">
        <v>4</v>
      </c>
      <c r="B3" s="308" t="s">
        <v>5</v>
      </c>
      <c r="C3" s="308" t="s">
        <v>6</v>
      </c>
    </row>
    <row r="4" spans="1:3" x14ac:dyDescent="0.2">
      <c r="A4" s="308" t="s">
        <v>7</v>
      </c>
      <c r="B4" s="308" t="s">
        <v>8</v>
      </c>
      <c r="C4" s="308" t="s">
        <v>9</v>
      </c>
    </row>
    <row r="5" spans="1:3" x14ac:dyDescent="0.2">
      <c r="A5" s="308" t="s">
        <v>10</v>
      </c>
      <c r="C5" s="308" t="s">
        <v>11</v>
      </c>
    </row>
    <row r="6" spans="1:3" x14ac:dyDescent="0.2">
      <c r="A6" s="308" t="s">
        <v>12</v>
      </c>
      <c r="C6" s="308" t="s">
        <v>13</v>
      </c>
    </row>
    <row r="7" spans="1:3" x14ac:dyDescent="0.2">
      <c r="C7" s="308" t="s">
        <v>14</v>
      </c>
    </row>
    <row r="8" spans="1:3" ht="18.75" x14ac:dyDescent="0.3">
      <c r="A8" s="245" t="s">
        <v>15</v>
      </c>
      <c r="C8" s="308" t="s">
        <v>16</v>
      </c>
    </row>
    <row r="9" spans="1:3" x14ac:dyDescent="0.2">
      <c r="A9" s="308" t="s">
        <v>17</v>
      </c>
      <c r="C9" s="308" t="s">
        <v>18</v>
      </c>
    </row>
    <row r="10" spans="1:3" x14ac:dyDescent="0.2">
      <c r="A10" s="308" t="s">
        <v>19</v>
      </c>
      <c r="C10" s="308" t="s">
        <v>20</v>
      </c>
    </row>
    <row r="11" spans="1:3" x14ac:dyDescent="0.2">
      <c r="A11" s="308" t="s">
        <v>21</v>
      </c>
      <c r="C11" s="308" t="s">
        <v>22</v>
      </c>
    </row>
    <row r="12" spans="1:3" x14ac:dyDescent="0.2">
      <c r="A12" s="308" t="s">
        <v>23</v>
      </c>
      <c r="C12" s="308" t="s">
        <v>24</v>
      </c>
    </row>
    <row r="13" spans="1:3" x14ac:dyDescent="0.2">
      <c r="A13" s="308" t="s">
        <v>25</v>
      </c>
      <c r="C13" s="308" t="s">
        <v>26</v>
      </c>
    </row>
    <row r="14" spans="1:3" x14ac:dyDescent="0.2">
      <c r="A14" s="308" t="s">
        <v>27</v>
      </c>
      <c r="C14" s="308" t="s">
        <v>28</v>
      </c>
    </row>
    <row r="15" spans="1:3" x14ac:dyDescent="0.2">
      <c r="A15" s="308" t="s">
        <v>29</v>
      </c>
      <c r="C15" s="308" t="s">
        <v>30</v>
      </c>
    </row>
    <row r="16" spans="1:3" x14ac:dyDescent="0.2">
      <c r="A16" s="308" t="s">
        <v>31</v>
      </c>
      <c r="C16" s="308" t="s">
        <v>32</v>
      </c>
    </row>
    <row r="17" spans="1:3" x14ac:dyDescent="0.2">
      <c r="A17" s="308" t="s">
        <v>33</v>
      </c>
      <c r="C17" s="308" t="s">
        <v>34</v>
      </c>
    </row>
    <row r="18" spans="1:3" x14ac:dyDescent="0.2">
      <c r="C18" s="308" t="s">
        <v>35</v>
      </c>
    </row>
    <row r="19" spans="1:3" ht="18.75" x14ac:dyDescent="0.3">
      <c r="A19" s="245" t="s">
        <v>36</v>
      </c>
      <c r="C19" s="308" t="s">
        <v>37</v>
      </c>
    </row>
    <row r="20" spans="1:3" x14ac:dyDescent="0.2">
      <c r="C20" s="308" t="s">
        <v>38</v>
      </c>
    </row>
    <row r="21" spans="1:3" x14ac:dyDescent="0.2">
      <c r="A21" s="308" t="s">
        <v>39</v>
      </c>
      <c r="C21" s="308" t="s">
        <v>40</v>
      </c>
    </row>
    <row r="22" spans="1:3" x14ac:dyDescent="0.2">
      <c r="A22" s="308" t="s">
        <v>41</v>
      </c>
      <c r="C22" s="308" t="s">
        <v>42</v>
      </c>
    </row>
    <row r="23" spans="1:3" x14ac:dyDescent="0.2">
      <c r="A23" s="308" t="s">
        <v>43</v>
      </c>
      <c r="C23" s="308" t="s">
        <v>44</v>
      </c>
    </row>
    <row r="24" spans="1:3" x14ac:dyDescent="0.2">
      <c r="A24" s="308" t="s">
        <v>45</v>
      </c>
      <c r="C24" s="308" t="s">
        <v>46</v>
      </c>
    </row>
    <row r="25" spans="1:3" x14ac:dyDescent="0.2">
      <c r="A25" s="308" t="s">
        <v>47</v>
      </c>
      <c r="C25" s="308" t="s">
        <v>48</v>
      </c>
    </row>
    <row r="26" spans="1:3" x14ac:dyDescent="0.2">
      <c r="C26" s="308" t="s">
        <v>49</v>
      </c>
    </row>
    <row r="27" spans="1:3" x14ac:dyDescent="0.2">
      <c r="C27" s="308" t="s">
        <v>50</v>
      </c>
    </row>
    <row r="28" spans="1:3" x14ac:dyDescent="0.2">
      <c r="C28" s="308" t="s">
        <v>51</v>
      </c>
    </row>
    <row r="29" spans="1:3" x14ac:dyDescent="0.2">
      <c r="C29" s="308" t="s">
        <v>52</v>
      </c>
    </row>
    <row r="30" spans="1:3" x14ac:dyDescent="0.2">
      <c r="C30" s="308" t="s">
        <v>53</v>
      </c>
    </row>
    <row r="31" spans="1:3" x14ac:dyDescent="0.2">
      <c r="C31" s="308" t="s">
        <v>54</v>
      </c>
    </row>
    <row r="32" spans="1:3" x14ac:dyDescent="0.2">
      <c r="C32" s="308" t="s">
        <v>55</v>
      </c>
    </row>
    <row r="33" spans="3:3" x14ac:dyDescent="0.2">
      <c r="C33" s="308" t="s">
        <v>56</v>
      </c>
    </row>
    <row r="34" spans="3:3" x14ac:dyDescent="0.2">
      <c r="C34" s="308" t="s">
        <v>57</v>
      </c>
    </row>
    <row r="35" spans="3:3" x14ac:dyDescent="0.2">
      <c r="C35" s="308" t="s">
        <v>58</v>
      </c>
    </row>
    <row r="36" spans="3:3" x14ac:dyDescent="0.2">
      <c r="C36" s="308" t="s">
        <v>59</v>
      </c>
    </row>
    <row r="37" spans="3:3" x14ac:dyDescent="0.2">
      <c r="C37" s="308" t="s">
        <v>60</v>
      </c>
    </row>
    <row r="38" spans="3:3" x14ac:dyDescent="0.2">
      <c r="C38" s="308" t="s">
        <v>61</v>
      </c>
    </row>
    <row r="39" spans="3:3" x14ac:dyDescent="0.2">
      <c r="C39" s="308" t="s">
        <v>62</v>
      </c>
    </row>
    <row r="40" spans="3:3" x14ac:dyDescent="0.2">
      <c r="C40" s="308" t="s">
        <v>63</v>
      </c>
    </row>
    <row r="41" spans="3:3" x14ac:dyDescent="0.2">
      <c r="C41" s="308" t="s">
        <v>64</v>
      </c>
    </row>
    <row r="42" spans="3:3" x14ac:dyDescent="0.2">
      <c r="C42" s="308" t="s">
        <v>65</v>
      </c>
    </row>
    <row r="43" spans="3:3" x14ac:dyDescent="0.2">
      <c r="C43" s="308" t="s">
        <v>66</v>
      </c>
    </row>
    <row r="44" spans="3:3" x14ac:dyDescent="0.2">
      <c r="C44" s="308" t="s">
        <v>67</v>
      </c>
    </row>
    <row r="45" spans="3:3" x14ac:dyDescent="0.2">
      <c r="C45" s="308" t="s">
        <v>68</v>
      </c>
    </row>
    <row r="46" spans="3:3" x14ac:dyDescent="0.2">
      <c r="C46" s="308" t="s">
        <v>69</v>
      </c>
    </row>
    <row r="47" spans="3:3" x14ac:dyDescent="0.2">
      <c r="C47" s="308" t="s">
        <v>70</v>
      </c>
    </row>
    <row r="48" spans="3:3" x14ac:dyDescent="0.2">
      <c r="C48" s="308" t="s">
        <v>71</v>
      </c>
    </row>
    <row r="49" spans="3:3" x14ac:dyDescent="0.2">
      <c r="C49" s="308" t="s">
        <v>72</v>
      </c>
    </row>
    <row r="50" spans="3:3" x14ac:dyDescent="0.2">
      <c r="C50" s="308" t="s">
        <v>73</v>
      </c>
    </row>
    <row r="51" spans="3:3" x14ac:dyDescent="0.2">
      <c r="C51" s="308" t="s">
        <v>74</v>
      </c>
    </row>
  </sheetData>
  <hyperlinks>
    <hyperlink ref="A3" location="'To Do and Changes'!A1" display="To Do and Changes" xr:uid="{00000000-0004-0000-0000-000000000000}"/>
    <hyperlink ref="B3" location="'WPCF Revenue Detail'!A1" display="WPCF Revenue Detail" xr:uid="{00000000-0004-0000-0000-000001000000}"/>
    <hyperlink ref="B4" location="'Revenue Projections Detail'!A1" display="Revenue Projections" xr:uid="{00000000-0004-0000-0000-000002000000}"/>
    <hyperlink ref="A4" location="'Allocation Summary'!A1" display="GMRSD Allocation Summary" xr:uid="{00000000-0004-0000-0000-000003000000}"/>
    <hyperlink ref="A5" location="'Financial Policy Numbers'!A1" display="Financial Policy Numbers" xr:uid="{00000000-0004-0000-0000-000004000000}"/>
    <hyperlink ref="A6" location="'Working Budget with funding det'!A1" display="Working Budget with Funding Detail" xr:uid="{00000000-0004-0000-0000-000005000000}"/>
    <hyperlink ref="C3" location="'113 Town Mtg'!A1" display="113 Town Meeting" xr:uid="{00000000-0004-0000-0000-000006000000}"/>
    <hyperlink ref="C4" location="'122 Selectboard'!Print_Area" display="122 Selectboard" xr:uid="{00000000-0004-0000-0000-000007000000}"/>
    <hyperlink ref="C5" location="'131 Fin Comm'!Print_Area" display="131 Finance Committee" xr:uid="{00000000-0004-0000-0000-000008000000}"/>
    <hyperlink ref="C6" location="'132 Reserve Fund'!A1" display="132 Reserve Fund" xr:uid="{00000000-0004-0000-0000-000009000000}"/>
    <hyperlink ref="C7" location="'135 Acct'!A1" display="135 Town Accountant" xr:uid="{00000000-0004-0000-0000-00000A000000}"/>
    <hyperlink ref="C8" location="'141 BOA'!A1" display="141 Board of Assessors" xr:uid="{00000000-0004-0000-0000-00000B000000}"/>
    <hyperlink ref="C9" location="'145 Treas'!A1" display="145 Treasurer/Tax Collector" xr:uid="{00000000-0004-0000-0000-00000C000000}"/>
    <hyperlink ref="C10" location="'151 Counsel'!A1" display="151 Legal" xr:uid="{00000000-0004-0000-0000-00000D000000}"/>
    <hyperlink ref="C11" location="'155 IT'!A1" display="155 Information Technology" xr:uid="{00000000-0004-0000-0000-00000E000000}"/>
    <hyperlink ref="C12" location="'159 Shared Costs'!A1" display="159 Shared Costs" xr:uid="{00000000-0004-0000-0000-00000F000000}"/>
    <hyperlink ref="C13" location="'161 Clerk'!A1" display="161 Town Clerk" xr:uid="{00000000-0004-0000-0000-000010000000}"/>
    <hyperlink ref="C14" location="'175 Planning'!A1" display="175 Planning" xr:uid="{00000000-0004-0000-0000-000011000000}"/>
    <hyperlink ref="C15" location="'176 ZBA'!A1" display="176 Zoning Board of Appeals" xr:uid="{00000000-0004-0000-0000-000012000000}"/>
    <hyperlink ref="C16" location="'182 MEDIC'!A1" display="182 MEDIC" xr:uid="{00000000-0004-0000-0000-000013000000}"/>
    <hyperlink ref="C17" location="'190 Publ Bldg Utilities'!A1" display="190 Public Buildings Utilities" xr:uid="{00000000-0004-0000-0000-000014000000}"/>
    <hyperlink ref="C18" location="'211 Police'!A1" display="211 Police" xr:uid="{00000000-0004-0000-0000-000015000000}"/>
    <hyperlink ref="C19" location="'212 Dispatch'!A1" display="212 Dispatch" xr:uid="{00000000-0004-0000-0000-000016000000}"/>
    <hyperlink ref="C20" location="'241 Bldg'!A1" display="241 Building Inspector" xr:uid="{00000000-0004-0000-0000-000017000000}"/>
    <hyperlink ref="C21" location="'244 Sealer'!A1" display="244 Sealer of Weights" xr:uid="{00000000-0004-0000-0000-000018000000}"/>
    <hyperlink ref="C22" location="'291 Emergency'!A1" display="291 Emergency Management" xr:uid="{00000000-0004-0000-0000-000019000000}"/>
    <hyperlink ref="C23" location="'292 Animal'!A1" display="292 Animal Control" xr:uid="{00000000-0004-0000-0000-00001A000000}"/>
    <hyperlink ref="C24" location="'294 Forest Warden'!A1" display="294 Forest Warden" xr:uid="{00000000-0004-0000-0000-00001B000000}"/>
    <hyperlink ref="C25" location="'299 Tree Warden'!A1" display="299 Tree Warden" xr:uid="{00000000-0004-0000-0000-00001C000000}"/>
    <hyperlink ref="C26" location="'300 Schools'!A1" display="300 Education" xr:uid="{00000000-0004-0000-0000-00001D000000}"/>
    <hyperlink ref="C27" location="'420 DPW'!A1" display="420 DPW-Consolidated" xr:uid="{00000000-0004-0000-0000-00001E000000}"/>
    <hyperlink ref="C28" location="'192 Public Bldgs'!A1" display="192 DPW-Public Buildings" xr:uid="{00000000-0004-0000-0000-00001F000000}"/>
    <hyperlink ref="C29" location="'422 Maintenance'!A1" display="422 DPW-Streets/Maintenance" xr:uid="{00000000-0004-0000-0000-000020000000}"/>
    <hyperlink ref="C30" location="'652 Parks'!A1" display="652 DPW-Parks" xr:uid="{00000000-0004-0000-0000-000021000000}"/>
    <hyperlink ref="C31" location="'423 Snow'!A1" display="423 Snow &amp; Ice" xr:uid="{00000000-0004-0000-0000-000022000000}"/>
    <hyperlink ref="C32" location="'433 Solid Waste'!A1" display="433 Solid Waste" xr:uid="{00000000-0004-0000-0000-000023000000}"/>
    <hyperlink ref="C34" location="'491 Cemetery'!A1" display="491 Cemeteries" xr:uid="{00000000-0004-0000-0000-000024000000}"/>
    <hyperlink ref="C35" location="'511 BOH'!A1" display="511 Board of Health" xr:uid="{00000000-0004-0000-0000-000025000000}"/>
    <hyperlink ref="C36" location="'541 COA'!A1" display="541 Council on Aging" xr:uid="{00000000-0004-0000-0000-000026000000}"/>
    <hyperlink ref="C37" location="'543 Vets'!A1" display="543 Veterans Benefits" xr:uid="{00000000-0004-0000-0000-000027000000}"/>
    <hyperlink ref="C38" location="'610 Library'!A1" display="610 Libraries" xr:uid="{00000000-0004-0000-0000-000028000000}"/>
    <hyperlink ref="C39" location="'630 Recreation'!A1" display="630 Parks &amp; Recreation" xr:uid="{00000000-0004-0000-0000-000029000000}"/>
    <hyperlink ref="C40" location="'691 Historical Comm'!A1" display="691 Historical Commission" xr:uid="{00000000-0004-0000-0000-00002A000000}"/>
    <hyperlink ref="C41" location="'693 Memorials'!A1" display="693 Soldiers Memorials" xr:uid="{00000000-0004-0000-0000-00002B000000}"/>
    <hyperlink ref="C42" location="'700 Debt '!A1" display="700 Town Debt" xr:uid="{00000000-0004-0000-0000-00002C000000}"/>
    <hyperlink ref="C43" location="'840 Intergovt'!A1" display="840 Intergovernmental" xr:uid="{00000000-0004-0000-0000-00002D000000}"/>
    <hyperlink ref="C44" location="'910 Benefits'!A1" display="910 Town Benefits" xr:uid="{00000000-0004-0000-0000-00002E000000}"/>
    <hyperlink ref="C45" location="'946 Insurance'!A1" display="946 General Insurance" xr:uid="{00000000-0004-0000-0000-00002F000000}"/>
    <hyperlink ref="C46" location="'Colle 228 183'!A1" display="228 Colle" xr:uid="{00000000-0004-0000-0000-000030000000}"/>
    <hyperlink ref="C47" location="'600 482 Airport'!A1" display="600-482 Airport" xr:uid="{00000000-0004-0000-0000-000031000000}"/>
    <hyperlink ref="C48" location="'661 440 WPCF'!A1" display="661-440 WPCF Main Budget" xr:uid="{00000000-0004-0000-0000-000032000000}"/>
    <hyperlink ref="C49" location="'661 449 Hwy'!A1" display="661-449 WPCF DPW Subsidiary" xr:uid="{00000000-0004-0000-0000-000033000000}"/>
    <hyperlink ref="C50" location="'661 700 Debt'!A1" display="661-700 WPCF Debt" xr:uid="{00000000-0004-0000-0000-000034000000}"/>
    <hyperlink ref="C51" location="'661 910 Benefits'!A1" display="661-910 WPCF Benefits" xr:uid="{00000000-0004-0000-0000-000035000000}"/>
    <hyperlink ref="A9" location="'WPCF Overhead'!A1" display="WPCF Overhead" xr:uid="{00000000-0004-0000-0000-000036000000}"/>
    <hyperlink ref="A10" location="'Debt Exclusion Calc.'!A1" display="Debt Exclusion Caluclation" xr:uid="{00000000-0004-0000-0000-000037000000}"/>
    <hyperlink ref="A11" location="'Police Wages'!A1" display="Police Wages" xr:uid="{00000000-0004-0000-0000-000038000000}"/>
    <hyperlink ref="A12" location="'UE Wages'!A1" display="DPW/Sewer Wages" xr:uid="{00000000-0004-0000-0000-000039000000}"/>
    <hyperlink ref="A13" location="'NAGE &amp; Non-Union Wages'!A1" display="NAGE &amp; Non-Union Wages" xr:uid="{00000000-0004-0000-0000-00003A000000}"/>
    <hyperlink ref="A14" location="Longevity!A1" display="Longevity" xr:uid="{00000000-0004-0000-0000-00003B000000}"/>
    <hyperlink ref="A15" location="'Split Debt Service'!A1" display="Split Dept Service" xr:uid="{00000000-0004-0000-0000-00003C000000}"/>
    <hyperlink ref="A16" location="'Combined Debt Schedule'!A1" display="Combined Debt Schedule" xr:uid="{00000000-0004-0000-0000-00003D000000}"/>
    <hyperlink ref="A17" location="'Kearsarge Lease'!A1" display="Kearsarge Lease" xr:uid="{00000000-0004-0000-0000-00003E000000}"/>
    <hyperlink ref="A21" location="'Town Meeting Wages By Position'!A1" display="Wages by Position" xr:uid="{00000000-0004-0000-0000-00003F000000}"/>
    <hyperlink ref="A22" location="'Report to Town Meeting '!A1" display="Report to Town Meeting" xr:uid="{00000000-0004-0000-0000-000040000000}"/>
    <hyperlink ref="A23" location="'Wage and Benefits'!A1" display="Wages and Benefits" xr:uid="{00000000-0004-0000-0000-000041000000}"/>
    <hyperlink ref="A24" location="'Charts for Report'!A1" display="Charts for Report" xr:uid="{00000000-0004-0000-0000-000042000000}"/>
    <hyperlink ref="A25" location="'Revenue Allocation Chart'!A1" display="Revenue Allocation Chart" xr:uid="{00000000-0004-0000-0000-000043000000}"/>
    <hyperlink ref="C33" location="'480 Charging Stations'!A1" display="480 Charging Stations" xr:uid="{00000000-0004-0000-0000-000044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N175"/>
  <sheetViews>
    <sheetView topLeftCell="A77" zoomScale="75" zoomScaleNormal="75" workbookViewId="0">
      <selection activeCell="L10" sqref="L10"/>
    </sheetView>
  </sheetViews>
  <sheetFormatPr defaultRowHeight="15" x14ac:dyDescent="0.2"/>
  <cols>
    <col min="1" max="1" width="15.1640625" style="503" customWidth="1"/>
    <col min="2" max="2" width="25.5" style="503" customWidth="1"/>
    <col min="3" max="3" width="21.6640625" style="503" customWidth="1"/>
    <col min="4" max="4" width="17.5" style="503" customWidth="1"/>
    <col min="5" max="5" width="14.5" style="503" customWidth="1"/>
    <col min="6" max="7" width="8.83203125" style="503"/>
    <col min="8" max="8" width="13.5" style="503" customWidth="1"/>
    <col min="9" max="9" width="6.5" style="503" customWidth="1"/>
    <col min="10" max="10" width="15.83203125" style="4" customWidth="1"/>
    <col min="11" max="11" width="13.1640625" style="774" bestFit="1" customWidth="1"/>
    <col min="12" max="12" width="8.83203125" style="4"/>
    <col min="13" max="13" width="10.5" style="4" bestFit="1" customWidth="1"/>
  </cols>
  <sheetData>
    <row r="1" spans="1:8" ht="15.75" x14ac:dyDescent="0.25">
      <c r="A1" s="509" t="s">
        <v>476</v>
      </c>
      <c r="C1" s="510"/>
      <c r="D1" s="679" t="s">
        <v>197</v>
      </c>
      <c r="E1" s="511"/>
    </row>
    <row r="2" spans="1:8" x14ac:dyDescent="0.2">
      <c r="A2" s="512" t="s">
        <v>477</v>
      </c>
      <c r="B2" s="513"/>
      <c r="C2" s="514"/>
      <c r="D2" s="513"/>
      <c r="E2" s="513"/>
      <c r="F2" s="513"/>
      <c r="G2" s="513"/>
      <c r="H2" s="515"/>
    </row>
    <row r="3" spans="1:8" x14ac:dyDescent="0.2">
      <c r="A3" s="516"/>
      <c r="B3" s="503" t="s">
        <v>478</v>
      </c>
      <c r="C3" s="517"/>
      <c r="H3" s="518"/>
    </row>
    <row r="4" spans="1:8" x14ac:dyDescent="0.2">
      <c r="A4" s="516"/>
      <c r="C4" s="517"/>
      <c r="H4" s="518"/>
    </row>
    <row r="5" spans="1:8" x14ac:dyDescent="0.2">
      <c r="A5" s="516"/>
      <c r="B5" s="503" t="s">
        <v>479</v>
      </c>
      <c r="C5" s="517"/>
      <c r="D5" s="503" t="s">
        <v>480</v>
      </c>
      <c r="H5" s="518"/>
    </row>
    <row r="6" spans="1:8" x14ac:dyDescent="0.2">
      <c r="A6" s="516"/>
      <c r="B6" s="503" t="s">
        <v>481</v>
      </c>
      <c r="C6" s="309">
        <v>20207538.93</v>
      </c>
      <c r="D6" s="503" t="s">
        <v>482</v>
      </c>
      <c r="H6" s="518"/>
    </row>
    <row r="7" spans="1:8" x14ac:dyDescent="0.2">
      <c r="A7" s="516"/>
      <c r="B7" s="503" t="s">
        <v>483</v>
      </c>
      <c r="C7" s="309">
        <v>69424.73</v>
      </c>
      <c r="D7" s="503" t="s">
        <v>484</v>
      </c>
      <c r="H7" s="518"/>
    </row>
    <row r="8" spans="1:8" x14ac:dyDescent="0.2">
      <c r="A8" s="516"/>
      <c r="B8" s="503" t="s">
        <v>485</v>
      </c>
      <c r="C8" s="519">
        <v>-1156948</v>
      </c>
      <c r="D8" s="503" t="s">
        <v>486</v>
      </c>
      <c r="H8" s="518"/>
    </row>
    <row r="9" spans="1:8" x14ac:dyDescent="0.2">
      <c r="A9" s="516" t="s">
        <v>487</v>
      </c>
      <c r="B9" s="503" t="s">
        <v>488</v>
      </c>
      <c r="C9" s="517">
        <f>SUM(C6:C8)</f>
        <v>19120015.66</v>
      </c>
      <c r="H9" s="518"/>
    </row>
    <row r="10" spans="1:8" x14ac:dyDescent="0.2">
      <c r="A10" s="516"/>
      <c r="C10" s="517"/>
      <c r="H10" s="518"/>
    </row>
    <row r="11" spans="1:8" x14ac:dyDescent="0.2">
      <c r="A11" s="516"/>
      <c r="B11" s="503" t="s">
        <v>489</v>
      </c>
      <c r="C11" s="517"/>
      <c r="H11" s="518"/>
    </row>
    <row r="12" spans="1:8" x14ac:dyDescent="0.2">
      <c r="A12" s="516"/>
      <c r="B12" s="503" t="s">
        <v>490</v>
      </c>
      <c r="C12" s="309">
        <v>26117361.800000001</v>
      </c>
      <c r="D12" s="503" t="s">
        <v>491</v>
      </c>
      <c r="H12" s="518"/>
    </row>
    <row r="13" spans="1:8" x14ac:dyDescent="0.2">
      <c r="A13" s="516"/>
      <c r="B13" s="503" t="s">
        <v>492</v>
      </c>
      <c r="C13" s="309">
        <v>-973008.06</v>
      </c>
      <c r="D13" s="503" t="s">
        <v>491</v>
      </c>
      <c r="H13" s="518"/>
    </row>
    <row r="14" spans="1:8" x14ac:dyDescent="0.2">
      <c r="A14" s="516"/>
      <c r="B14" s="503" t="s">
        <v>493</v>
      </c>
      <c r="C14" s="309">
        <v>-3599354.4</v>
      </c>
      <c r="D14" s="503" t="s">
        <v>491</v>
      </c>
      <c r="H14" s="518"/>
    </row>
    <row r="15" spans="1:8" x14ac:dyDescent="0.2">
      <c r="A15" s="516"/>
      <c r="B15" s="503" t="s">
        <v>494</v>
      </c>
      <c r="C15" s="309">
        <v>-17026050.43</v>
      </c>
      <c r="D15" s="503" t="s">
        <v>491</v>
      </c>
      <c r="H15" s="518"/>
    </row>
    <row r="16" spans="1:8" x14ac:dyDescent="0.2">
      <c r="A16" s="516"/>
      <c r="B16" s="503" t="s">
        <v>495</v>
      </c>
      <c r="C16" s="519">
        <v>-89245.43</v>
      </c>
      <c r="D16" s="503" t="s">
        <v>491</v>
      </c>
      <c r="H16" s="518"/>
    </row>
    <row r="17" spans="1:14" x14ac:dyDescent="0.2">
      <c r="A17" s="516" t="s">
        <v>496</v>
      </c>
      <c r="B17" s="503" t="s">
        <v>497</v>
      </c>
      <c r="C17" s="517">
        <f>SUM(C12:C16)</f>
        <v>4429703.4800000042</v>
      </c>
      <c r="H17" s="518"/>
    </row>
    <row r="18" spans="1:14" x14ac:dyDescent="0.2">
      <c r="A18" s="516"/>
      <c r="C18" s="517"/>
      <c r="H18" s="518"/>
    </row>
    <row r="19" spans="1:14" x14ac:dyDescent="0.2">
      <c r="A19" s="516" t="s">
        <v>498</v>
      </c>
      <c r="C19" s="517"/>
      <c r="H19" s="518"/>
    </row>
    <row r="20" spans="1:14" x14ac:dyDescent="0.2">
      <c r="A20" s="516"/>
      <c r="B20" s="503" t="s">
        <v>499</v>
      </c>
      <c r="C20" s="517">
        <f>+C17+C9</f>
        <v>23549719.140000004</v>
      </c>
      <c r="H20" s="518"/>
    </row>
    <row r="21" spans="1:14" x14ac:dyDescent="0.2">
      <c r="A21" s="521"/>
      <c r="B21" s="522"/>
      <c r="C21" s="520"/>
      <c r="D21" s="522"/>
      <c r="E21" s="522"/>
      <c r="F21" s="522"/>
      <c r="G21" s="522"/>
      <c r="H21" s="523"/>
    </row>
    <row r="22" spans="1:14" x14ac:dyDescent="0.2">
      <c r="C22" s="517"/>
      <c r="M22" s="4" t="s">
        <v>500</v>
      </c>
    </row>
    <row r="23" spans="1:14" hidden="1" x14ac:dyDescent="0.2">
      <c r="A23" s="512" t="s">
        <v>501</v>
      </c>
      <c r="B23" s="513"/>
      <c r="C23" s="514"/>
      <c r="D23" s="513"/>
      <c r="E23" s="513"/>
      <c r="F23" s="513"/>
      <c r="G23" s="513"/>
      <c r="H23" s="515"/>
    </row>
    <row r="24" spans="1:14" hidden="1" x14ac:dyDescent="0.2">
      <c r="A24" s="516"/>
      <c r="C24" s="517"/>
      <c r="D24" s="524"/>
      <c r="H24" s="518"/>
    </row>
    <row r="25" spans="1:14" hidden="1" x14ac:dyDescent="0.2">
      <c r="A25" s="516"/>
      <c r="B25" s="503" t="s">
        <v>502</v>
      </c>
      <c r="C25" s="517"/>
      <c r="H25" s="518"/>
    </row>
    <row r="26" spans="1:14" hidden="1" x14ac:dyDescent="0.2">
      <c r="A26" s="521"/>
      <c r="B26" s="522"/>
      <c r="C26" s="520"/>
      <c r="D26" s="522"/>
      <c r="E26" s="522"/>
      <c r="F26" s="522"/>
      <c r="G26" s="522"/>
      <c r="H26" s="523"/>
    </row>
    <row r="27" spans="1:14" hidden="1" x14ac:dyDescent="0.2">
      <c r="C27" s="510"/>
    </row>
    <row r="28" spans="1:14" x14ac:dyDescent="0.2">
      <c r="A28" s="512" t="s">
        <v>503</v>
      </c>
      <c r="B28" s="513"/>
      <c r="C28" s="514"/>
      <c r="D28" s="513"/>
      <c r="E28" s="513"/>
      <c r="F28" s="513"/>
      <c r="G28" s="513"/>
      <c r="H28" s="515"/>
      <c r="K28" s="877">
        <v>44834</v>
      </c>
      <c r="M28" s="4">
        <v>251692</v>
      </c>
      <c r="N28" s="220" t="s">
        <v>436</v>
      </c>
    </row>
    <row r="29" spans="1:14" x14ac:dyDescent="0.2">
      <c r="A29" s="516"/>
      <c r="B29" s="503" t="s">
        <v>504</v>
      </c>
      <c r="C29" s="524">
        <f>+C20</f>
        <v>23549719.140000004</v>
      </c>
      <c r="H29" s="518"/>
      <c r="J29" s="4" t="s">
        <v>505</v>
      </c>
      <c r="K29" s="23">
        <v>1140098</v>
      </c>
      <c r="M29" s="4">
        <v>1130745</v>
      </c>
    </row>
    <row r="30" spans="1:14" x14ac:dyDescent="0.2">
      <c r="A30" s="516"/>
      <c r="B30" s="525">
        <v>0.05</v>
      </c>
      <c r="C30" s="517">
        <f>ROUND((+C29*0.05),0)</f>
        <v>1177486</v>
      </c>
      <c r="D30" s="503" t="s">
        <v>506</v>
      </c>
      <c r="H30" s="518"/>
      <c r="J30" s="4" t="s">
        <v>507</v>
      </c>
      <c r="K30" s="23">
        <v>143924</v>
      </c>
      <c r="M30" s="4">
        <f>+K30</f>
        <v>143924</v>
      </c>
    </row>
    <row r="31" spans="1:14" x14ac:dyDescent="0.2">
      <c r="A31" s="516"/>
      <c r="B31" s="525">
        <v>0.1</v>
      </c>
      <c r="C31" s="517">
        <f>+C30*2</f>
        <v>2354972</v>
      </c>
      <c r="D31" s="503" t="s">
        <v>508</v>
      </c>
      <c r="H31" s="518"/>
      <c r="J31" s="4" t="s">
        <v>509</v>
      </c>
      <c r="K31" s="23">
        <v>267765</v>
      </c>
      <c r="M31" s="4">
        <f>+K31</f>
        <v>267765</v>
      </c>
    </row>
    <row r="32" spans="1:14" x14ac:dyDescent="0.2">
      <c r="A32" s="516"/>
      <c r="C32" s="309"/>
      <c r="H32" s="518"/>
      <c r="J32" s="4" t="s">
        <v>510</v>
      </c>
      <c r="K32" s="23">
        <v>1370593</v>
      </c>
      <c r="M32" s="4">
        <v>1235553</v>
      </c>
    </row>
    <row r="33" spans="1:11" x14ac:dyDescent="0.2">
      <c r="A33" s="516"/>
      <c r="C33" s="309">
        <v>2469826</v>
      </c>
      <c r="D33" s="526" t="s">
        <v>511</v>
      </c>
      <c r="F33" s="526"/>
      <c r="H33" s="518"/>
      <c r="J33" s="4" t="s">
        <v>193</v>
      </c>
      <c r="K33" s="23">
        <f>SUM(K29:K32)</f>
        <v>2922380</v>
      </c>
    </row>
    <row r="34" spans="1:11" x14ac:dyDescent="0.2">
      <c r="A34" s="516"/>
      <c r="C34" s="1056">
        <f>+M29+M30+M31+M32</f>
        <v>2777987</v>
      </c>
      <c r="D34" s="503" t="s">
        <v>512</v>
      </c>
      <c r="H34" s="518"/>
    </row>
    <row r="35" spans="1:11" x14ac:dyDescent="0.2">
      <c r="A35" s="516"/>
      <c r="C35" s="309">
        <f>SUM(C33:C34)</f>
        <v>5247813</v>
      </c>
      <c r="D35" s="503" t="s">
        <v>193</v>
      </c>
      <c r="E35" s="505">
        <f>ROUND((+C35/C29),4)</f>
        <v>0.2228</v>
      </c>
      <c r="F35" s="503" t="s">
        <v>513</v>
      </c>
      <c r="H35" s="518"/>
    </row>
    <row r="36" spans="1:11" x14ac:dyDescent="0.2">
      <c r="A36" s="521"/>
      <c r="B36" s="522"/>
      <c r="C36" s="520"/>
      <c r="D36" s="522"/>
      <c r="E36" s="522"/>
      <c r="F36" s="522"/>
      <c r="G36" s="522"/>
      <c r="H36" s="523"/>
    </row>
    <row r="37" spans="1:11" x14ac:dyDescent="0.2">
      <c r="C37" s="510"/>
    </row>
    <row r="38" spans="1:11" x14ac:dyDescent="0.2">
      <c r="A38" s="512" t="s">
        <v>514</v>
      </c>
      <c r="B38" s="513"/>
      <c r="C38" s="514"/>
      <c r="D38" s="513"/>
      <c r="E38" s="513"/>
      <c r="F38" s="513"/>
      <c r="G38" s="513"/>
      <c r="H38" s="515"/>
    </row>
    <row r="39" spans="1:11" x14ac:dyDescent="0.2">
      <c r="A39" s="516"/>
      <c r="B39" s="503" t="s">
        <v>515</v>
      </c>
      <c r="C39" s="517">
        <f>+C30</f>
        <v>1177486</v>
      </c>
      <c r="H39" s="518"/>
    </row>
    <row r="40" spans="1:11" x14ac:dyDescent="0.2">
      <c r="A40" s="516"/>
      <c r="B40" s="503" t="s">
        <v>516</v>
      </c>
      <c r="C40" s="519">
        <f>+K29</f>
        <v>1140098</v>
      </c>
      <c r="D40" s="505">
        <f>ROUND((+C40/C29),4)</f>
        <v>4.8399999999999999E-2</v>
      </c>
      <c r="H40" s="518"/>
    </row>
    <row r="41" spans="1:11" ht="15.75" x14ac:dyDescent="0.25">
      <c r="A41" s="516"/>
      <c r="B41" s="503" t="s">
        <v>517</v>
      </c>
      <c r="C41" s="527">
        <f>+C39-C40</f>
        <v>37388</v>
      </c>
      <c r="H41" s="518"/>
    </row>
    <row r="42" spans="1:11" x14ac:dyDescent="0.2">
      <c r="A42" s="516"/>
      <c r="C42" s="517"/>
      <c r="H42" s="518"/>
    </row>
    <row r="43" spans="1:11" hidden="1" x14ac:dyDescent="0.2">
      <c r="A43" s="516"/>
      <c r="B43" s="503" t="s">
        <v>518</v>
      </c>
      <c r="C43" s="517"/>
      <c r="H43" s="518"/>
    </row>
    <row r="44" spans="1:11" hidden="1" x14ac:dyDescent="0.2">
      <c r="A44" s="516"/>
      <c r="B44" s="503" t="s">
        <v>519</v>
      </c>
      <c r="C44" s="517">
        <f>ROUND((+C33*0.35),0)</f>
        <v>864439</v>
      </c>
      <c r="H44" s="518"/>
    </row>
    <row r="45" spans="1:11" x14ac:dyDescent="0.2">
      <c r="A45" s="521"/>
      <c r="B45" s="522"/>
      <c r="C45" s="520"/>
      <c r="D45" s="522"/>
      <c r="E45" s="522"/>
      <c r="F45" s="522"/>
      <c r="G45" s="522"/>
      <c r="H45" s="523"/>
    </row>
    <row r="46" spans="1:11" x14ac:dyDescent="0.2">
      <c r="C46" s="510"/>
    </row>
    <row r="47" spans="1:11" x14ac:dyDescent="0.2">
      <c r="A47" s="512" t="s">
        <v>520</v>
      </c>
      <c r="B47" s="513"/>
      <c r="C47" s="514"/>
      <c r="D47" s="513"/>
      <c r="E47" s="513"/>
      <c r="F47" s="513"/>
      <c r="G47" s="513"/>
      <c r="H47" s="515"/>
    </row>
    <row r="48" spans="1:11" ht="15.75" x14ac:dyDescent="0.25">
      <c r="A48" s="516"/>
      <c r="B48" s="503" t="s">
        <v>521</v>
      </c>
      <c r="C48" s="527">
        <f>ROUND((+C29*0.003),0)</f>
        <v>70649</v>
      </c>
      <c r="D48" s="309"/>
      <c r="H48" s="518"/>
    </row>
    <row r="49" spans="1:8" x14ac:dyDescent="0.2">
      <c r="A49" s="521"/>
      <c r="B49" s="522"/>
      <c r="C49" s="520"/>
      <c r="D49" s="520"/>
      <c r="E49" s="522"/>
      <c r="F49" s="522"/>
      <c r="G49" s="522"/>
      <c r="H49" s="523"/>
    </row>
    <row r="50" spans="1:8" x14ac:dyDescent="0.2">
      <c r="C50" s="517"/>
    </row>
    <row r="51" spans="1:8" hidden="1" x14ac:dyDescent="0.2">
      <c r="A51" s="512" t="s">
        <v>522</v>
      </c>
      <c r="B51" s="513"/>
      <c r="C51" s="514"/>
      <c r="D51" s="513"/>
      <c r="E51" s="513"/>
      <c r="F51" s="513"/>
      <c r="G51" s="513"/>
      <c r="H51" s="515"/>
    </row>
    <row r="52" spans="1:8" hidden="1" x14ac:dyDescent="0.2">
      <c r="A52" s="516"/>
      <c r="B52" s="503" t="s">
        <v>410</v>
      </c>
      <c r="C52" s="309">
        <v>540285</v>
      </c>
      <c r="H52" s="518"/>
    </row>
    <row r="53" spans="1:8" hidden="1" x14ac:dyDescent="0.2">
      <c r="A53" s="516"/>
      <c r="B53" s="503" t="s">
        <v>523</v>
      </c>
      <c r="C53" s="517">
        <f>ROUND((+C29*0.03),0)</f>
        <v>706492</v>
      </c>
      <c r="H53" s="518"/>
    </row>
    <row r="54" spans="1:8" ht="15.75" hidden="1" x14ac:dyDescent="0.25">
      <c r="A54" s="516"/>
      <c r="C54" s="527">
        <f>+C52-C53</f>
        <v>-166207</v>
      </c>
      <c r="D54" s="503" t="s">
        <v>524</v>
      </c>
      <c r="H54" s="518"/>
    </row>
    <row r="55" spans="1:8" hidden="1" x14ac:dyDescent="0.2">
      <c r="A55" s="521"/>
      <c r="B55" s="522"/>
      <c r="C55" s="520"/>
      <c r="D55" s="522"/>
      <c r="E55" s="522"/>
      <c r="F55" s="522"/>
      <c r="G55" s="522"/>
      <c r="H55" s="523"/>
    </row>
    <row r="56" spans="1:8" hidden="1" x14ac:dyDescent="0.2">
      <c r="C56" s="510"/>
    </row>
    <row r="57" spans="1:8" x14ac:dyDescent="0.2">
      <c r="A57" s="512" t="s">
        <v>525</v>
      </c>
      <c r="B57" s="513"/>
      <c r="C57" s="514"/>
      <c r="D57" s="513"/>
      <c r="E57" s="513"/>
      <c r="F57" s="513"/>
      <c r="G57" s="513"/>
      <c r="H57" s="515"/>
    </row>
    <row r="58" spans="1:8" ht="15.75" x14ac:dyDescent="0.25">
      <c r="A58" s="516"/>
      <c r="B58" s="503" t="s">
        <v>526</v>
      </c>
      <c r="C58" s="527">
        <f>ROUND((+C20*0.002),0)</f>
        <v>47099</v>
      </c>
      <c r="D58" s="309"/>
      <c r="H58" s="518"/>
    </row>
    <row r="59" spans="1:8" x14ac:dyDescent="0.2">
      <c r="A59" s="521"/>
      <c r="B59" s="522"/>
      <c r="C59" s="520"/>
      <c r="D59" s="520"/>
      <c r="E59" s="522"/>
      <c r="F59" s="522"/>
      <c r="G59" s="522"/>
      <c r="H59" s="523"/>
    </row>
    <row r="60" spans="1:8" x14ac:dyDescent="0.2">
      <c r="C60" s="510"/>
    </row>
    <row r="61" spans="1:8" x14ac:dyDescent="0.2">
      <c r="A61" s="512" t="s">
        <v>527</v>
      </c>
      <c r="B61" s="513"/>
      <c r="C61" s="514"/>
      <c r="D61" s="513"/>
      <c r="E61" s="513"/>
      <c r="F61" s="513"/>
      <c r="G61" s="513"/>
      <c r="H61" s="515"/>
    </row>
    <row r="62" spans="1:8" x14ac:dyDescent="0.2">
      <c r="A62" s="516"/>
      <c r="C62" s="517"/>
      <c r="D62" s="503" t="s">
        <v>528</v>
      </c>
      <c r="E62" s="503" t="s">
        <v>529</v>
      </c>
      <c r="H62" s="518"/>
    </row>
    <row r="63" spans="1:8" x14ac:dyDescent="0.2">
      <c r="A63" s="516"/>
      <c r="B63" s="503" t="s">
        <v>530</v>
      </c>
      <c r="C63" s="517">
        <f>ROUND((+C20*0.04),0)</f>
        <v>941989</v>
      </c>
      <c r="H63" s="518"/>
    </row>
    <row r="64" spans="1:8" x14ac:dyDescent="0.2">
      <c r="A64" s="1038"/>
      <c r="B64" s="503" t="s">
        <v>531</v>
      </c>
      <c r="C64" s="517">
        <f>ROUND((+C20*0.06),0)</f>
        <v>1412983</v>
      </c>
      <c r="H64" s="518"/>
    </row>
    <row r="65" spans="1:8" x14ac:dyDescent="0.2">
      <c r="A65" s="1038"/>
      <c r="B65" s="503" t="s">
        <v>532</v>
      </c>
      <c r="C65" s="517">
        <f>ROUND((+C20*0.08),0)</f>
        <v>1883978</v>
      </c>
      <c r="D65" s="524"/>
      <c r="H65" s="518"/>
    </row>
    <row r="66" spans="1:8" x14ac:dyDescent="0.2">
      <c r="A66" s="1038"/>
      <c r="C66" s="517"/>
      <c r="H66" s="518"/>
    </row>
    <row r="67" spans="1:8" x14ac:dyDescent="0.2">
      <c r="A67" s="1038"/>
      <c r="B67" s="503" t="s">
        <v>533</v>
      </c>
      <c r="C67" s="517"/>
      <c r="H67" s="518"/>
    </row>
    <row r="68" spans="1:8" x14ac:dyDescent="0.2">
      <c r="A68" s="1038"/>
      <c r="B68" s="503" t="s">
        <v>534</v>
      </c>
      <c r="C68" s="309">
        <f>+'700 Debt '!Q31</f>
        <v>712490</v>
      </c>
      <c r="D68" s="524">
        <f>+C68</f>
        <v>712490</v>
      </c>
      <c r="E68" s="524">
        <f>+D68+D69-'Debt Exclusion Calc.'!G28</f>
        <v>65735</v>
      </c>
      <c r="F68" s="503" t="s">
        <v>535</v>
      </c>
      <c r="H68" s="518"/>
    </row>
    <row r="69" spans="1:8" x14ac:dyDescent="0.2">
      <c r="A69" s="1038"/>
      <c r="B69" s="503" t="s">
        <v>536</v>
      </c>
      <c r="C69" s="309">
        <f>+'700 Debt '!Q56</f>
        <v>421829</v>
      </c>
      <c r="D69" s="524">
        <f>+C69</f>
        <v>421829</v>
      </c>
      <c r="H69" s="518"/>
    </row>
    <row r="70" spans="1:8" x14ac:dyDescent="0.2">
      <c r="A70" s="1038"/>
      <c r="B70" s="503" t="s">
        <v>537</v>
      </c>
      <c r="C70" s="309">
        <f>+'Debt Exclusion Calc.'!I29</f>
        <v>110477</v>
      </c>
      <c r="D70" s="524">
        <f>+C70</f>
        <v>110477</v>
      </c>
      <c r="H70" s="518"/>
    </row>
    <row r="71" spans="1:8" x14ac:dyDescent="0.2">
      <c r="A71" s="1038"/>
      <c r="B71" s="503" t="s">
        <v>538</v>
      </c>
      <c r="C71" s="309">
        <f>+'211 Police'!Q56</f>
        <v>68100</v>
      </c>
      <c r="D71" s="524"/>
      <c r="H71" s="518"/>
    </row>
    <row r="72" spans="1:8" x14ac:dyDescent="0.2">
      <c r="A72" s="1038"/>
      <c r="B72" s="503" t="s">
        <v>539</v>
      </c>
      <c r="C72" s="309">
        <f>+'420 DPW'!Q57</f>
        <v>0</v>
      </c>
      <c r="D72" s="309"/>
      <c r="H72" s="518"/>
    </row>
    <row r="73" spans="1:8" x14ac:dyDescent="0.2">
      <c r="A73" s="1038"/>
      <c r="B73" s="503" t="s">
        <v>540</v>
      </c>
      <c r="C73" s="309">
        <v>50000</v>
      </c>
      <c r="D73" s="309"/>
      <c r="H73" s="518"/>
    </row>
    <row r="74" spans="1:8" x14ac:dyDescent="0.2">
      <c r="A74" s="1038"/>
      <c r="B74" s="642" t="s">
        <v>2313</v>
      </c>
      <c r="C74" s="309">
        <f>+'Working Budget with funding det'!P167</f>
        <v>25000</v>
      </c>
      <c r="D74" s="309"/>
      <c r="H74" s="518"/>
    </row>
    <row r="75" spans="1:8" x14ac:dyDescent="0.2">
      <c r="A75" s="1038"/>
      <c r="B75" s="642" t="s">
        <v>2320</v>
      </c>
      <c r="C75" s="309">
        <f>+'Working Budget with funding det'!P168</f>
        <v>25000</v>
      </c>
      <c r="D75" s="309"/>
      <c r="H75" s="518"/>
    </row>
    <row r="76" spans="1:8" x14ac:dyDescent="0.2">
      <c r="A76" s="1038"/>
      <c r="B76" s="642" t="s">
        <v>2317</v>
      </c>
      <c r="C76" s="309">
        <f>+'Working Budget with funding det'!P170</f>
        <v>50000</v>
      </c>
      <c r="D76" s="309"/>
      <c r="H76" s="518"/>
    </row>
    <row r="77" spans="1:8" x14ac:dyDescent="0.2">
      <c r="A77" s="1038"/>
      <c r="B77" s="642" t="s">
        <v>2312</v>
      </c>
      <c r="C77" s="309" t="e">
        <f>+'Working Budget with funding det'!#REF!-202675</f>
        <v>#REF!</v>
      </c>
      <c r="D77" s="1119" t="s">
        <v>2379</v>
      </c>
      <c r="H77" s="518"/>
    </row>
    <row r="78" spans="1:8" x14ac:dyDescent="0.2">
      <c r="A78" s="1038"/>
      <c r="B78" s="642" t="s">
        <v>2314</v>
      </c>
      <c r="C78" s="309">
        <f>+'Working Budget with funding det'!P239</f>
        <v>14000</v>
      </c>
      <c r="D78" s="309"/>
      <c r="H78" s="518"/>
    </row>
    <row r="79" spans="1:8" x14ac:dyDescent="0.2">
      <c r="A79" s="1038"/>
      <c r="B79" s="642" t="s">
        <v>2315</v>
      </c>
      <c r="C79" s="309">
        <f>+'Working Budget with funding det'!P240-232000</f>
        <v>-232000</v>
      </c>
      <c r="D79" s="1119" t="s">
        <v>2380</v>
      </c>
      <c r="H79" s="518"/>
    </row>
    <row r="80" spans="1:8" x14ac:dyDescent="0.2">
      <c r="A80" s="1038"/>
      <c r="B80" s="642" t="s">
        <v>2316</v>
      </c>
      <c r="C80" s="309">
        <f>+'Working Budget with funding det'!P241</f>
        <v>0</v>
      </c>
      <c r="D80" s="309"/>
      <c r="H80" s="518"/>
    </row>
    <row r="81" spans="1:11" x14ac:dyDescent="0.2">
      <c r="A81" s="1038"/>
      <c r="C81" s="309"/>
      <c r="D81" s="309"/>
      <c r="H81" s="518"/>
    </row>
    <row r="82" spans="1:11" x14ac:dyDescent="0.2">
      <c r="A82" s="1038"/>
      <c r="C82" s="309"/>
      <c r="D82" s="309"/>
      <c r="H82" s="518"/>
    </row>
    <row r="83" spans="1:11" x14ac:dyDescent="0.2">
      <c r="A83" s="1038"/>
      <c r="C83" s="309"/>
      <c r="D83" s="309"/>
      <c r="H83" s="518"/>
    </row>
    <row r="84" spans="1:11" x14ac:dyDescent="0.2">
      <c r="A84" s="1038"/>
      <c r="C84" s="309"/>
      <c r="D84" s="309"/>
      <c r="H84" s="518"/>
      <c r="K84" s="4"/>
    </row>
    <row r="85" spans="1:11" x14ac:dyDescent="0.2">
      <c r="A85" s="1038"/>
      <c r="C85" s="309"/>
      <c r="D85" s="309"/>
      <c r="H85" s="518"/>
      <c r="K85" s="4"/>
    </row>
    <row r="86" spans="1:11" x14ac:dyDescent="0.2">
      <c r="A86" s="516" t="s">
        <v>541</v>
      </c>
      <c r="C86" s="517"/>
      <c r="D86" s="524"/>
      <c r="H86" s="518"/>
    </row>
    <row r="87" spans="1:11" ht="15.75" x14ac:dyDescent="0.25">
      <c r="A87" s="516"/>
      <c r="B87" s="503" t="s">
        <v>542</v>
      </c>
      <c r="C87" s="528" t="e">
        <f>+C64-SUM(C68:C84)</f>
        <v>#REF!</v>
      </c>
      <c r="D87" s="529"/>
      <c r="H87" s="518"/>
    </row>
    <row r="88" spans="1:11" x14ac:dyDescent="0.2">
      <c r="A88" s="516"/>
      <c r="B88" s="503" t="s">
        <v>193</v>
      </c>
      <c r="C88" s="517" t="e">
        <f>SUM(C68:C87)</f>
        <v>#REF!</v>
      </c>
      <c r="D88" s="524">
        <f>SUM(D68:D87)</f>
        <v>1244796</v>
      </c>
      <c r="E88" s="524">
        <f>SUM(E68:E87)</f>
        <v>65735</v>
      </c>
      <c r="H88" s="518"/>
    </row>
    <row r="89" spans="1:11" x14ac:dyDescent="0.2">
      <c r="A89" s="516"/>
      <c r="C89" s="517"/>
      <c r="D89" s="738">
        <f>ROUND((+D88/C20),4)</f>
        <v>5.2900000000000003E-2</v>
      </c>
      <c r="E89" s="503" t="s">
        <v>543</v>
      </c>
      <c r="H89" s="518"/>
    </row>
    <row r="90" spans="1:11" x14ac:dyDescent="0.2">
      <c r="A90" s="516"/>
      <c r="B90" s="503" t="s">
        <v>544</v>
      </c>
      <c r="C90" s="517" t="e">
        <f>+C65-SUM(C68:C86)</f>
        <v>#REF!</v>
      </c>
      <c r="D90" s="524"/>
      <c r="H90" s="518"/>
    </row>
    <row r="91" spans="1:11" x14ac:dyDescent="0.2">
      <c r="A91" s="521"/>
      <c r="B91" s="522"/>
      <c r="C91" s="520"/>
      <c r="D91" s="522"/>
      <c r="E91" s="522"/>
      <c r="F91" s="522"/>
      <c r="G91" s="522"/>
      <c r="H91" s="523"/>
    </row>
    <row r="92" spans="1:11" x14ac:dyDescent="0.2">
      <c r="C92" s="510"/>
    </row>
    <row r="93" spans="1:11" ht="15.75" x14ac:dyDescent="0.25">
      <c r="A93" s="512" t="s">
        <v>545</v>
      </c>
      <c r="B93" s="513"/>
      <c r="C93" s="514"/>
      <c r="D93" s="513"/>
      <c r="E93" s="513"/>
      <c r="F93" s="513"/>
      <c r="G93" s="513"/>
      <c r="H93" s="515"/>
    </row>
    <row r="94" spans="1:11" x14ac:dyDescent="0.2">
      <c r="A94" s="516" t="s">
        <v>546</v>
      </c>
      <c r="C94" s="517"/>
      <c r="H94" s="518"/>
    </row>
    <row r="95" spans="1:11" x14ac:dyDescent="0.2">
      <c r="A95" s="516"/>
      <c r="C95" s="517"/>
      <c r="H95" s="518"/>
    </row>
    <row r="96" spans="1:11" x14ac:dyDescent="0.2">
      <c r="A96" s="516"/>
      <c r="B96" s="503" t="s">
        <v>83</v>
      </c>
      <c r="E96" s="503" t="s">
        <v>533</v>
      </c>
      <c r="H96" s="518"/>
    </row>
    <row r="97" spans="1:8" x14ac:dyDescent="0.2">
      <c r="A97" s="516"/>
      <c r="B97" s="503" t="s">
        <v>479</v>
      </c>
      <c r="C97" s="309">
        <f>+'Revenue Projections Detail'!M16</f>
        <v>21570869</v>
      </c>
      <c r="D97" s="309">
        <v>50000</v>
      </c>
      <c r="E97" s="503" t="s">
        <v>540</v>
      </c>
      <c r="H97" s="518"/>
    </row>
    <row r="98" spans="1:8" x14ac:dyDescent="0.2">
      <c r="A98" s="516"/>
      <c r="B98" s="503" t="s">
        <v>547</v>
      </c>
      <c r="C98" s="310">
        <f>-'Revenue Projections Detail'!M11</f>
        <v>-1179061</v>
      </c>
      <c r="D98" s="309">
        <f>+C74</f>
        <v>25000</v>
      </c>
      <c r="E98" s="503" t="str">
        <f>+B74</f>
        <v>Town Hall Flooring</v>
      </c>
      <c r="H98" s="518"/>
    </row>
    <row r="99" spans="1:8" x14ac:dyDescent="0.2">
      <c r="A99" s="516"/>
      <c r="B99" s="503" t="s">
        <v>548</v>
      </c>
      <c r="C99" s="309">
        <f>+'Revenue Projections Detail'!M29</f>
        <v>1914986</v>
      </c>
      <c r="D99" s="309" t="e">
        <f>+C77</f>
        <v>#REF!</v>
      </c>
      <c r="E99" s="503" t="str">
        <f>+B77</f>
        <v>DPW 10 Wheel Truck gross of 55% grant reimb</v>
      </c>
      <c r="H99" s="518"/>
    </row>
    <row r="100" spans="1:8" x14ac:dyDescent="0.2">
      <c r="A100" s="516"/>
      <c r="B100" s="503" t="s">
        <v>549</v>
      </c>
      <c r="C100" s="519">
        <f>+'Revenue Projections Detail'!M54</f>
        <v>2027000</v>
      </c>
      <c r="D100" s="309">
        <f>+C78</f>
        <v>14000</v>
      </c>
      <c r="E100" s="503" t="str">
        <f>+B78</f>
        <v>Library Window Repairs</v>
      </c>
      <c r="H100" s="518"/>
    </row>
    <row r="101" spans="1:8" x14ac:dyDescent="0.2">
      <c r="A101" s="516"/>
      <c r="B101" s="503" t="s">
        <v>550</v>
      </c>
      <c r="C101" s="309">
        <f>SUM(C97:C100)</f>
        <v>24333794</v>
      </c>
      <c r="D101" s="1120">
        <v>180000</v>
      </c>
      <c r="E101" s="1121" t="s">
        <v>2381</v>
      </c>
      <c r="H101" s="518"/>
    </row>
    <row r="102" spans="1:8" x14ac:dyDescent="0.2">
      <c r="A102" s="516"/>
      <c r="C102" s="309"/>
      <c r="D102" s="309"/>
      <c r="E102" s="310"/>
      <c r="H102" s="518"/>
    </row>
    <row r="103" spans="1:8" x14ac:dyDescent="0.2">
      <c r="A103" s="516"/>
      <c r="C103" s="309"/>
      <c r="D103" s="519">
        <f>+'211 Police'!Q56</f>
        <v>68100</v>
      </c>
      <c r="E103" s="503" t="s">
        <v>538</v>
      </c>
      <c r="H103" s="518"/>
    </row>
    <row r="104" spans="1:8" x14ac:dyDescent="0.2">
      <c r="A104" s="516"/>
      <c r="B104" s="503" t="s">
        <v>551</v>
      </c>
      <c r="C104" s="309">
        <f>ROUND((+C101*0.02),0)</f>
        <v>486676</v>
      </c>
      <c r="D104" s="517" t="e">
        <f>SUM(D97:D103)</f>
        <v>#REF!</v>
      </c>
      <c r="E104" s="503" t="s">
        <v>193</v>
      </c>
      <c r="H104" s="518"/>
    </row>
    <row r="105" spans="1:8" x14ac:dyDescent="0.2">
      <c r="A105" s="516"/>
      <c r="C105" s="309"/>
      <c r="D105" s="517" t="e">
        <f>+C104-D104</f>
        <v>#REF!</v>
      </c>
      <c r="E105" s="503" t="s">
        <v>552</v>
      </c>
      <c r="H105" s="518"/>
    </row>
    <row r="106" spans="1:8" x14ac:dyDescent="0.2">
      <c r="A106" s="516"/>
      <c r="C106" s="309"/>
      <c r="D106" s="517"/>
      <c r="H106" s="518"/>
    </row>
    <row r="107" spans="1:8" x14ac:dyDescent="0.2">
      <c r="A107" s="521"/>
      <c r="B107" s="522"/>
      <c r="C107" s="520"/>
      <c r="D107" s="522"/>
      <c r="E107" s="522"/>
      <c r="F107" s="522"/>
      <c r="G107" s="522"/>
      <c r="H107" s="523"/>
    </row>
    <row r="108" spans="1:8" x14ac:dyDescent="0.2">
      <c r="C108" s="510"/>
    </row>
    <row r="109" spans="1:8" x14ac:dyDescent="0.2">
      <c r="A109" s="512" t="s">
        <v>553</v>
      </c>
      <c r="B109" s="513"/>
      <c r="C109" s="514"/>
      <c r="D109" s="513"/>
      <c r="E109" s="513"/>
      <c r="F109" s="513"/>
      <c r="G109" s="513"/>
      <c r="H109" s="515"/>
    </row>
    <row r="110" spans="1:8" x14ac:dyDescent="0.2">
      <c r="A110" s="516"/>
      <c r="B110" s="503" t="s">
        <v>554</v>
      </c>
      <c r="C110" s="517"/>
      <c r="H110" s="518"/>
    </row>
    <row r="111" spans="1:8" x14ac:dyDescent="0.2">
      <c r="A111" s="516"/>
      <c r="B111" s="503" t="s">
        <v>534</v>
      </c>
      <c r="C111" s="517">
        <f>+C68</f>
        <v>712490</v>
      </c>
      <c r="H111" s="518"/>
    </row>
    <row r="112" spans="1:8" x14ac:dyDescent="0.2">
      <c r="A112" s="516"/>
      <c r="B112" s="503" t="s">
        <v>536</v>
      </c>
      <c r="C112" s="517">
        <f>+C69</f>
        <v>421829</v>
      </c>
      <c r="H112" s="518"/>
    </row>
    <row r="113" spans="1:8" x14ac:dyDescent="0.2">
      <c r="A113" s="516"/>
      <c r="B113" s="503" t="s">
        <v>555</v>
      </c>
      <c r="C113" s="517">
        <f>SUM(C111:C112)</f>
        <v>1134319</v>
      </c>
      <c r="H113" s="518"/>
    </row>
    <row r="114" spans="1:8" x14ac:dyDescent="0.2">
      <c r="A114" s="516"/>
      <c r="B114" s="503" t="s">
        <v>556</v>
      </c>
      <c r="C114" s="530">
        <f>ROUND((+C113/C20),4)</f>
        <v>4.82E-2</v>
      </c>
      <c r="H114" s="518"/>
    </row>
    <row r="115" spans="1:8" x14ac:dyDescent="0.2">
      <c r="A115" s="516"/>
      <c r="B115" s="503" t="s">
        <v>508</v>
      </c>
      <c r="C115" s="531">
        <v>0.15</v>
      </c>
      <c r="H115" s="518"/>
    </row>
    <row r="116" spans="1:8" x14ac:dyDescent="0.2">
      <c r="A116" s="516"/>
      <c r="C116" s="517"/>
      <c r="H116" s="518"/>
    </row>
    <row r="117" spans="1:8" x14ac:dyDescent="0.2">
      <c r="A117" s="516"/>
      <c r="B117" s="503" t="s">
        <v>557</v>
      </c>
      <c r="C117" s="517"/>
      <c r="H117" s="518"/>
    </row>
    <row r="118" spans="1:8" x14ac:dyDescent="0.2">
      <c r="A118" s="516"/>
      <c r="B118" s="503" t="s">
        <v>558</v>
      </c>
      <c r="C118" s="517">
        <f>+C113</f>
        <v>1134319</v>
      </c>
      <c r="H118" s="518"/>
    </row>
    <row r="119" spans="1:8" x14ac:dyDescent="0.2">
      <c r="A119" s="516"/>
      <c r="B119" s="503" t="s">
        <v>559</v>
      </c>
      <c r="C119" s="517">
        <f>-'Debt Exclusion Calc.'!G28</f>
        <v>-1068584</v>
      </c>
      <c r="H119" s="518"/>
    </row>
    <row r="120" spans="1:8" x14ac:dyDescent="0.2">
      <c r="A120" s="516"/>
      <c r="B120" s="503" t="s">
        <v>560</v>
      </c>
      <c r="C120" s="517">
        <f>SUM(C118:C119)</f>
        <v>65735</v>
      </c>
      <c r="H120" s="518"/>
    </row>
    <row r="121" spans="1:8" ht="15.75" x14ac:dyDescent="0.25">
      <c r="A121" s="516"/>
      <c r="B121" s="503" t="s">
        <v>561</v>
      </c>
      <c r="C121" s="530">
        <f>ROUND((+C120/C20),4)</f>
        <v>2.8E-3</v>
      </c>
      <c r="D121" s="503" t="s">
        <v>562</v>
      </c>
      <c r="E121" s="511"/>
      <c r="H121" s="518"/>
    </row>
    <row r="122" spans="1:8" x14ac:dyDescent="0.2">
      <c r="A122" s="516"/>
      <c r="C122" s="517"/>
      <c r="H122" s="518"/>
    </row>
    <row r="123" spans="1:8" x14ac:dyDescent="0.2">
      <c r="A123" s="516"/>
      <c r="B123" s="503" t="s">
        <v>506</v>
      </c>
      <c r="C123" s="531">
        <v>0.02</v>
      </c>
      <c r="H123" s="518"/>
    </row>
    <row r="124" spans="1:8" x14ac:dyDescent="0.2">
      <c r="A124" s="521"/>
      <c r="B124" s="522" t="s">
        <v>508</v>
      </c>
      <c r="C124" s="532">
        <v>0.05</v>
      </c>
      <c r="D124" s="522"/>
      <c r="E124" s="522"/>
      <c r="F124" s="522"/>
      <c r="G124" s="522"/>
      <c r="H124" s="523"/>
    </row>
    <row r="125" spans="1:8" x14ac:dyDescent="0.2">
      <c r="C125" s="510"/>
    </row>
    <row r="126" spans="1:8" x14ac:dyDescent="0.2">
      <c r="C126" s="510"/>
    </row>
    <row r="127" spans="1:8" x14ac:dyDescent="0.2">
      <c r="C127" s="510"/>
    </row>
    <row r="128" spans="1:8" x14ac:dyDescent="0.2">
      <c r="C128" s="510"/>
    </row>
    <row r="129" spans="3:3" x14ac:dyDescent="0.2">
      <c r="C129" s="510"/>
    </row>
    <row r="130" spans="3:3" x14ac:dyDescent="0.2">
      <c r="C130" s="510"/>
    </row>
    <row r="131" spans="3:3" x14ac:dyDescent="0.2">
      <c r="C131" s="510"/>
    </row>
    <row r="132" spans="3:3" x14ac:dyDescent="0.2">
      <c r="C132" s="510"/>
    </row>
    <row r="133" spans="3:3" x14ac:dyDescent="0.2">
      <c r="C133" s="510"/>
    </row>
    <row r="134" spans="3:3" x14ac:dyDescent="0.2">
      <c r="C134" s="510"/>
    </row>
    <row r="135" spans="3:3" x14ac:dyDescent="0.2">
      <c r="C135" s="510"/>
    </row>
    <row r="136" spans="3:3" x14ac:dyDescent="0.2">
      <c r="C136" s="510"/>
    </row>
    <row r="137" spans="3:3" x14ac:dyDescent="0.2">
      <c r="C137" s="510"/>
    </row>
    <row r="138" spans="3:3" x14ac:dyDescent="0.2">
      <c r="C138" s="510"/>
    </row>
    <row r="139" spans="3:3" x14ac:dyDescent="0.2">
      <c r="C139" s="510"/>
    </row>
    <row r="140" spans="3:3" x14ac:dyDescent="0.2">
      <c r="C140" s="510"/>
    </row>
    <row r="141" spans="3:3" x14ac:dyDescent="0.2">
      <c r="C141" s="510"/>
    </row>
    <row r="142" spans="3:3" x14ac:dyDescent="0.2">
      <c r="C142" s="510"/>
    </row>
    <row r="143" spans="3:3" x14ac:dyDescent="0.2">
      <c r="C143" s="510"/>
    </row>
    <row r="144" spans="3:3" x14ac:dyDescent="0.2">
      <c r="C144" s="510"/>
    </row>
    <row r="145" spans="3:3" x14ac:dyDescent="0.2">
      <c r="C145" s="510"/>
    </row>
    <row r="146" spans="3:3" x14ac:dyDescent="0.2">
      <c r="C146" s="510"/>
    </row>
    <row r="147" spans="3:3" x14ac:dyDescent="0.2">
      <c r="C147" s="510"/>
    </row>
    <row r="148" spans="3:3" x14ac:dyDescent="0.2">
      <c r="C148" s="510"/>
    </row>
    <row r="149" spans="3:3" x14ac:dyDescent="0.2">
      <c r="C149" s="510"/>
    </row>
    <row r="150" spans="3:3" x14ac:dyDescent="0.2">
      <c r="C150" s="510"/>
    </row>
    <row r="151" spans="3:3" x14ac:dyDescent="0.2">
      <c r="C151" s="510"/>
    </row>
    <row r="152" spans="3:3" x14ac:dyDescent="0.2">
      <c r="C152" s="510"/>
    </row>
    <row r="153" spans="3:3" x14ac:dyDescent="0.2">
      <c r="C153" s="510"/>
    </row>
    <row r="154" spans="3:3" x14ac:dyDescent="0.2">
      <c r="C154" s="510"/>
    </row>
    <row r="155" spans="3:3" x14ac:dyDescent="0.2">
      <c r="C155" s="510"/>
    </row>
    <row r="156" spans="3:3" x14ac:dyDescent="0.2">
      <c r="C156" s="510"/>
    </row>
    <row r="157" spans="3:3" x14ac:dyDescent="0.2">
      <c r="C157" s="510"/>
    </row>
    <row r="158" spans="3:3" x14ac:dyDescent="0.2">
      <c r="C158" s="510"/>
    </row>
    <row r="159" spans="3:3" x14ac:dyDescent="0.2">
      <c r="C159" s="510"/>
    </row>
    <row r="160" spans="3:3" x14ac:dyDescent="0.2">
      <c r="C160" s="510"/>
    </row>
    <row r="161" spans="3:3" x14ac:dyDescent="0.2">
      <c r="C161" s="510"/>
    </row>
    <row r="162" spans="3:3" x14ac:dyDescent="0.2">
      <c r="C162" s="510"/>
    </row>
    <row r="163" spans="3:3" x14ac:dyDescent="0.2">
      <c r="C163" s="510"/>
    </row>
    <row r="164" spans="3:3" x14ac:dyDescent="0.2">
      <c r="C164" s="510"/>
    </row>
    <row r="165" spans="3:3" x14ac:dyDescent="0.2">
      <c r="C165" s="510"/>
    </row>
    <row r="166" spans="3:3" x14ac:dyDescent="0.2">
      <c r="C166" s="510"/>
    </row>
    <row r="167" spans="3:3" x14ac:dyDescent="0.2">
      <c r="C167" s="510"/>
    </row>
    <row r="168" spans="3:3" x14ac:dyDescent="0.2">
      <c r="C168" s="510"/>
    </row>
    <row r="169" spans="3:3" x14ac:dyDescent="0.2">
      <c r="C169" s="510"/>
    </row>
    <row r="170" spans="3:3" x14ac:dyDescent="0.2">
      <c r="C170" s="510"/>
    </row>
    <row r="171" spans="3:3" x14ac:dyDescent="0.2">
      <c r="C171" s="510"/>
    </row>
    <row r="172" spans="3:3" x14ac:dyDescent="0.2">
      <c r="C172" s="510"/>
    </row>
    <row r="173" spans="3:3" x14ac:dyDescent="0.2">
      <c r="C173" s="510"/>
    </row>
    <row r="174" spans="3:3" x14ac:dyDescent="0.2">
      <c r="C174" s="510"/>
    </row>
    <row r="175" spans="3:3" x14ac:dyDescent="0.2">
      <c r="C175" s="510"/>
    </row>
  </sheetData>
  <hyperlinks>
    <hyperlink ref="D1" location="'Table of Contents'!A1" display="TOC" xr:uid="{00000000-0004-0000-0700-000000000000}"/>
  </hyperlinks>
  <pageMargins left="0.7" right="0.7" top="0.75" bottom="0.75" header="0.3" footer="0.3"/>
  <pageSetup scale="80" fitToHeight="2" orientation="portrait" r:id="rId1"/>
  <headerFooter>
    <oddFooter>&amp;L&amp;D &amp;T&amp;C&amp;F&amp;R&amp;A&amp;P</oddFooter>
  </headerFooter>
  <rowBreaks count="1" manualBreakCount="1">
    <brk id="60"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AB330"/>
  <sheetViews>
    <sheetView zoomScale="75" zoomScaleNormal="75" workbookViewId="0">
      <pane xSplit="2" ySplit="3" topLeftCell="P160" activePane="bottomRight" state="frozen"/>
      <selection activeCell="L10" sqref="L10"/>
      <selection pane="topRight" activeCell="L10" sqref="L10"/>
      <selection pane="bottomLeft" activeCell="L10" sqref="L10"/>
      <selection pane="bottomRight" activeCell="T179" sqref="T179"/>
    </sheetView>
  </sheetViews>
  <sheetFormatPr defaultRowHeight="15" x14ac:dyDescent="0.2"/>
  <cols>
    <col min="1" max="1" width="8" style="834" customWidth="1"/>
    <col min="2" max="2" width="52.1640625" style="642" customWidth="1"/>
    <col min="3" max="8" width="16.5" style="642" hidden="1" customWidth="1"/>
    <col min="9" max="11" width="19.1640625" style="642" hidden="1" customWidth="1"/>
    <col min="12" max="14" width="19.1640625" style="662" hidden="1" customWidth="1"/>
    <col min="15" max="15" width="4.5" style="662" hidden="1" customWidth="1"/>
    <col min="16" max="17" width="19.1640625" style="646" customWidth="1"/>
    <col min="18" max="18" width="19.1640625" style="647" customWidth="1"/>
    <col min="19" max="19" width="17" style="647" customWidth="1"/>
    <col min="20" max="20" width="14.33203125" style="646" customWidth="1"/>
    <col min="21" max="21" width="13.83203125" style="646" customWidth="1"/>
    <col min="22" max="22" width="15.1640625" style="646" customWidth="1"/>
    <col min="23" max="23" width="17" style="646" customWidth="1"/>
    <col min="24" max="24" width="13.83203125" style="646" customWidth="1"/>
    <col min="25" max="25" width="16" style="646" customWidth="1"/>
    <col min="26" max="26" width="12.83203125" style="646" customWidth="1"/>
    <col min="27" max="27" width="9.33203125" style="638"/>
    <col min="28" max="28" width="11.6640625" bestFit="1" customWidth="1"/>
  </cols>
  <sheetData>
    <row r="1" spans="1:26" x14ac:dyDescent="0.2">
      <c r="A1" s="833" t="s">
        <v>197</v>
      </c>
      <c r="B1" s="642" t="s">
        <v>2507</v>
      </c>
      <c r="C1" s="643" t="s">
        <v>563</v>
      </c>
      <c r="D1" s="643" t="s">
        <v>564</v>
      </c>
      <c r="E1" s="643" t="s">
        <v>565</v>
      </c>
      <c r="F1" s="643" t="s">
        <v>566</v>
      </c>
      <c r="G1" s="643" t="s">
        <v>567</v>
      </c>
      <c r="H1" s="643" t="s">
        <v>568</v>
      </c>
      <c r="I1" s="643" t="s">
        <v>569</v>
      </c>
      <c r="J1" s="644" t="s">
        <v>570</v>
      </c>
      <c r="K1" s="661" t="s">
        <v>275</v>
      </c>
      <c r="L1" s="661" t="s">
        <v>275</v>
      </c>
      <c r="M1" s="661" t="s">
        <v>276</v>
      </c>
      <c r="N1" s="661" t="s">
        <v>276</v>
      </c>
      <c r="O1" s="644" t="s">
        <v>277</v>
      </c>
      <c r="P1" s="644" t="s">
        <v>571</v>
      </c>
      <c r="Q1" s="644" t="s">
        <v>571</v>
      </c>
      <c r="R1" s="644" t="s">
        <v>571</v>
      </c>
      <c r="S1" s="645" t="s">
        <v>480</v>
      </c>
      <c r="T1" s="644"/>
      <c r="U1" s="645"/>
      <c r="V1" s="645" t="s">
        <v>572</v>
      </c>
      <c r="X1" s="645"/>
      <c r="Y1" s="645"/>
      <c r="Z1" s="647"/>
    </row>
    <row r="2" spans="1:26" x14ac:dyDescent="0.2">
      <c r="B2" s="646">
        <f>+R134</f>
        <v>28256894</v>
      </c>
      <c r="C2" s="643" t="s">
        <v>280</v>
      </c>
      <c r="D2" s="643" t="s">
        <v>280</v>
      </c>
      <c r="E2" s="643" t="s">
        <v>280</v>
      </c>
      <c r="F2" s="643" t="s">
        <v>280</v>
      </c>
      <c r="G2" s="643" t="s">
        <v>280</v>
      </c>
      <c r="H2" s="643" t="s">
        <v>280</v>
      </c>
      <c r="I2" s="643" t="s">
        <v>280</v>
      </c>
      <c r="J2" s="643" t="s">
        <v>280</v>
      </c>
      <c r="K2" s="661" t="s">
        <v>279</v>
      </c>
      <c r="L2" s="661" t="s">
        <v>279</v>
      </c>
      <c r="M2" s="661" t="s">
        <v>279</v>
      </c>
      <c r="N2" s="661" t="s">
        <v>280</v>
      </c>
      <c r="O2" s="661" t="s">
        <v>279</v>
      </c>
      <c r="P2" s="644" t="s">
        <v>573</v>
      </c>
      <c r="Q2" s="644" t="s">
        <v>574</v>
      </c>
      <c r="R2" s="645" t="s">
        <v>575</v>
      </c>
      <c r="S2" s="645" t="s">
        <v>576</v>
      </c>
      <c r="T2" s="644" t="s">
        <v>410</v>
      </c>
      <c r="U2" s="645" t="s">
        <v>577</v>
      </c>
      <c r="V2" s="645" t="s">
        <v>578</v>
      </c>
      <c r="W2" s="645" t="s">
        <v>579</v>
      </c>
      <c r="X2" s="645" t="s">
        <v>580</v>
      </c>
      <c r="Y2" s="645" t="s">
        <v>581</v>
      </c>
      <c r="Z2" s="644" t="s">
        <v>582</v>
      </c>
    </row>
    <row r="3" spans="1:26" x14ac:dyDescent="0.2">
      <c r="K3" s="642" t="s">
        <v>583</v>
      </c>
      <c r="P3" s="647" t="s">
        <v>584</v>
      </c>
      <c r="Q3" s="647" t="s">
        <v>585</v>
      </c>
      <c r="R3" s="646"/>
      <c r="S3" s="645"/>
      <c r="T3" s="644"/>
      <c r="U3" s="645" t="s">
        <v>586</v>
      </c>
      <c r="V3" s="645" t="s">
        <v>586</v>
      </c>
      <c r="W3" s="645" t="s">
        <v>578</v>
      </c>
      <c r="X3" s="645" t="s">
        <v>578</v>
      </c>
      <c r="Y3" s="645" t="s">
        <v>587</v>
      </c>
      <c r="Z3" s="644" t="s">
        <v>587</v>
      </c>
    </row>
    <row r="4" spans="1:26" x14ac:dyDescent="0.2">
      <c r="B4" s="1080" t="s">
        <v>588</v>
      </c>
      <c r="P4" s="644"/>
      <c r="Q4" s="644"/>
      <c r="R4" s="645"/>
      <c r="S4" s="646"/>
      <c r="T4" s="647"/>
      <c r="W4" s="645"/>
      <c r="Z4" s="647"/>
    </row>
    <row r="5" spans="1:26" x14ac:dyDescent="0.2">
      <c r="B5" s="641" t="s">
        <v>589</v>
      </c>
      <c r="C5" s="641"/>
      <c r="D5" s="641"/>
      <c r="E5" s="641"/>
      <c r="F5" s="641"/>
      <c r="G5" s="641"/>
      <c r="H5" s="641"/>
      <c r="I5" s="641"/>
      <c r="J5" s="641"/>
      <c r="K5" s="641"/>
      <c r="L5" s="663"/>
      <c r="M5" s="663"/>
      <c r="N5" s="663"/>
      <c r="O5" s="663"/>
      <c r="P5" s="647"/>
      <c r="Q5" s="647"/>
      <c r="R5" s="646"/>
      <c r="S5" s="646"/>
      <c r="T5" s="647"/>
      <c r="Z5" s="647"/>
    </row>
    <row r="6" spans="1:26" x14ac:dyDescent="0.2">
      <c r="B6" s="642" t="s">
        <v>590</v>
      </c>
      <c r="C6" s="647">
        <f>+'Revenue Projections Detail'!B16</f>
        <v>13501567</v>
      </c>
      <c r="D6" s="647">
        <f>+'Revenue Projections Detail'!C16</f>
        <v>14007061</v>
      </c>
      <c r="E6" s="647">
        <f>+'Revenue Projections Detail'!D16</f>
        <v>14424463</v>
      </c>
      <c r="F6" s="647">
        <f>+'Revenue Projections Detail'!E16</f>
        <v>14913142</v>
      </c>
      <c r="G6" s="647">
        <f>+'Revenue Projections Detail'!F16</f>
        <v>15498658</v>
      </c>
      <c r="H6" s="647">
        <f>+'Revenue Projections Detail'!G16</f>
        <v>16526913.970000001</v>
      </c>
      <c r="I6" s="647">
        <f>+'Revenue Projections Detail'!H16</f>
        <v>17512031</v>
      </c>
      <c r="J6" s="647">
        <f>+'Revenue Projections Detail'!I16</f>
        <v>18669482</v>
      </c>
      <c r="K6" s="647"/>
      <c r="L6" s="662">
        <f>+'Revenue Projections Detail'!J16</f>
        <v>19543645</v>
      </c>
      <c r="M6" s="662">
        <f>+'Revenue Projections Detail'!K16</f>
        <v>20136531</v>
      </c>
      <c r="O6" s="1079">
        <f>+'Revenue Projections Detail'!L16</f>
        <v>20453998</v>
      </c>
      <c r="P6" s="647">
        <f>+'Revenue Projections Detail'!M16</f>
        <v>21570869</v>
      </c>
      <c r="Q6" s="647">
        <f>+P6</f>
        <v>21570869</v>
      </c>
      <c r="R6" s="646">
        <f>+P6</f>
        <v>21570869</v>
      </c>
      <c r="S6" s="646">
        <f>+R6</f>
        <v>21570869</v>
      </c>
      <c r="T6" s="647"/>
      <c r="Z6" s="647"/>
    </row>
    <row r="7" spans="1:26" x14ac:dyDescent="0.2">
      <c r="B7" s="642" t="s">
        <v>591</v>
      </c>
      <c r="C7" s="647">
        <f>+'Revenue Projections Detail'!B29</f>
        <v>1372617</v>
      </c>
      <c r="D7" s="647">
        <f>+'Revenue Projections Detail'!C29</f>
        <v>1417661</v>
      </c>
      <c r="E7" s="647">
        <f>+'Revenue Projections Detail'!D29</f>
        <v>1527291</v>
      </c>
      <c r="F7" s="647">
        <f>+'Revenue Projections Detail'!E29</f>
        <v>1542491</v>
      </c>
      <c r="G7" s="647">
        <f>+'Revenue Projections Detail'!F29</f>
        <v>1584712</v>
      </c>
      <c r="H7" s="647">
        <f>+'Revenue Projections Detail'!G29</f>
        <v>1613506</v>
      </c>
      <c r="I7" s="647">
        <f>+'Revenue Projections Detail'!H29</f>
        <v>1675209</v>
      </c>
      <c r="J7" s="647">
        <f>+'Revenue Projections Detail'!I29</f>
        <v>1791832</v>
      </c>
      <c r="K7" s="647"/>
      <c r="L7" s="662">
        <f>+'Revenue Projections Detail'!J29</f>
        <v>1762479</v>
      </c>
      <c r="M7" s="662">
        <f>+'Revenue Projections Detail'!K29</f>
        <v>1824995</v>
      </c>
      <c r="O7" s="662">
        <f>+'Revenue Projections Detail'!L29</f>
        <v>2016234</v>
      </c>
      <c r="P7" s="647">
        <f>+'Revenue Projections Detail'!M29</f>
        <v>1914986</v>
      </c>
      <c r="Q7" s="647">
        <f t="shared" ref="Q7:Q28" si="0">+P7</f>
        <v>1914986</v>
      </c>
      <c r="R7" s="646">
        <f t="shared" ref="R7:R28" si="1">+P7</f>
        <v>1914986</v>
      </c>
      <c r="S7" s="646">
        <f>+R7</f>
        <v>1914986</v>
      </c>
      <c r="T7" s="647"/>
      <c r="Z7" s="647"/>
    </row>
    <row r="8" spans="1:26" x14ac:dyDescent="0.2">
      <c r="B8" s="642" t="s">
        <v>592</v>
      </c>
      <c r="C8" s="647">
        <f>+'Revenue Projections Detail'!B54</f>
        <v>0</v>
      </c>
      <c r="D8" s="647">
        <f>+'Revenue Projections Detail'!C54</f>
        <v>0</v>
      </c>
      <c r="E8" s="647">
        <f>+'Revenue Projections Detail'!D54</f>
        <v>0</v>
      </c>
      <c r="F8" s="647">
        <f>+'Revenue Projections Detail'!E54</f>
        <v>0</v>
      </c>
      <c r="G8" s="647">
        <f>+'Revenue Projections Detail'!F54</f>
        <v>0</v>
      </c>
      <c r="H8" s="647">
        <f>+'Revenue Projections Detail'!G54</f>
        <v>1784386</v>
      </c>
      <c r="I8" s="647">
        <f>+'Revenue Projections Detail'!H54</f>
        <v>1923249</v>
      </c>
      <c r="J8" s="647">
        <f>+'Revenue Projections Detail'!I54</f>
        <v>1891410</v>
      </c>
      <c r="K8" s="647"/>
      <c r="L8" s="662">
        <f>+'Revenue Projections Detail'!J54</f>
        <v>1970227</v>
      </c>
      <c r="M8" s="662">
        <f>+'Revenue Projections Detail'!K54</f>
        <v>1614837</v>
      </c>
      <c r="O8" s="1079">
        <f>+'Revenue Projections Detail'!L54</f>
        <v>1991000</v>
      </c>
      <c r="P8" s="647">
        <f>+'Revenue Projections Detail'!M54</f>
        <v>2027000</v>
      </c>
      <c r="Q8" s="647">
        <f t="shared" si="0"/>
        <v>2027000</v>
      </c>
      <c r="R8" s="646">
        <f t="shared" si="1"/>
        <v>2027000</v>
      </c>
      <c r="S8" s="646">
        <f>+R8</f>
        <v>2027000</v>
      </c>
      <c r="T8" s="647"/>
      <c r="Z8" s="647"/>
    </row>
    <row r="9" spans="1:26" x14ac:dyDescent="0.2">
      <c r="B9" s="642" t="s">
        <v>593</v>
      </c>
      <c r="C9" s="647">
        <f>+'Revenue Projections Detail'!B76</f>
        <v>250000</v>
      </c>
      <c r="D9" s="647">
        <f>+'Revenue Projections Detail'!C76</f>
        <v>250000</v>
      </c>
      <c r="E9" s="647">
        <f>+'Revenue Projections Detail'!D76</f>
        <v>250000</v>
      </c>
      <c r="F9" s="647">
        <f>+'Revenue Projections Detail'!E76</f>
        <v>250000</v>
      </c>
      <c r="G9" s="647">
        <f>+'Revenue Projections Detail'!F76</f>
        <v>250000</v>
      </c>
      <c r="H9" s="647">
        <f>+'Revenue Projections Detail'!G76</f>
        <v>200000</v>
      </c>
      <c r="I9" s="647">
        <f>+'Revenue Projections Detail'!H76</f>
        <v>150000</v>
      </c>
      <c r="J9" s="647">
        <f>+'Revenue Projections Detail'!I76</f>
        <v>100000</v>
      </c>
      <c r="K9" s="647"/>
      <c r="L9" s="662">
        <f>+'Revenue Projections Detail'!J76</f>
        <v>0</v>
      </c>
      <c r="M9" s="662">
        <f>+'Revenue Projections Detail'!K76</f>
        <v>0</v>
      </c>
      <c r="O9" s="662">
        <f>+'Revenue Projections Detail'!L76</f>
        <v>0</v>
      </c>
      <c r="P9" s="647">
        <f>+'Revenue Projections Detail'!M76</f>
        <v>0</v>
      </c>
      <c r="Q9" s="647">
        <f t="shared" si="0"/>
        <v>0</v>
      </c>
      <c r="R9" s="646">
        <f t="shared" si="1"/>
        <v>0</v>
      </c>
      <c r="S9" s="646"/>
      <c r="T9" s="647">
        <f>+R9</f>
        <v>0</v>
      </c>
      <c r="Z9" s="647"/>
    </row>
    <row r="10" spans="1:26" x14ac:dyDescent="0.2">
      <c r="B10" s="642" t="s">
        <v>594</v>
      </c>
      <c r="C10" s="647"/>
      <c r="D10" s="647"/>
      <c r="E10" s="647"/>
      <c r="F10" s="647"/>
      <c r="G10" s="647"/>
      <c r="H10" s="647"/>
      <c r="I10" s="647"/>
      <c r="J10" s="647"/>
      <c r="K10" s="647"/>
      <c r="P10" s="647"/>
      <c r="Q10" s="647">
        <f t="shared" si="0"/>
        <v>0</v>
      </c>
      <c r="R10" s="646">
        <f t="shared" si="1"/>
        <v>0</v>
      </c>
      <c r="S10" s="646"/>
      <c r="T10" s="647"/>
      <c r="Z10" s="647"/>
    </row>
    <row r="11" spans="1:26" x14ac:dyDescent="0.2">
      <c r="B11" s="642" t="s">
        <v>595</v>
      </c>
      <c r="C11" s="647">
        <f>+'Revenue Projections Detail'!B58</f>
        <v>0</v>
      </c>
      <c r="D11" s="647">
        <f>+'Revenue Projections Detail'!C58</f>
        <v>0</v>
      </c>
      <c r="E11" s="647">
        <f>+'Revenue Projections Detail'!D58</f>
        <v>0</v>
      </c>
      <c r="F11" s="647">
        <f>+'Revenue Projections Detail'!E58</f>
        <v>0</v>
      </c>
      <c r="G11" s="647">
        <f>+'Revenue Projections Detail'!F58</f>
        <v>0</v>
      </c>
      <c r="H11" s="647">
        <f>+'Revenue Projections Detail'!G58</f>
        <v>22850</v>
      </c>
      <c r="I11" s="647">
        <f>+'Revenue Projections Detail'!H58</f>
        <v>0</v>
      </c>
      <c r="J11" s="647">
        <f>+'Revenue Projections Detail'!I58</f>
        <v>0</v>
      </c>
      <c r="K11" s="647"/>
      <c r="L11" s="662">
        <f>+'Revenue Projections Detail'!J58</f>
        <v>0</v>
      </c>
      <c r="M11" s="662">
        <f>+'Revenue Projections Detail'!K58</f>
        <v>0</v>
      </c>
      <c r="O11" s="662">
        <f>+'Revenue Projections Detail'!L58</f>
        <v>0</v>
      </c>
      <c r="P11" s="647">
        <f>+'Revenue Projections Detail'!M58</f>
        <v>12099</v>
      </c>
      <c r="Q11" s="647">
        <f t="shared" si="0"/>
        <v>12099</v>
      </c>
      <c r="R11" s="646">
        <f t="shared" si="1"/>
        <v>12099</v>
      </c>
      <c r="S11" s="646"/>
      <c r="T11" s="647"/>
      <c r="U11" s="646">
        <f>+R11</f>
        <v>12099</v>
      </c>
      <c r="Z11" s="647"/>
    </row>
    <row r="12" spans="1:26" x14ac:dyDescent="0.2">
      <c r="B12" s="642" t="s">
        <v>596</v>
      </c>
      <c r="C12" s="647"/>
      <c r="D12" s="647"/>
      <c r="E12" s="647"/>
      <c r="F12" s="647"/>
      <c r="G12" s="647"/>
      <c r="H12" s="647"/>
      <c r="I12" s="647"/>
      <c r="J12" s="647"/>
      <c r="K12" s="647"/>
      <c r="M12" s="662">
        <v>60</v>
      </c>
      <c r="O12" s="662">
        <f>+'Revenue Projections Detail'!L64</f>
        <v>13</v>
      </c>
      <c r="P12" s="647">
        <f>+'Revenue Projections Detail'!M64</f>
        <v>0</v>
      </c>
      <c r="Q12" s="647">
        <f t="shared" si="0"/>
        <v>0</v>
      </c>
      <c r="R12" s="646">
        <f>+P12</f>
        <v>0</v>
      </c>
      <c r="S12" s="646"/>
      <c r="T12" s="647"/>
      <c r="U12" s="646">
        <f>+R12</f>
        <v>0</v>
      </c>
      <c r="Z12" s="647"/>
    </row>
    <row r="13" spans="1:26" x14ac:dyDescent="0.2">
      <c r="B13" s="642" t="s">
        <v>597</v>
      </c>
      <c r="C13" s="647"/>
      <c r="D13" s="647"/>
      <c r="E13" s="647"/>
      <c r="F13" s="647"/>
      <c r="G13" s="647"/>
      <c r="H13" s="647"/>
      <c r="I13" s="647"/>
      <c r="J13" s="647"/>
      <c r="K13" s="647"/>
      <c r="P13" s="646">
        <f>+'Revenue Projections Detail'!M65</f>
        <v>0</v>
      </c>
      <c r="Q13" s="647">
        <f t="shared" si="0"/>
        <v>0</v>
      </c>
      <c r="R13" s="647">
        <f>+P13</f>
        <v>0</v>
      </c>
      <c r="S13" s="646"/>
      <c r="T13" s="647"/>
      <c r="U13" s="646">
        <f>+P13</f>
        <v>0</v>
      </c>
      <c r="Z13" s="647"/>
    </row>
    <row r="14" spans="1:26" x14ac:dyDescent="0.2">
      <c r="B14" s="642" t="s">
        <v>598</v>
      </c>
      <c r="C14" s="647"/>
      <c r="D14" s="647"/>
      <c r="E14" s="647"/>
      <c r="F14" s="647"/>
      <c r="G14" s="647"/>
      <c r="H14" s="647"/>
      <c r="I14" s="647"/>
      <c r="J14" s="647"/>
      <c r="K14" s="647"/>
      <c r="P14" s="646">
        <f>+'Revenue Projections Detail'!M70</f>
        <v>250000</v>
      </c>
      <c r="Q14" s="647">
        <f>+P14</f>
        <v>250000</v>
      </c>
      <c r="R14" s="647">
        <f>+P14</f>
        <v>250000</v>
      </c>
      <c r="S14" s="646"/>
      <c r="T14" s="647"/>
      <c r="U14" s="646">
        <f>+R14</f>
        <v>250000</v>
      </c>
      <c r="Z14" s="647"/>
    </row>
    <row r="15" spans="1:26" x14ac:dyDescent="0.2">
      <c r="B15" s="642" t="s">
        <v>599</v>
      </c>
      <c r="C15" s="647">
        <f>+'Revenue Projections Detail'!B71</f>
        <v>89400</v>
      </c>
      <c r="D15" s="647">
        <f>+'Revenue Projections Detail'!C71</f>
        <v>94215.84</v>
      </c>
      <c r="E15" s="647">
        <f>+'Revenue Projections Detail'!D71</f>
        <v>84573.5</v>
      </c>
      <c r="F15" s="647">
        <f>+'Revenue Projections Detail'!E71</f>
        <v>80350</v>
      </c>
      <c r="G15" s="647">
        <f>+'Revenue Projections Detail'!F71</f>
        <v>102150</v>
      </c>
      <c r="H15" s="647">
        <f>+'Revenue Projections Detail'!G71</f>
        <v>97525</v>
      </c>
      <c r="I15" s="647">
        <f>+'Revenue Projections Detail'!H71</f>
        <v>234573.5</v>
      </c>
      <c r="J15" s="647">
        <f>+'Revenue Projections Detail'!I71</f>
        <v>95400</v>
      </c>
      <c r="K15" s="647"/>
      <c r="L15" s="662">
        <f>+'Revenue Projections Detail'!J71</f>
        <v>79750</v>
      </c>
      <c r="M15" s="662">
        <v>78950</v>
      </c>
      <c r="O15" s="662">
        <f>+'Revenue Projections Detail'!L71</f>
        <v>49950</v>
      </c>
      <c r="P15" s="647">
        <f>+'Revenue Projections Detail'!M71</f>
        <v>53250</v>
      </c>
      <c r="Q15" s="647">
        <f t="shared" si="0"/>
        <v>53250</v>
      </c>
      <c r="R15" s="646">
        <f t="shared" si="1"/>
        <v>53250</v>
      </c>
      <c r="S15" s="646"/>
      <c r="T15" s="647"/>
      <c r="U15" s="646">
        <f>+R15</f>
        <v>53250</v>
      </c>
      <c r="Z15" s="647"/>
    </row>
    <row r="16" spans="1:26" x14ac:dyDescent="0.2">
      <c r="B16" s="642" t="s">
        <v>600</v>
      </c>
      <c r="C16" s="647">
        <f>+'Revenue Projections Detail'!B75</f>
        <v>0</v>
      </c>
      <c r="D16" s="647">
        <f>+'Revenue Projections Detail'!C75</f>
        <v>0</v>
      </c>
      <c r="E16" s="647">
        <f>+'Revenue Projections Detail'!D75</f>
        <v>0</v>
      </c>
      <c r="F16" s="647">
        <f>+'Revenue Projections Detail'!E75</f>
        <v>0</v>
      </c>
      <c r="G16" s="647">
        <f>+'Revenue Projections Detail'!F75</f>
        <v>0</v>
      </c>
      <c r="H16" s="647">
        <f>+'Revenue Projections Detail'!G75</f>
        <v>201000</v>
      </c>
      <c r="I16" s="647">
        <f>+'Revenue Projections Detail'!H75</f>
        <v>194000</v>
      </c>
      <c r="J16" s="647">
        <f>+'Revenue Projections Detail'!I75</f>
        <v>370044</v>
      </c>
      <c r="K16" s="647"/>
      <c r="L16" s="662">
        <f>+'Revenue Projections Detail'!J75</f>
        <v>571743</v>
      </c>
      <c r="M16" s="662">
        <f>+'Revenue Projections Detail'!K75</f>
        <v>283200</v>
      </c>
      <c r="O16" s="662">
        <f>+'Revenue Projections Detail'!L75</f>
        <v>251242</v>
      </c>
      <c r="P16" s="647">
        <f>+'Revenue Projections Detail'!M75</f>
        <v>300000</v>
      </c>
      <c r="Q16" s="647">
        <f t="shared" si="0"/>
        <v>300000</v>
      </c>
      <c r="R16" s="646">
        <f t="shared" si="1"/>
        <v>300000</v>
      </c>
      <c r="S16" s="646"/>
      <c r="T16" s="647">
        <f>+R16</f>
        <v>300000</v>
      </c>
      <c r="Z16" s="647"/>
    </row>
    <row r="17" spans="2:28" x14ac:dyDescent="0.2">
      <c r="B17" s="642" t="s">
        <v>601</v>
      </c>
      <c r="C17" s="647"/>
      <c r="D17" s="647"/>
      <c r="E17" s="647"/>
      <c r="F17" s="647"/>
      <c r="G17" s="647"/>
      <c r="H17" s="647"/>
      <c r="I17" s="647"/>
      <c r="J17" s="647"/>
      <c r="K17" s="647"/>
      <c r="M17" s="662">
        <v>225000</v>
      </c>
      <c r="O17" s="662">
        <v>225000</v>
      </c>
      <c r="P17" s="647">
        <f>+'Revenue Projections Detail'!M59</f>
        <v>300000</v>
      </c>
      <c r="Q17" s="647">
        <f t="shared" si="0"/>
        <v>300000</v>
      </c>
      <c r="R17" s="646">
        <f>+P17</f>
        <v>300000</v>
      </c>
      <c r="S17" s="646"/>
      <c r="T17" s="647"/>
      <c r="V17" s="646">
        <f>+P17</f>
        <v>300000</v>
      </c>
      <c r="Z17" s="647"/>
    </row>
    <row r="18" spans="2:28" x14ac:dyDescent="0.2">
      <c r="B18" s="642" t="s">
        <v>602</v>
      </c>
      <c r="C18" s="647">
        <f>+'Revenue Projections Detail'!B66+'Revenue Projections Detail'!B67</f>
        <v>166182</v>
      </c>
      <c r="D18" s="647">
        <f>+'Revenue Projections Detail'!C66+'Revenue Projections Detail'!C67</f>
        <v>274055</v>
      </c>
      <c r="E18" s="647">
        <f>+'Revenue Projections Detail'!D66+'Revenue Projections Detail'!D67</f>
        <v>113000</v>
      </c>
      <c r="F18" s="647">
        <f>+'Revenue Projections Detail'!E66+'Revenue Projections Detail'!E67</f>
        <v>136000</v>
      </c>
      <c r="G18" s="647">
        <f>+'Revenue Projections Detail'!F66+'Revenue Projections Detail'!F67</f>
        <v>100000</v>
      </c>
      <c r="H18" s="647">
        <f>+'Revenue Projections Detail'!G66+'Revenue Projections Detail'!G67</f>
        <v>0</v>
      </c>
      <c r="I18" s="647">
        <f>+'Revenue Projections Detail'!H66+'Revenue Projections Detail'!H67</f>
        <v>0</v>
      </c>
      <c r="J18" s="647">
        <f>+'Revenue Projections Detail'!I66+'Revenue Projections Detail'!I67</f>
        <v>0</v>
      </c>
      <c r="K18" s="647"/>
      <c r="L18" s="662">
        <f>+'Revenue Projections Detail'!J66+'Revenue Projections Detail'!J67</f>
        <v>0</v>
      </c>
      <c r="M18" s="662">
        <f>+'Revenue Projections Detail'!K66+'Revenue Projections Detail'!K67</f>
        <v>0</v>
      </c>
      <c r="O18" s="662">
        <f>+'Revenue Projections Detail'!L66+'Revenue Projections Detail'!L67</f>
        <v>0</v>
      </c>
      <c r="P18" s="647">
        <f>+'Revenue Projections Detail'!M66+'Revenue Projections Detail'!M67+'Revenue Projections Detail'!M68</f>
        <v>0</v>
      </c>
      <c r="Q18" s="647">
        <f t="shared" si="0"/>
        <v>0</v>
      </c>
      <c r="R18" s="646">
        <f t="shared" si="1"/>
        <v>0</v>
      </c>
      <c r="S18" s="646"/>
      <c r="T18" s="647"/>
      <c r="V18" s="646">
        <f>+R18</f>
        <v>0</v>
      </c>
      <c r="Z18" s="647"/>
    </row>
    <row r="19" spans="2:28" x14ac:dyDescent="0.2">
      <c r="B19" s="642" t="s">
        <v>603</v>
      </c>
      <c r="C19" s="647">
        <f>+'Revenue Projections Detail'!B62</f>
        <v>24000</v>
      </c>
      <c r="D19" s="647">
        <f>+'Revenue Projections Detail'!C62</f>
        <v>0</v>
      </c>
      <c r="E19" s="647">
        <f>+'Revenue Projections Detail'!D62</f>
        <v>0</v>
      </c>
      <c r="F19" s="647">
        <f>+'Revenue Projections Detail'!E62</f>
        <v>0</v>
      </c>
      <c r="G19" s="647">
        <f>+'Revenue Projections Detail'!F62</f>
        <v>0</v>
      </c>
      <c r="H19" s="647">
        <f>+'Revenue Projections Detail'!G62</f>
        <v>0</v>
      </c>
      <c r="I19" s="647">
        <f>+'Revenue Projections Detail'!H62</f>
        <v>53465</v>
      </c>
      <c r="J19" s="647">
        <f>+'Revenue Projections Detail'!I62</f>
        <v>0</v>
      </c>
      <c r="K19" s="647"/>
      <c r="L19" s="662">
        <f>+'Revenue Projections Detail'!J62</f>
        <v>0</v>
      </c>
      <c r="M19" s="662">
        <f>+'Revenue Projections Detail'!K62</f>
        <v>27262</v>
      </c>
      <c r="O19" s="662">
        <f>+'Revenue Projections Detail'!L62</f>
        <v>0</v>
      </c>
      <c r="P19" s="647">
        <f>+'Revenue Projections Detail'!M62</f>
        <v>0</v>
      </c>
      <c r="Q19" s="647">
        <f t="shared" si="0"/>
        <v>0</v>
      </c>
      <c r="R19" s="646">
        <f>+P19</f>
        <v>0</v>
      </c>
      <c r="S19" s="646"/>
      <c r="T19" s="647"/>
      <c r="Z19" s="647"/>
    </row>
    <row r="20" spans="2:28" x14ac:dyDescent="0.2">
      <c r="B20" s="642" t="s">
        <v>604</v>
      </c>
      <c r="C20" s="647"/>
      <c r="D20" s="647"/>
      <c r="E20" s="647"/>
      <c r="F20" s="647"/>
      <c r="G20" s="647"/>
      <c r="H20" s="647"/>
      <c r="I20" s="647"/>
      <c r="J20" s="647"/>
      <c r="K20" s="647"/>
      <c r="M20" s="662">
        <v>56511</v>
      </c>
      <c r="O20" s="662">
        <f>+'Revenue Projections Detail'!L61</f>
        <v>0</v>
      </c>
      <c r="P20" s="647">
        <f>+'Revenue Projections Detail'!M61</f>
        <v>0</v>
      </c>
      <c r="Q20" s="647">
        <f t="shared" si="0"/>
        <v>0</v>
      </c>
      <c r="R20" s="646">
        <f>+P20</f>
        <v>0</v>
      </c>
      <c r="S20" s="646"/>
      <c r="T20" s="647"/>
      <c r="X20" s="646">
        <f>+P20</f>
        <v>0</v>
      </c>
      <c r="Z20" s="647"/>
    </row>
    <row r="21" spans="2:28" x14ac:dyDescent="0.2">
      <c r="B21" s="642" t="s">
        <v>605</v>
      </c>
      <c r="C21" s="647"/>
      <c r="D21" s="647"/>
      <c r="E21" s="647"/>
      <c r="F21" s="647"/>
      <c r="G21" s="647"/>
      <c r="H21" s="647"/>
      <c r="I21" s="647"/>
      <c r="J21" s="647"/>
      <c r="K21" s="647"/>
      <c r="O21" s="662">
        <v>130000</v>
      </c>
      <c r="P21" s="647">
        <f>+'Revenue Projections Detail'!M60</f>
        <v>0</v>
      </c>
      <c r="Q21" s="647">
        <f t="shared" si="0"/>
        <v>0</v>
      </c>
      <c r="R21" s="1135">
        <f>+'Revenue Projections Detail'!M88</f>
        <v>50055</v>
      </c>
      <c r="S21" s="646"/>
      <c r="T21" s="647"/>
      <c r="Y21" s="646">
        <f>+R21</f>
        <v>50055</v>
      </c>
      <c r="Z21" s="647"/>
    </row>
    <row r="22" spans="2:28" x14ac:dyDescent="0.2">
      <c r="B22" s="642" t="s">
        <v>606</v>
      </c>
      <c r="C22" s="650"/>
      <c r="D22" s="650"/>
      <c r="E22" s="650"/>
      <c r="F22" s="650"/>
      <c r="G22" s="650"/>
      <c r="H22" s="650"/>
      <c r="I22" s="650"/>
      <c r="J22" s="650"/>
      <c r="K22" s="650"/>
      <c r="L22" s="665"/>
      <c r="M22" s="665">
        <v>120050</v>
      </c>
      <c r="N22" s="665"/>
      <c r="O22" s="665">
        <v>238800</v>
      </c>
      <c r="P22" s="650">
        <f>+'Revenue Projections Detail'!M63</f>
        <v>0</v>
      </c>
      <c r="Q22" s="647">
        <f t="shared" si="0"/>
        <v>0</v>
      </c>
      <c r="R22" s="646">
        <f>+P22</f>
        <v>0</v>
      </c>
      <c r="S22" s="646"/>
      <c r="T22" s="650"/>
      <c r="U22" s="646">
        <f>+P22</f>
        <v>0</v>
      </c>
      <c r="Z22" s="650"/>
      <c r="AA22" s="639"/>
    </row>
    <row r="23" spans="2:28" x14ac:dyDescent="0.2">
      <c r="B23" s="642" t="s">
        <v>607</v>
      </c>
      <c r="C23" s="647"/>
      <c r="D23" s="647"/>
      <c r="E23" s="647"/>
      <c r="F23" s="647"/>
      <c r="G23" s="647"/>
      <c r="H23" s="647"/>
      <c r="I23" s="647"/>
      <c r="J23" s="647"/>
      <c r="K23" s="647"/>
      <c r="P23" s="647"/>
      <c r="Q23" s="647">
        <f t="shared" si="0"/>
        <v>0</v>
      </c>
      <c r="R23" s="646">
        <f t="shared" si="1"/>
        <v>0</v>
      </c>
      <c r="S23" s="646"/>
      <c r="T23" s="647"/>
      <c r="Z23" s="647"/>
    </row>
    <row r="24" spans="2:28" x14ac:dyDescent="0.2">
      <c r="B24" s="642" t="s">
        <v>608</v>
      </c>
      <c r="C24" s="650">
        <f>+'Revenue Projections Detail'!B83</f>
        <v>160000</v>
      </c>
      <c r="D24" s="650">
        <f>+'Revenue Projections Detail'!C83</f>
        <v>0</v>
      </c>
      <c r="E24" s="650">
        <f>+'Revenue Projections Detail'!D83</f>
        <v>400000</v>
      </c>
      <c r="F24" s="650">
        <f>+'Revenue Projections Detail'!E83</f>
        <v>1661764</v>
      </c>
      <c r="G24" s="650" t="e">
        <f>+'Revenue Projections Detail'!F83</f>
        <v>#REF!</v>
      </c>
      <c r="H24" s="650">
        <f>+'Revenue Projections Detail'!G83</f>
        <v>0</v>
      </c>
      <c r="I24" s="650">
        <f>+'Revenue Projections Detail'!H83</f>
        <v>0</v>
      </c>
      <c r="J24" s="650">
        <f>+'Revenue Projections Detail'!I83</f>
        <v>0</v>
      </c>
      <c r="K24" s="650"/>
      <c r="L24" s="665">
        <f>+'Revenue Projections Detail'!J83</f>
        <v>0</v>
      </c>
      <c r="M24" s="665">
        <f>+'Revenue Projections Detail'!K83</f>
        <v>0</v>
      </c>
      <c r="N24" s="665"/>
      <c r="O24" s="665">
        <f>+'Revenue Projections Detail'!L83</f>
        <v>0</v>
      </c>
      <c r="P24" s="650">
        <f>+'Revenue Projections Detail'!M83</f>
        <v>0</v>
      </c>
      <c r="Q24" s="647">
        <f t="shared" si="0"/>
        <v>0</v>
      </c>
      <c r="R24" s="646">
        <f t="shared" si="1"/>
        <v>0</v>
      </c>
      <c r="S24" s="646"/>
      <c r="T24" s="650"/>
      <c r="W24" s="646">
        <f>+R24</f>
        <v>0</v>
      </c>
      <c r="Z24" s="647"/>
    </row>
    <row r="25" spans="2:28" x14ac:dyDescent="0.2">
      <c r="B25" s="642" t="s">
        <v>609</v>
      </c>
      <c r="C25" s="650">
        <f>+'Revenue Projections Detail'!B84</f>
        <v>0</v>
      </c>
      <c r="D25" s="650">
        <f>+'Revenue Projections Detail'!C84</f>
        <v>0</v>
      </c>
      <c r="E25" s="650">
        <f>+'Revenue Projections Detail'!D84</f>
        <v>0</v>
      </c>
      <c r="F25" s="650">
        <f>+'Revenue Projections Detail'!E84</f>
        <v>385000</v>
      </c>
      <c r="G25" s="650" t="e">
        <f>+'Revenue Projections Detail'!F84</f>
        <v>#REF!</v>
      </c>
      <c r="H25" s="650">
        <f>+'Revenue Projections Detail'!G84</f>
        <v>385000</v>
      </c>
      <c r="I25" s="650">
        <f>+'Revenue Projections Detail'!H84</f>
        <v>521000</v>
      </c>
      <c r="J25" s="650">
        <f>+'Revenue Projections Detail'!I84</f>
        <v>0</v>
      </c>
      <c r="K25" s="650"/>
      <c r="L25" s="665">
        <f>+'Revenue Projections Detail'!J84</f>
        <v>0</v>
      </c>
      <c r="M25" s="665">
        <f>+'Revenue Projections Detail'!K84</f>
        <v>0</v>
      </c>
      <c r="N25" s="665"/>
      <c r="O25" s="665">
        <f>+'Revenue Projections Detail'!L84</f>
        <v>0</v>
      </c>
      <c r="P25" s="650">
        <f>+'Revenue Projections Detail'!M84</f>
        <v>0</v>
      </c>
      <c r="Q25" s="647">
        <f t="shared" si="0"/>
        <v>0</v>
      </c>
      <c r="R25" s="646">
        <f t="shared" si="1"/>
        <v>0</v>
      </c>
      <c r="S25" s="646"/>
      <c r="T25" s="650"/>
      <c r="Y25" s="646">
        <f>+R25</f>
        <v>0</v>
      </c>
      <c r="Z25" s="647"/>
    </row>
    <row r="26" spans="2:28" x14ac:dyDescent="0.2">
      <c r="B26" s="642" t="s">
        <v>610</v>
      </c>
      <c r="C26" s="650"/>
      <c r="D26" s="650"/>
      <c r="E26" s="650"/>
      <c r="F26" s="650"/>
      <c r="G26" s="650"/>
      <c r="H26" s="650"/>
      <c r="I26" s="650"/>
      <c r="J26" s="650"/>
      <c r="K26" s="650"/>
      <c r="L26" s="665"/>
      <c r="M26" s="665"/>
      <c r="N26" s="665"/>
      <c r="O26" s="665">
        <f>+'Revenue Projections Detail'!M89</f>
        <v>352364</v>
      </c>
      <c r="P26" s="650">
        <f>+'Revenue Projections Detail'!M89</f>
        <v>352364</v>
      </c>
      <c r="Q26" s="647">
        <f t="shared" si="0"/>
        <v>352364</v>
      </c>
      <c r="R26" s="646">
        <f>+P26</f>
        <v>352364</v>
      </c>
      <c r="S26" s="646"/>
      <c r="T26" s="650"/>
      <c r="Y26" s="646">
        <f>+R26</f>
        <v>352364</v>
      </c>
      <c r="Z26" s="647"/>
    </row>
    <row r="27" spans="2:28" x14ac:dyDescent="0.2">
      <c r="B27" s="642" t="s">
        <v>611</v>
      </c>
      <c r="C27" s="647">
        <f>+'Revenue Projections Detail'!B87</f>
        <v>1693865</v>
      </c>
      <c r="D27" s="647">
        <f>+'Revenue Projections Detail'!C87</f>
        <v>1866887</v>
      </c>
      <c r="E27" s="647">
        <f>+'Revenue Projections Detail'!D87</f>
        <v>1687525</v>
      </c>
      <c r="F27" s="647">
        <f>+'Revenue Projections Detail'!E87</f>
        <v>1913646</v>
      </c>
      <c r="G27" s="647">
        <f>+'Revenue Projections Detail'!F87</f>
        <v>2250472</v>
      </c>
      <c r="H27" s="647">
        <f>+'Revenue Projections Detail'!G87</f>
        <v>2627714</v>
      </c>
      <c r="I27" s="647">
        <f>+'Revenue Projections Detail'!H87</f>
        <v>2241379</v>
      </c>
      <c r="J27" s="647">
        <v>2320727</v>
      </c>
      <c r="K27" s="647"/>
      <c r="L27" s="662">
        <f>+'Revenue Projections Detail'!J87</f>
        <v>2404070</v>
      </c>
      <c r="M27" s="662">
        <f>+'Revenue Projections Detail'!K87</f>
        <v>2335742</v>
      </c>
      <c r="O27" s="662">
        <f>+'Revenue Projections Detail'!L87</f>
        <v>2605938</v>
      </c>
      <c r="P27" s="647">
        <f>+'Revenue Projections Detail'!M87</f>
        <v>2719305</v>
      </c>
      <c r="Q27" s="647">
        <f t="shared" si="0"/>
        <v>2719305</v>
      </c>
      <c r="R27" s="646">
        <f t="shared" si="1"/>
        <v>2719305</v>
      </c>
      <c r="S27" s="646"/>
      <c r="T27" s="647"/>
      <c r="Y27" s="646">
        <f>+R27</f>
        <v>2719305</v>
      </c>
    </row>
    <row r="28" spans="2:28" x14ac:dyDescent="0.2">
      <c r="B28" s="642" t="s">
        <v>612</v>
      </c>
      <c r="C28" s="648">
        <f>+'Revenue Projections Detail'!B90</f>
        <v>31461</v>
      </c>
      <c r="D28" s="648">
        <f>+'Revenue Projections Detail'!C90</f>
        <v>33809</v>
      </c>
      <c r="E28" s="648">
        <f>+'Revenue Projections Detail'!D90</f>
        <v>27165</v>
      </c>
      <c r="F28" s="648">
        <f>+'Revenue Projections Detail'!E90</f>
        <v>30847</v>
      </c>
      <c r="G28" s="648">
        <f>+'Revenue Projections Detail'!F90</f>
        <v>31987</v>
      </c>
      <c r="H28" s="648">
        <f>+'Revenue Projections Detail'!G90</f>
        <v>33258</v>
      </c>
      <c r="I28" s="648">
        <f>+'Revenue Projections Detail'!H90</f>
        <v>36096</v>
      </c>
      <c r="J28" s="648">
        <v>46984</v>
      </c>
      <c r="K28" s="648"/>
      <c r="L28" s="664">
        <f>+'Revenue Projections Detail'!J90</f>
        <v>59089</v>
      </c>
      <c r="M28" s="664">
        <f>+'Revenue Projections Detail'!K90</f>
        <v>206164</v>
      </c>
      <c r="N28" s="664"/>
      <c r="O28" s="664">
        <f>+'Revenue Projections Detail'!L90</f>
        <v>316015</v>
      </c>
      <c r="P28" s="648">
        <f>+'Revenue Projections Detail'!M90</f>
        <v>426965</v>
      </c>
      <c r="Q28" s="648">
        <f t="shared" si="0"/>
        <v>426965</v>
      </c>
      <c r="R28" s="649">
        <f t="shared" si="1"/>
        <v>426965</v>
      </c>
      <c r="S28" s="649"/>
      <c r="T28" s="648"/>
      <c r="U28" s="649"/>
      <c r="V28" s="649"/>
      <c r="W28" s="649"/>
      <c r="X28" s="649"/>
      <c r="Y28" s="649"/>
      <c r="Z28" s="649">
        <f>+R28</f>
        <v>426965</v>
      </c>
    </row>
    <row r="29" spans="2:28" x14ac:dyDescent="0.2">
      <c r="B29" s="642" t="s">
        <v>613</v>
      </c>
      <c r="C29" s="647">
        <f t="shared" ref="C29:Z29" si="2">SUM(C6:C28)</f>
        <v>17289092</v>
      </c>
      <c r="D29" s="647">
        <f t="shared" si="2"/>
        <v>17943688.84</v>
      </c>
      <c r="E29" s="647">
        <f t="shared" si="2"/>
        <v>18514017.5</v>
      </c>
      <c r="F29" s="647">
        <f t="shared" si="2"/>
        <v>20913240</v>
      </c>
      <c r="G29" s="647" t="e">
        <f t="shared" si="2"/>
        <v>#REF!</v>
      </c>
      <c r="H29" s="647">
        <f t="shared" si="2"/>
        <v>23492152.969999999</v>
      </c>
      <c r="I29" s="647">
        <f t="shared" si="2"/>
        <v>24541002.5</v>
      </c>
      <c r="J29" s="647">
        <f t="shared" si="2"/>
        <v>25285879</v>
      </c>
      <c r="K29" s="647">
        <f t="shared" si="2"/>
        <v>0</v>
      </c>
      <c r="L29" s="662">
        <f t="shared" si="2"/>
        <v>26391003</v>
      </c>
      <c r="M29" s="662">
        <f t="shared" ref="M29" si="3">SUM(M6:M28)</f>
        <v>26909302</v>
      </c>
      <c r="O29" s="662">
        <f t="shared" ref="O29" si="4">SUM(O6:O28)</f>
        <v>28630554</v>
      </c>
      <c r="P29" s="647">
        <f t="shared" si="2"/>
        <v>29926838</v>
      </c>
      <c r="Q29" s="647">
        <f t="shared" si="2"/>
        <v>29926838</v>
      </c>
      <c r="R29" s="647">
        <f>SUM(R6:R28)</f>
        <v>29976893</v>
      </c>
      <c r="S29" s="647">
        <f t="shared" si="2"/>
        <v>25512855</v>
      </c>
      <c r="T29" s="647">
        <f t="shared" si="2"/>
        <v>300000</v>
      </c>
      <c r="U29" s="647">
        <f t="shared" si="2"/>
        <v>315349</v>
      </c>
      <c r="V29" s="647">
        <f t="shared" si="2"/>
        <v>300000</v>
      </c>
      <c r="W29" s="647">
        <f t="shared" si="2"/>
        <v>0</v>
      </c>
      <c r="X29" s="647">
        <f t="shared" si="2"/>
        <v>0</v>
      </c>
      <c r="Y29" s="647">
        <f t="shared" si="2"/>
        <v>3121724</v>
      </c>
      <c r="Z29" s="647">
        <f t="shared" si="2"/>
        <v>426965</v>
      </c>
      <c r="AB29" s="2"/>
    </row>
    <row r="30" spans="2:28" x14ac:dyDescent="0.2">
      <c r="B30" s="646"/>
      <c r="C30" s="646"/>
      <c r="D30" s="646"/>
      <c r="E30" s="646"/>
      <c r="F30" s="646"/>
      <c r="G30" s="646"/>
      <c r="H30" s="646"/>
      <c r="I30" s="646"/>
      <c r="J30" s="646"/>
      <c r="K30" s="646"/>
      <c r="P30" s="647"/>
      <c r="Q30" s="647"/>
      <c r="R30" s="646">
        <f>SUM(S29:Z29)</f>
        <v>29976893</v>
      </c>
      <c r="S30" s="646"/>
      <c r="T30" s="647"/>
      <c r="Z30" s="647"/>
    </row>
    <row r="31" spans="2:28" x14ac:dyDescent="0.2">
      <c r="B31" s="646" t="s">
        <v>614</v>
      </c>
      <c r="C31" s="646"/>
      <c r="D31" s="646"/>
      <c r="E31" s="646"/>
      <c r="F31" s="646"/>
      <c r="G31" s="646"/>
      <c r="H31" s="646"/>
      <c r="I31" s="646"/>
      <c r="J31" s="646"/>
      <c r="K31" s="646"/>
      <c r="P31" s="647"/>
      <c r="Q31" s="647"/>
      <c r="R31" s="646"/>
      <c r="S31" s="646"/>
      <c r="T31" s="647"/>
      <c r="Z31" s="647"/>
    </row>
    <row r="32" spans="2:28" x14ac:dyDescent="0.2">
      <c r="B32" s="646" t="s">
        <v>615</v>
      </c>
      <c r="C32" s="646"/>
      <c r="D32" s="646"/>
      <c r="E32" s="646"/>
      <c r="F32" s="646"/>
      <c r="G32" s="646"/>
      <c r="H32" s="646"/>
      <c r="I32" s="646"/>
      <c r="J32" s="646"/>
      <c r="K32" s="646"/>
      <c r="L32" s="662">
        <f>+L29-SUM(L23:L28)-L15</f>
        <v>23848094</v>
      </c>
      <c r="M32" s="662">
        <f>+M29-SUM(M23:M28)-M15</f>
        <v>24288446</v>
      </c>
      <c r="P32" s="646">
        <f>+P29-SUM(P23:P28)-P15</f>
        <v>26374954</v>
      </c>
      <c r="R32" s="646">
        <f>+R29-SUM(R23:R28)-R15</f>
        <v>26425009</v>
      </c>
      <c r="S32" s="857"/>
      <c r="T32" s="647"/>
      <c r="Z32" s="647"/>
    </row>
    <row r="33" spans="1:26" x14ac:dyDescent="0.2">
      <c r="B33" s="646" t="s">
        <v>616</v>
      </c>
      <c r="C33" s="646"/>
      <c r="D33" s="646"/>
      <c r="E33" s="646"/>
      <c r="F33" s="646"/>
      <c r="G33" s="646"/>
      <c r="H33" s="646"/>
      <c r="I33" s="646"/>
      <c r="J33" s="646"/>
      <c r="K33" s="646"/>
      <c r="P33" s="647"/>
      <c r="Q33" s="647"/>
      <c r="R33" s="646"/>
      <c r="S33" s="857"/>
      <c r="T33" s="647"/>
      <c r="Z33" s="647"/>
    </row>
    <row r="35" spans="1:26" x14ac:dyDescent="0.2">
      <c r="C35" s="643" t="s">
        <v>563</v>
      </c>
      <c r="D35" s="643" t="s">
        <v>564</v>
      </c>
      <c r="E35" s="643" t="s">
        <v>565</v>
      </c>
      <c r="F35" s="643" t="s">
        <v>566</v>
      </c>
      <c r="G35" s="643" t="s">
        <v>567</v>
      </c>
      <c r="H35" s="643" t="s">
        <v>568</v>
      </c>
      <c r="I35" s="643" t="s">
        <v>569</v>
      </c>
      <c r="J35" s="644" t="s">
        <v>570</v>
      </c>
      <c r="K35" s="644" t="s">
        <v>275</v>
      </c>
      <c r="L35" s="661" t="s">
        <v>275</v>
      </c>
      <c r="M35" s="661" t="s">
        <v>276</v>
      </c>
      <c r="N35" s="661" t="s">
        <v>276</v>
      </c>
      <c r="O35" s="644" t="s">
        <v>277</v>
      </c>
      <c r="P35" s="644" t="s">
        <v>571</v>
      </c>
      <c r="Q35" s="644" t="s">
        <v>571</v>
      </c>
      <c r="R35" s="644" t="s">
        <v>571</v>
      </c>
      <c r="S35" s="644"/>
      <c r="U35" s="647"/>
    </row>
    <row r="36" spans="1:26" x14ac:dyDescent="0.2">
      <c r="C36" s="643" t="s">
        <v>280</v>
      </c>
      <c r="D36" s="643" t="s">
        <v>280</v>
      </c>
      <c r="E36" s="643" t="s">
        <v>280</v>
      </c>
      <c r="F36" s="643" t="s">
        <v>280</v>
      </c>
      <c r="G36" s="643" t="s">
        <v>280</v>
      </c>
      <c r="H36" s="643" t="s">
        <v>280</v>
      </c>
      <c r="I36" s="643" t="s">
        <v>280</v>
      </c>
      <c r="J36" s="643" t="s">
        <v>280</v>
      </c>
      <c r="K36" s="643" t="s">
        <v>279</v>
      </c>
      <c r="L36" s="661" t="s">
        <v>280</v>
      </c>
      <c r="M36" s="661" t="s">
        <v>279</v>
      </c>
      <c r="N36" s="661" t="s">
        <v>280</v>
      </c>
      <c r="O36" s="661" t="s">
        <v>279</v>
      </c>
      <c r="P36" s="644" t="s">
        <v>573</v>
      </c>
      <c r="Q36" s="645" t="s">
        <v>617</v>
      </c>
      <c r="R36" s="645" t="s">
        <v>575</v>
      </c>
      <c r="S36" s="645"/>
      <c r="U36" s="647"/>
    </row>
    <row r="37" spans="1:26" x14ac:dyDescent="0.2">
      <c r="B37" s="642" t="s">
        <v>618</v>
      </c>
      <c r="P37" s="647"/>
      <c r="Q37" s="647"/>
      <c r="S37" s="646"/>
      <c r="U37" s="647"/>
    </row>
    <row r="38" spans="1:26" x14ac:dyDescent="0.2">
      <c r="A38" s="833">
        <v>113</v>
      </c>
      <c r="B38" s="642" t="s">
        <v>619</v>
      </c>
      <c r="C38" s="647">
        <f>+'113 Town Mtg'!C23</f>
        <v>1561.73</v>
      </c>
      <c r="D38" s="647">
        <f>+'113 Town Mtg'!D23</f>
        <v>1423.38</v>
      </c>
      <c r="E38" s="647">
        <f>+'113 Town Mtg'!E23</f>
        <v>1614.6</v>
      </c>
      <c r="F38" s="647">
        <f>+'113 Town Mtg'!F23</f>
        <v>1368.86</v>
      </c>
      <c r="G38" s="647">
        <f>+'113 Town Mtg'!G23</f>
        <v>1581.73</v>
      </c>
      <c r="H38" s="647">
        <f>+'113 Town Mtg'!H23</f>
        <v>1783.82</v>
      </c>
      <c r="I38" s="647">
        <f>+'113 Town Mtg'!I23</f>
        <v>1800</v>
      </c>
      <c r="J38" s="647">
        <f>+'113 Town Mtg'!J23</f>
        <v>4037.63</v>
      </c>
      <c r="K38" s="647">
        <f>+'113 Town Mtg'!K23</f>
        <v>2090</v>
      </c>
      <c r="L38" s="662">
        <f>+'113 Town Mtg'!L23</f>
        <v>1403.7</v>
      </c>
      <c r="M38" s="662">
        <f>+'113 Town Mtg'!M23</f>
        <v>2140</v>
      </c>
      <c r="N38" s="662">
        <f>+'113 Town Mtg'!N23</f>
        <v>2140</v>
      </c>
      <c r="O38" s="662">
        <f>+'113 Town Mtg'!O23</f>
        <v>2390</v>
      </c>
      <c r="P38" s="647">
        <f>ROUND((+'113 Town Mtg'!Q23),0)</f>
        <v>2980</v>
      </c>
      <c r="Q38" s="647">
        <f>ROUND((+'113 Town Mtg'!R23),0)</f>
        <v>2980</v>
      </c>
      <c r="R38" s="647">
        <f>ROUND((+'113 Town Mtg'!S23),0)</f>
        <v>2980</v>
      </c>
      <c r="U38" s="647"/>
    </row>
    <row r="39" spans="1:26" x14ac:dyDescent="0.2">
      <c r="A39" s="833">
        <v>122</v>
      </c>
      <c r="B39" s="642" t="s">
        <v>620</v>
      </c>
      <c r="C39" s="647">
        <f>+'122 Selectboard'!C36</f>
        <v>129636.18999999999</v>
      </c>
      <c r="D39" s="647">
        <f>+'122 Selectboard'!D36</f>
        <v>141863.65000000002</v>
      </c>
      <c r="E39" s="647">
        <f>+'122 Selectboard'!E36</f>
        <v>148667.49</v>
      </c>
      <c r="F39" s="647">
        <f>+'122 Selectboard'!F36</f>
        <v>155552.90000000002</v>
      </c>
      <c r="G39" s="647">
        <f>+'122 Selectboard'!G36</f>
        <v>193441</v>
      </c>
      <c r="H39" s="647">
        <f>+'122 Selectboard'!H36</f>
        <v>175165.72999999998</v>
      </c>
      <c r="I39" s="647">
        <f>+'122 Selectboard'!I36</f>
        <v>172490.09999999998</v>
      </c>
      <c r="J39" s="647">
        <f>+'122 Selectboard'!J36</f>
        <v>181145.66999999998</v>
      </c>
      <c r="K39" s="647">
        <f>+'122 Selectboard'!K36</f>
        <v>198014</v>
      </c>
      <c r="L39" s="662">
        <f>+'122 Selectboard'!L36</f>
        <v>189784.35</v>
      </c>
      <c r="M39" s="662">
        <f>+'122 Selectboard'!M36</f>
        <v>194729</v>
      </c>
      <c r="N39" s="662">
        <f>+'122 Selectboard'!N36</f>
        <v>190329.96</v>
      </c>
      <c r="O39" s="662">
        <f>+'122 Selectboard'!O36</f>
        <v>313510</v>
      </c>
      <c r="P39" s="647">
        <f>ROUND((+'122 Selectboard'!Q36),0)</f>
        <v>329781</v>
      </c>
      <c r="Q39" s="647">
        <f>ROUND((+'122 Selectboard'!R36),0)</f>
        <v>329781</v>
      </c>
      <c r="R39" s="647">
        <f>ROUND((+'122 Selectboard'!S36),0)</f>
        <v>329781</v>
      </c>
      <c r="U39" s="647"/>
    </row>
    <row r="40" spans="1:26" x14ac:dyDescent="0.2">
      <c r="A40" s="833">
        <v>131</v>
      </c>
      <c r="B40" s="642" t="s">
        <v>621</v>
      </c>
      <c r="C40" s="647">
        <f>+'131 Fin Comm'!C20</f>
        <v>659.25</v>
      </c>
      <c r="D40" s="647">
        <f>+'131 Fin Comm'!D20</f>
        <v>315.39999999999998</v>
      </c>
      <c r="E40" s="647">
        <f>+'131 Fin Comm'!E20</f>
        <v>571.79999999999995</v>
      </c>
      <c r="F40" s="647">
        <f>+'131 Fin Comm'!F20</f>
        <v>615.22</v>
      </c>
      <c r="G40" s="647">
        <f>+'131 Fin Comm'!G20</f>
        <v>422</v>
      </c>
      <c r="H40" s="647">
        <f>+'131 Fin Comm'!H20</f>
        <v>468</v>
      </c>
      <c r="I40" s="647">
        <f>+'131 Fin Comm'!I20</f>
        <v>673.07999999999993</v>
      </c>
      <c r="J40" s="647">
        <f>+'131 Fin Comm'!J20</f>
        <v>464.1</v>
      </c>
      <c r="K40" s="647">
        <f>+'131 Fin Comm'!K20</f>
        <v>1000</v>
      </c>
      <c r="L40" s="662">
        <f>+'131 Fin Comm'!L20</f>
        <v>280</v>
      </c>
      <c r="M40" s="662">
        <f>+'131 Fin Comm'!M20</f>
        <v>2000</v>
      </c>
      <c r="N40" s="662">
        <f>+'131 Fin Comm'!N20</f>
        <v>1915.75</v>
      </c>
      <c r="O40" s="662">
        <f>+'131 Fin Comm'!O20</f>
        <v>2000</v>
      </c>
      <c r="P40" s="647">
        <f>ROUND((+'131 Fin Comm'!Q20),0)</f>
        <v>2000</v>
      </c>
      <c r="Q40" s="647">
        <f>ROUND((+'131 Fin Comm'!R20),0)</f>
        <v>2000</v>
      </c>
      <c r="R40" s="647">
        <f>ROUND((+'131 Fin Comm'!S20),0)</f>
        <v>2000</v>
      </c>
      <c r="U40" s="647"/>
    </row>
    <row r="41" spans="1:26" x14ac:dyDescent="0.2">
      <c r="A41" s="833">
        <v>132</v>
      </c>
      <c r="B41" s="642" t="s">
        <v>622</v>
      </c>
      <c r="C41" s="647">
        <f>+'132 Reserve Fund'!C14</f>
        <v>44620</v>
      </c>
      <c r="D41" s="647">
        <f>+'132 Reserve Fund'!D14</f>
        <v>24500</v>
      </c>
      <c r="E41" s="647">
        <f>+'132 Reserve Fund'!E14</f>
        <v>41400</v>
      </c>
      <c r="F41" s="647">
        <f>+'132 Reserve Fund'!F14</f>
        <v>55839.67</v>
      </c>
      <c r="G41" s="647">
        <f>+'132 Reserve Fund'!G14</f>
        <v>58400.800000000003</v>
      </c>
      <c r="H41" s="647">
        <f>+'132 Reserve Fund'!H14</f>
        <v>43309.74</v>
      </c>
      <c r="I41" s="647">
        <f>+'132 Reserve Fund'!I14</f>
        <v>20200</v>
      </c>
      <c r="J41" s="647">
        <f>+'132 Reserve Fund'!J14</f>
        <v>29700</v>
      </c>
      <c r="K41" s="647">
        <f>+'132 Reserve Fund'!K14</f>
        <v>60000</v>
      </c>
      <c r="L41" s="662">
        <f>+'132 Reserve Fund'!L14</f>
        <v>18500</v>
      </c>
      <c r="M41" s="662">
        <f>+'132 Reserve Fund'!M14</f>
        <v>60000</v>
      </c>
      <c r="N41" s="662">
        <f>+'132 Reserve Fund'!N14</f>
        <v>28650</v>
      </c>
      <c r="O41" s="662">
        <f>+'132 Reserve Fund'!O14</f>
        <v>50000</v>
      </c>
      <c r="P41" s="647">
        <f>ROUND((+'132 Reserve Fund'!Q14),0)</f>
        <v>50000</v>
      </c>
      <c r="Q41" s="647">
        <f>ROUND((+'132 Reserve Fund'!R14),0)</f>
        <v>50000</v>
      </c>
      <c r="R41" s="647">
        <f>ROUND((+'132 Reserve Fund'!S14),0)</f>
        <v>50000</v>
      </c>
      <c r="U41" s="647"/>
    </row>
    <row r="42" spans="1:26" x14ac:dyDescent="0.2">
      <c r="A42" s="833">
        <v>135</v>
      </c>
      <c r="B42" s="642" t="s">
        <v>623</v>
      </c>
      <c r="C42" s="647">
        <f>+'135 Acct'!C28</f>
        <v>69678.560000000012</v>
      </c>
      <c r="D42" s="647">
        <f>+'135 Acct'!D28</f>
        <v>69599.66</v>
      </c>
      <c r="E42" s="647">
        <f>+'135 Acct'!E28</f>
        <v>73935.94</v>
      </c>
      <c r="F42" s="647">
        <f>+'135 Acct'!F28</f>
        <v>76437.100000000006</v>
      </c>
      <c r="G42" s="647">
        <f>+'135 Acct'!G28</f>
        <v>75098.350000000006</v>
      </c>
      <c r="H42" s="647">
        <f>+'135 Acct'!H28</f>
        <v>75900.149999999994</v>
      </c>
      <c r="I42" s="647">
        <f>+'135 Acct'!I28</f>
        <v>77521.61</v>
      </c>
      <c r="J42" s="647">
        <f>+'135 Acct'!J28</f>
        <v>80373.84</v>
      </c>
      <c r="K42" s="647">
        <f>+'135 Acct'!K28</f>
        <v>81934</v>
      </c>
      <c r="L42" s="662">
        <f>+'135 Acct'!L28</f>
        <v>81589.320000000007</v>
      </c>
      <c r="M42" s="662">
        <f>+'135 Acct'!M28</f>
        <v>83400</v>
      </c>
      <c r="N42" s="662">
        <f>+'135 Acct'!N28</f>
        <v>82671.81</v>
      </c>
      <c r="O42" s="662">
        <f>+'135 Acct'!O28</f>
        <v>90884</v>
      </c>
      <c r="P42" s="647">
        <f>ROUND((+'135 Acct'!Q28),0)</f>
        <v>89500</v>
      </c>
      <c r="Q42" s="647">
        <f>ROUND((+'135 Acct'!R28),0)</f>
        <v>89500</v>
      </c>
      <c r="R42" s="647">
        <f>ROUND((+'135 Acct'!S28),0)</f>
        <v>89500</v>
      </c>
      <c r="U42" s="647"/>
    </row>
    <row r="43" spans="1:26" x14ac:dyDescent="0.2">
      <c r="A43" s="833">
        <v>141</v>
      </c>
      <c r="B43" s="642" t="s">
        <v>624</v>
      </c>
      <c r="C43" s="647">
        <f>+'141 BOA'!C42</f>
        <v>141651.54</v>
      </c>
      <c r="D43" s="647">
        <f>+'141 BOA'!D42</f>
        <v>144985.04999999999</v>
      </c>
      <c r="E43" s="647">
        <f>+'141 BOA'!E42</f>
        <v>151757</v>
      </c>
      <c r="F43" s="647">
        <f>+'141 BOA'!F42</f>
        <v>159170.29</v>
      </c>
      <c r="G43" s="647">
        <f>+'141 BOA'!G42</f>
        <v>163402.36000000002</v>
      </c>
      <c r="H43" s="647">
        <f>+'141 BOA'!H42</f>
        <v>172805.62</v>
      </c>
      <c r="I43" s="647">
        <f>+'141 BOA'!I42</f>
        <v>172698.83000000002</v>
      </c>
      <c r="J43" s="647">
        <f>+'141 BOA'!J42</f>
        <v>184928.44</v>
      </c>
      <c r="K43" s="647">
        <f>+'141 BOA'!K42</f>
        <v>195422</v>
      </c>
      <c r="L43" s="662">
        <f>+'141 BOA'!L42</f>
        <v>169249.33</v>
      </c>
      <c r="M43" s="662">
        <f>+'141 BOA'!M42</f>
        <v>179761</v>
      </c>
      <c r="N43" s="662">
        <f>+'141 BOA'!N42</f>
        <v>147454.97999999998</v>
      </c>
      <c r="O43" s="662">
        <f>+'141 BOA'!O42</f>
        <v>190623</v>
      </c>
      <c r="P43" s="647">
        <f>ROUND((+'141 BOA'!Q42),0)</f>
        <v>189801</v>
      </c>
      <c r="Q43" s="647">
        <f>ROUND((+'141 BOA'!R42),0)</f>
        <v>189801</v>
      </c>
      <c r="R43" s="647">
        <f>ROUND((+'141 BOA'!S42),0)</f>
        <v>189801</v>
      </c>
      <c r="U43" s="647"/>
    </row>
    <row r="44" spans="1:26" hidden="1" x14ac:dyDescent="0.2">
      <c r="A44" s="833">
        <v>141</v>
      </c>
      <c r="B44" s="642" t="s">
        <v>625</v>
      </c>
      <c r="C44" s="647">
        <f>+'141 BOA'!C40</f>
        <v>0</v>
      </c>
      <c r="D44" s="647">
        <f>+'141 BOA'!D40</f>
        <v>0</v>
      </c>
      <c r="E44" s="647">
        <f>+'141 BOA'!E40</f>
        <v>0</v>
      </c>
      <c r="F44" s="647">
        <f>+'141 BOA'!F40</f>
        <v>3860</v>
      </c>
      <c r="G44" s="647">
        <f>+'141 BOA'!G40</f>
        <v>0</v>
      </c>
      <c r="H44" s="647">
        <f>+'141 BOA'!H40</f>
        <v>0</v>
      </c>
      <c r="I44" s="647">
        <f>+'141 BOA'!I40</f>
        <v>0</v>
      </c>
      <c r="J44" s="647">
        <f>+'141 BOA'!J40</f>
        <v>0</v>
      </c>
      <c r="K44" s="647">
        <f>+'141 BOA'!K40</f>
        <v>0</v>
      </c>
      <c r="L44" s="662">
        <f>+'141 BOA'!L40</f>
        <v>0</v>
      </c>
      <c r="M44" s="662">
        <f>+'141 BOA'!M40</f>
        <v>0</v>
      </c>
      <c r="N44" s="662">
        <f>+'141 BOA'!N40</f>
        <v>0</v>
      </c>
      <c r="O44" s="662">
        <f>+'141 BOA'!O40</f>
        <v>0</v>
      </c>
      <c r="P44" s="647">
        <f>+'141 BOA'!Q40</f>
        <v>0</v>
      </c>
      <c r="Q44" s="647">
        <f>+'141 BOA'!R40</f>
        <v>0</v>
      </c>
      <c r="R44" s="647">
        <f>+'141 BOA'!S40</f>
        <v>0</v>
      </c>
      <c r="U44" s="647"/>
    </row>
    <row r="45" spans="1:26" x14ac:dyDescent="0.2">
      <c r="A45" s="833">
        <v>145</v>
      </c>
      <c r="B45" s="642" t="s">
        <v>626</v>
      </c>
      <c r="C45" s="647">
        <f>+'145 Treas'!C33</f>
        <v>191039.90999999997</v>
      </c>
      <c r="D45" s="647">
        <f>+'145 Treas'!D33</f>
        <v>197309.9</v>
      </c>
      <c r="E45" s="647">
        <f>+'145 Treas'!E33</f>
        <v>206758.38</v>
      </c>
      <c r="F45" s="647">
        <f>+'145 Treas'!F33</f>
        <v>218034.8</v>
      </c>
      <c r="G45" s="647">
        <f>+'145 Treas'!G33</f>
        <v>213700.67</v>
      </c>
      <c r="H45" s="647">
        <f>+'145 Treas'!H33</f>
        <v>208670.33</v>
      </c>
      <c r="I45" s="647">
        <f>+'145 Treas'!I33</f>
        <v>206826.21</v>
      </c>
      <c r="J45" s="647">
        <f>+'145 Treas'!J33</f>
        <v>219412.09000000003</v>
      </c>
      <c r="K45" s="647">
        <f>+'145 Treas'!K33</f>
        <v>239560</v>
      </c>
      <c r="L45" s="662">
        <f>+'145 Treas'!L33</f>
        <v>223197.94</v>
      </c>
      <c r="M45" s="662">
        <f>+'145 Treas'!M33</f>
        <v>228963</v>
      </c>
      <c r="N45" s="662">
        <f>+'145 Treas'!N33</f>
        <v>212737.83</v>
      </c>
      <c r="O45" s="662">
        <f>+'145 Treas'!O33</f>
        <v>220713</v>
      </c>
      <c r="P45" s="647">
        <f>ROUND((+'145 Treas'!Q33),0)</f>
        <v>230748</v>
      </c>
      <c r="Q45" s="647">
        <f>ROUND((+'145 Treas'!R33),0)</f>
        <v>230748</v>
      </c>
      <c r="R45" s="647">
        <f>ROUND((+'145 Treas'!S33),0)</f>
        <v>230748</v>
      </c>
      <c r="U45" s="647"/>
    </row>
    <row r="46" spans="1:26" x14ac:dyDescent="0.2">
      <c r="A46" s="833">
        <v>151</v>
      </c>
      <c r="B46" s="642" t="s">
        <v>627</v>
      </c>
      <c r="C46" s="647">
        <f>+'151 Counsel'!C16</f>
        <v>79291.739999999991</v>
      </c>
      <c r="D46" s="647">
        <f>+'151 Counsel'!D16</f>
        <v>68222.33</v>
      </c>
      <c r="E46" s="647">
        <f>+'151 Counsel'!E16</f>
        <v>104258.47</v>
      </c>
      <c r="F46" s="647">
        <f>+'151 Counsel'!F16</f>
        <v>74568.58</v>
      </c>
      <c r="G46" s="647">
        <f>+'151 Counsel'!G16</f>
        <v>94990.93</v>
      </c>
      <c r="H46" s="647">
        <f>+'151 Counsel'!H16</f>
        <v>78752.53</v>
      </c>
      <c r="I46" s="647">
        <f>+'151 Counsel'!I16</f>
        <v>62050.99</v>
      </c>
      <c r="J46" s="647">
        <f>+'151 Counsel'!J16</f>
        <v>47390.289999999994</v>
      </c>
      <c r="K46" s="647">
        <f>+'151 Counsel'!K16</f>
        <v>80000</v>
      </c>
      <c r="L46" s="662">
        <f>+'151 Counsel'!L16</f>
        <v>51028.08</v>
      </c>
      <c r="M46" s="662">
        <f>+'151 Counsel'!M16</f>
        <v>85000</v>
      </c>
      <c r="N46" s="662">
        <f>+'151 Counsel'!N16</f>
        <v>62525.78</v>
      </c>
      <c r="O46" s="662">
        <f>+'151 Counsel'!O16</f>
        <v>75000</v>
      </c>
      <c r="P46" s="647">
        <f>ROUND((+'151 Counsel'!Q16),0)</f>
        <v>80000</v>
      </c>
      <c r="Q46" s="647">
        <f>ROUND((+'151 Counsel'!R16),0)</f>
        <v>80000</v>
      </c>
      <c r="R46" s="647">
        <f>ROUND((+'151 Counsel'!S16),0)</f>
        <v>80000</v>
      </c>
      <c r="U46" s="647"/>
    </row>
    <row r="47" spans="1:26" x14ac:dyDescent="0.2">
      <c r="A47" s="833">
        <v>155</v>
      </c>
      <c r="B47" s="642" t="s">
        <v>628</v>
      </c>
      <c r="C47" s="647">
        <f>+'155 IT'!C29</f>
        <v>21070.73</v>
      </c>
      <c r="D47" s="647">
        <f>+'155 IT'!D29</f>
        <v>21720.39</v>
      </c>
      <c r="E47" s="647">
        <f>+'155 IT'!E29</f>
        <v>22312.94</v>
      </c>
      <c r="F47" s="647">
        <f>+'155 IT'!F29</f>
        <v>31491.690000000002</v>
      </c>
      <c r="G47" s="647">
        <f>+'155 IT'!G29</f>
        <v>33814.289999999994</v>
      </c>
      <c r="H47" s="647">
        <f>+'155 IT'!H29</f>
        <v>43349.700000000004</v>
      </c>
      <c r="I47" s="647">
        <f>+'155 IT'!I29</f>
        <v>46323.6</v>
      </c>
      <c r="J47" s="647">
        <f>+'155 IT'!J29</f>
        <v>56002.240000000005</v>
      </c>
      <c r="K47" s="647">
        <f>+'155 IT'!K29</f>
        <v>74100</v>
      </c>
      <c r="L47" s="662">
        <f>+'155 IT'!L29</f>
        <v>71280.13</v>
      </c>
      <c r="M47" s="662">
        <f>+'155 IT'!M29</f>
        <v>97800</v>
      </c>
      <c r="N47" s="662">
        <f>+'155 IT'!N29</f>
        <v>54706.350000000006</v>
      </c>
      <c r="O47" s="662">
        <f>+'155 IT'!O29</f>
        <v>79000</v>
      </c>
      <c r="P47" s="647">
        <f>ROUND((+'155 IT'!Q29),0)</f>
        <v>80500</v>
      </c>
      <c r="Q47" s="647">
        <f>ROUND((+'155 IT'!R29),0)</f>
        <v>80500</v>
      </c>
      <c r="R47" s="647">
        <f>ROUND((+'155 IT'!S29),0)</f>
        <v>80500</v>
      </c>
      <c r="U47" s="647"/>
    </row>
    <row r="48" spans="1:26" x14ac:dyDescent="0.2">
      <c r="A48" s="833">
        <v>159</v>
      </c>
      <c r="B48" s="642" t="s">
        <v>629</v>
      </c>
      <c r="C48" s="647">
        <f>+'159 Shared Costs'!C23</f>
        <v>41297.370000000003</v>
      </c>
      <c r="D48" s="647">
        <f>+'159 Shared Costs'!D23</f>
        <v>40543.560000000005</v>
      </c>
      <c r="E48" s="647">
        <f>+'159 Shared Costs'!E23</f>
        <v>43387.42</v>
      </c>
      <c r="F48" s="647">
        <f>+'159 Shared Costs'!F23</f>
        <v>43663.680000000008</v>
      </c>
      <c r="G48" s="647">
        <f>+'159 Shared Costs'!G23</f>
        <v>43321.19</v>
      </c>
      <c r="H48" s="647">
        <f>+'159 Shared Costs'!H23</f>
        <v>72116.45</v>
      </c>
      <c r="I48" s="647">
        <f>+'159 Shared Costs'!I23</f>
        <v>81055.099999999991</v>
      </c>
      <c r="J48" s="647">
        <f>+'159 Shared Costs'!J23</f>
        <v>59453.41</v>
      </c>
      <c r="K48" s="647">
        <f>+'159 Shared Costs'!K23</f>
        <v>74759</v>
      </c>
      <c r="L48" s="662">
        <f>+'159 Shared Costs'!L23</f>
        <v>62336.41</v>
      </c>
      <c r="M48" s="662">
        <f>+'159 Shared Costs'!M23</f>
        <v>77579</v>
      </c>
      <c r="N48" s="662">
        <f>+'159 Shared Costs'!N23</f>
        <v>66014.109999999986</v>
      </c>
      <c r="O48" s="662">
        <f>+'159 Shared Costs'!O23</f>
        <v>78079</v>
      </c>
      <c r="P48" s="647">
        <f>ROUND((+'159 Shared Costs'!Q23),0)</f>
        <v>85907</v>
      </c>
      <c r="Q48" s="647">
        <f>ROUND((+'159 Shared Costs'!R23),0)</f>
        <v>85907</v>
      </c>
      <c r="R48" s="647">
        <f>ROUND((+'159 Shared Costs'!S23),0)</f>
        <v>85907</v>
      </c>
      <c r="U48" s="647"/>
    </row>
    <row r="49" spans="1:28" x14ac:dyDescent="0.2">
      <c r="A49" s="833">
        <v>161</v>
      </c>
      <c r="B49" s="642" t="s">
        <v>630</v>
      </c>
      <c r="C49" s="647">
        <f>+'161 Clerk'!C38</f>
        <v>130503.54</v>
      </c>
      <c r="D49" s="647">
        <f>+'161 Clerk'!D38</f>
        <v>113509.36</v>
      </c>
      <c r="E49" s="647">
        <f>+'161 Clerk'!E38</f>
        <v>134637.65</v>
      </c>
      <c r="F49" s="647">
        <f>+'161 Clerk'!F38</f>
        <v>135316.26999999999</v>
      </c>
      <c r="G49" s="647">
        <f>+'161 Clerk'!G38</f>
        <v>142245.75999999998</v>
      </c>
      <c r="H49" s="647">
        <f>+'161 Clerk'!H38</f>
        <v>134774.06</v>
      </c>
      <c r="I49" s="647">
        <f>+'161 Clerk'!I38</f>
        <v>164798.6</v>
      </c>
      <c r="J49" s="647">
        <f>+'161 Clerk'!J38</f>
        <v>152976.47999999998</v>
      </c>
      <c r="K49" s="647">
        <f>+'161 Clerk'!K38</f>
        <v>167001</v>
      </c>
      <c r="L49" s="662">
        <f>+'161 Clerk'!L38</f>
        <v>163415.98000000001</v>
      </c>
      <c r="M49" s="662">
        <f>+'161 Clerk'!M38</f>
        <v>155173</v>
      </c>
      <c r="N49" s="662">
        <f>+'161 Clerk'!N38</f>
        <v>162169.68</v>
      </c>
      <c r="O49" s="662">
        <f>+'161 Clerk'!O38</f>
        <v>195844</v>
      </c>
      <c r="P49" s="647">
        <f>ROUND((+'161 Clerk'!Q38),0)</f>
        <v>243041</v>
      </c>
      <c r="Q49" s="647">
        <f>ROUND((+'161 Clerk'!R38),0)</f>
        <v>243041</v>
      </c>
      <c r="R49" s="647">
        <f>ROUND((+'161 Clerk'!S38),0)</f>
        <v>243041</v>
      </c>
      <c r="U49" s="647"/>
    </row>
    <row r="50" spans="1:28" x14ac:dyDescent="0.2">
      <c r="A50" s="833">
        <v>175</v>
      </c>
      <c r="B50" s="642" t="s">
        <v>631</v>
      </c>
      <c r="C50" s="647">
        <f>+'175 Planning'!C32</f>
        <v>64295.68</v>
      </c>
      <c r="D50" s="647">
        <f>+'175 Planning'!D32</f>
        <v>74043.48</v>
      </c>
      <c r="E50" s="647">
        <f>+'175 Planning'!E32</f>
        <v>76609.999999999985</v>
      </c>
      <c r="F50" s="647">
        <f>+'175 Planning'!F32</f>
        <v>78689.919999999998</v>
      </c>
      <c r="G50" s="647">
        <f>+'175 Planning'!G32</f>
        <v>85614.25</v>
      </c>
      <c r="H50" s="647">
        <f>+'175 Planning'!H32</f>
        <v>89106.83</v>
      </c>
      <c r="I50" s="647">
        <f>+'175 Planning'!I32</f>
        <v>113367.35999999999</v>
      </c>
      <c r="J50" s="647">
        <f>+'175 Planning'!J32</f>
        <v>123363.51</v>
      </c>
      <c r="K50" s="647">
        <f>+'175 Planning'!K32</f>
        <v>121187</v>
      </c>
      <c r="L50" s="662">
        <f>+'175 Planning'!L32</f>
        <v>119134.15999999999</v>
      </c>
      <c r="M50" s="662">
        <f>+'175 Planning'!M32</f>
        <v>123121</v>
      </c>
      <c r="N50" s="662">
        <f>+'175 Planning'!N32</f>
        <v>122406.09999999999</v>
      </c>
      <c r="O50" s="662">
        <f>+'175 Planning'!O32</f>
        <v>129007</v>
      </c>
      <c r="P50" s="647">
        <f>ROUND((+'175 Planning'!Q32),0)</f>
        <v>134429</v>
      </c>
      <c r="Q50" s="647">
        <f>ROUND((+'175 Planning'!R32),0)</f>
        <v>134429</v>
      </c>
      <c r="R50" s="647">
        <f>ROUND((+'175 Planning'!S32),0)</f>
        <v>134429</v>
      </c>
      <c r="U50" s="647"/>
    </row>
    <row r="51" spans="1:28" x14ac:dyDescent="0.2">
      <c r="A51" s="833">
        <v>176</v>
      </c>
      <c r="B51" s="642" t="s">
        <v>632</v>
      </c>
      <c r="C51" s="647">
        <f>+'176 ZBA'!C18</f>
        <v>3437.02</v>
      </c>
      <c r="D51" s="647">
        <f>+'176 ZBA'!D18</f>
        <v>1079.7</v>
      </c>
      <c r="E51" s="647">
        <f>+'176 ZBA'!E18</f>
        <v>1238.56</v>
      </c>
      <c r="F51" s="647">
        <f>+'176 ZBA'!F18</f>
        <v>2203.6799999999998</v>
      </c>
      <c r="G51" s="647">
        <f>+'176 ZBA'!G18</f>
        <v>2086.86</v>
      </c>
      <c r="H51" s="647">
        <f>+'176 ZBA'!H18</f>
        <v>3065.5</v>
      </c>
      <c r="I51" s="647">
        <f>+'176 ZBA'!I18</f>
        <v>611.48</v>
      </c>
      <c r="J51" s="647">
        <f>+'176 ZBA'!J18</f>
        <v>789.57</v>
      </c>
      <c r="K51" s="647">
        <f>+'176 ZBA'!K18</f>
        <v>1200</v>
      </c>
      <c r="L51" s="662">
        <f>+'176 ZBA'!L18</f>
        <v>214.56</v>
      </c>
      <c r="M51" s="662">
        <f>+'176 ZBA'!M18</f>
        <v>700</v>
      </c>
      <c r="N51" s="662">
        <f>+'176 ZBA'!N18</f>
        <v>309.42</v>
      </c>
      <c r="O51" s="662">
        <f>+'176 ZBA'!O18</f>
        <v>700</v>
      </c>
      <c r="P51" s="647">
        <f>ROUND((+'176 ZBA'!Q18),0)</f>
        <v>700</v>
      </c>
      <c r="Q51" s="647">
        <f>ROUND((+'176 ZBA'!R18),0)</f>
        <v>700</v>
      </c>
      <c r="R51" s="647">
        <f>ROUND((+'176 ZBA'!S18),0)</f>
        <v>700</v>
      </c>
      <c r="U51" s="647"/>
    </row>
    <row r="52" spans="1:28" x14ac:dyDescent="0.2">
      <c r="A52" s="833">
        <v>190</v>
      </c>
      <c r="B52" s="642" t="s">
        <v>633</v>
      </c>
      <c r="C52" s="647">
        <f>+'190 Publ Bldg Utilities'!C41</f>
        <v>89938.37</v>
      </c>
      <c r="D52" s="647">
        <f>+'190 Publ Bldg Utilities'!D41</f>
        <v>103744.03</v>
      </c>
      <c r="E52" s="647">
        <f>+'190 Publ Bldg Utilities'!E41</f>
        <v>94949.29</v>
      </c>
      <c r="F52" s="647">
        <f>+'190 Publ Bldg Utilities'!F41</f>
        <v>93004.470000000016</v>
      </c>
      <c r="G52" s="647">
        <f>+'190 Publ Bldg Utilities'!G41</f>
        <v>86631.79</v>
      </c>
      <c r="H52" s="647">
        <f>+'190 Publ Bldg Utilities'!H41</f>
        <v>88374.909999999974</v>
      </c>
      <c r="I52" s="647">
        <f>+'190 Publ Bldg Utilities'!I41</f>
        <v>92714.789999999964</v>
      </c>
      <c r="J52" s="647">
        <f>+'190 Publ Bldg Utilities'!J41</f>
        <v>77501.360000000015</v>
      </c>
      <c r="K52" s="647">
        <f>+'190 Publ Bldg Utilities'!K41</f>
        <v>106320</v>
      </c>
      <c r="L52" s="662">
        <f>+'190 Publ Bldg Utilities'!L41</f>
        <v>85460.26</v>
      </c>
      <c r="M52" s="662">
        <f>+'190 Publ Bldg Utilities'!M41</f>
        <v>109846</v>
      </c>
      <c r="N52" s="662">
        <f>+'190 Publ Bldg Utilities'!N41</f>
        <v>0</v>
      </c>
      <c r="O52" s="662">
        <f>+'190 Publ Bldg Utilities'!O41</f>
        <v>130782</v>
      </c>
      <c r="P52" s="647">
        <f>ROUND((+'190 Publ Bldg Utilities'!Q41),0)</f>
        <v>155932</v>
      </c>
      <c r="Q52" s="647">
        <f>ROUND((+'190 Publ Bldg Utilities'!R41),0)</f>
        <v>155932</v>
      </c>
      <c r="R52" s="647">
        <f>ROUND((+'190 Publ Bldg Utilities'!S41),0)</f>
        <v>155932</v>
      </c>
      <c r="S52" s="646"/>
      <c r="U52" s="647"/>
    </row>
    <row r="53" spans="1:28" x14ac:dyDescent="0.2">
      <c r="A53" s="833">
        <v>197</v>
      </c>
      <c r="B53" s="642" t="s">
        <v>2306</v>
      </c>
      <c r="C53" s="646">
        <f>+'197 Farm Mkt'!C17</f>
        <v>0</v>
      </c>
      <c r="D53" s="646">
        <f>+'197 Farm Mkt'!D17</f>
        <v>0</v>
      </c>
      <c r="E53" s="646">
        <f>+'197 Farm Mkt'!E17</f>
        <v>0</v>
      </c>
      <c r="F53" s="646">
        <f>+'197 Farm Mkt'!F17</f>
        <v>0</v>
      </c>
      <c r="G53" s="646">
        <f>+'197 Farm Mkt'!G17</f>
        <v>0</v>
      </c>
      <c r="H53" s="646">
        <f>+'197 Farm Mkt'!H17</f>
        <v>0</v>
      </c>
      <c r="I53" s="646">
        <f>+'197 Farm Mkt'!I17</f>
        <v>0</v>
      </c>
      <c r="J53" s="646">
        <f>+'197 Farm Mkt'!J17</f>
        <v>0</v>
      </c>
      <c r="K53" s="646">
        <f>+'197 Farm Mkt'!K17</f>
        <v>0</v>
      </c>
      <c r="L53" s="662">
        <f>+'197 Farm Mkt'!L17</f>
        <v>0</v>
      </c>
      <c r="M53" s="662">
        <f>+'197 Farm Mkt'!M17</f>
        <v>0</v>
      </c>
      <c r="N53" s="662">
        <f>+'197 Farm Mkt'!N17</f>
        <v>0</v>
      </c>
      <c r="O53" s="662">
        <f>+'197 Farm Mkt'!O17</f>
        <v>0</v>
      </c>
      <c r="P53" s="646">
        <f>ROUND((+'197 Farm Mkt'!Q17),0)</f>
        <v>5000</v>
      </c>
      <c r="Q53" s="646">
        <f>ROUND((+'197 Farm Mkt'!R17),0)</f>
        <v>5000</v>
      </c>
      <c r="R53" s="646">
        <f>ROUND((+'197 Farm Mkt'!S17),0)</f>
        <v>5000</v>
      </c>
      <c r="U53" s="650"/>
    </row>
    <row r="54" spans="1:28" x14ac:dyDescent="0.2">
      <c r="C54" s="647"/>
      <c r="D54" s="647"/>
      <c r="E54" s="647"/>
      <c r="F54" s="647"/>
      <c r="G54" s="647"/>
      <c r="H54" s="647"/>
      <c r="I54" s="647"/>
      <c r="J54" s="647"/>
      <c r="K54" s="647"/>
      <c r="P54" s="647"/>
      <c r="Q54" s="647"/>
      <c r="S54" s="646"/>
      <c r="U54" s="650"/>
      <c r="AB54" s="650"/>
    </row>
    <row r="55" spans="1:28" x14ac:dyDescent="0.2">
      <c r="B55" s="642" t="s">
        <v>634</v>
      </c>
      <c r="C55" s="647">
        <f t="shared" ref="C55:R55" si="5">SUM(C38:C54)</f>
        <v>1008681.63</v>
      </c>
      <c r="D55" s="647">
        <f t="shared" si="5"/>
        <v>1002859.89</v>
      </c>
      <c r="E55" s="647">
        <f t="shared" si="5"/>
        <v>1102099.54</v>
      </c>
      <c r="F55" s="647">
        <f t="shared" si="5"/>
        <v>1129817.1300000004</v>
      </c>
      <c r="G55" s="647">
        <f t="shared" si="5"/>
        <v>1194751.9800000002</v>
      </c>
      <c r="H55" s="647">
        <f t="shared" si="5"/>
        <v>1187643.3699999999</v>
      </c>
      <c r="I55" s="647">
        <f t="shared" si="5"/>
        <v>1213131.75</v>
      </c>
      <c r="J55" s="647">
        <f t="shared" si="5"/>
        <v>1217538.6300000001</v>
      </c>
      <c r="K55" s="647">
        <f t="shared" si="5"/>
        <v>1402587</v>
      </c>
      <c r="L55" s="662">
        <f t="shared" si="5"/>
        <v>1236874.22</v>
      </c>
      <c r="M55" s="662">
        <f t="shared" si="5"/>
        <v>1400212</v>
      </c>
      <c r="N55" s="662">
        <f t="shared" si="5"/>
        <v>1134031.77</v>
      </c>
      <c r="O55" s="662">
        <f t="shared" si="5"/>
        <v>1558532</v>
      </c>
      <c r="P55" s="647">
        <f t="shared" si="5"/>
        <v>1680319</v>
      </c>
      <c r="Q55" s="647">
        <f t="shared" si="5"/>
        <v>1680319</v>
      </c>
      <c r="R55" s="647">
        <f t="shared" si="5"/>
        <v>1680319</v>
      </c>
      <c r="S55" s="646"/>
      <c r="U55" s="650"/>
    </row>
    <row r="56" spans="1:28" x14ac:dyDescent="0.2">
      <c r="C56" s="647"/>
      <c r="D56" s="647"/>
      <c r="E56" s="647"/>
      <c r="F56" s="647"/>
      <c r="G56" s="647"/>
      <c r="H56" s="647"/>
      <c r="I56" s="647"/>
      <c r="J56" s="647"/>
      <c r="K56" s="647"/>
      <c r="P56" s="647"/>
      <c r="Q56" s="647"/>
      <c r="S56" s="646"/>
      <c r="U56" s="650"/>
    </row>
    <row r="57" spans="1:28" x14ac:dyDescent="0.2">
      <c r="B57" s="642" t="s">
        <v>635</v>
      </c>
      <c r="C57" s="647"/>
      <c r="D57" s="647"/>
      <c r="E57" s="647"/>
      <c r="F57" s="647"/>
      <c r="G57" s="647"/>
      <c r="H57" s="647"/>
      <c r="I57" s="647"/>
      <c r="J57" s="647"/>
      <c r="K57" s="647"/>
      <c r="P57" s="647"/>
      <c r="Q57" s="647"/>
      <c r="S57" s="646"/>
      <c r="U57" s="650"/>
    </row>
    <row r="58" spans="1:28" x14ac:dyDescent="0.2">
      <c r="A58" s="833">
        <v>211</v>
      </c>
      <c r="B58" s="642" t="s">
        <v>636</v>
      </c>
      <c r="C58" s="647">
        <f>+'211 Police'!C59-'211 Police'!C57</f>
        <v>1203014.26</v>
      </c>
      <c r="D58" s="647">
        <f>+'211 Police'!D59-'211 Police'!D57</f>
        <v>1263124.29</v>
      </c>
      <c r="E58" s="647">
        <f>+'211 Police'!E59-'211 Police'!E57</f>
        <v>1370950.0999999999</v>
      </c>
      <c r="F58" s="647">
        <f>+'211 Police'!F59-'211 Police'!F57</f>
        <v>1410262.7999999998</v>
      </c>
      <c r="G58" s="647">
        <f>+'211 Police'!G59-'211 Police'!G57</f>
        <v>1470652.1500000001</v>
      </c>
      <c r="H58" s="647">
        <f>+'211 Police'!H59-'211 Police'!H57</f>
        <v>1309212.4100000001</v>
      </c>
      <c r="I58" s="647">
        <f>+'211 Police'!I59-'211 Police'!I57</f>
        <v>1550896.98</v>
      </c>
      <c r="J58" s="647">
        <f>+'211 Police'!J59-'211 Police'!J57</f>
        <v>1595325.69</v>
      </c>
      <c r="K58" s="647">
        <f>+'211 Police'!K59-'211 Police'!K57</f>
        <v>1652537</v>
      </c>
      <c r="L58" s="662">
        <f>+'211 Police'!L59-'211 Police'!L57</f>
        <v>1627631.8900000001</v>
      </c>
      <c r="M58" s="662">
        <f>+'211 Police'!M59-'211 Police'!M57</f>
        <v>1761945</v>
      </c>
      <c r="N58" s="662">
        <f>+'211 Police'!N59-'211 Police'!N57</f>
        <v>1712935.4700000004</v>
      </c>
      <c r="O58" s="662">
        <f>+'211 Police'!O59-'211 Police'!O57</f>
        <v>1878434</v>
      </c>
      <c r="P58" s="647">
        <f>ROUND((+'211 Police'!Q59-'211 Police'!Q57),0)</f>
        <v>1970054</v>
      </c>
      <c r="Q58" s="647">
        <f>+'211 Police'!R59-'211 Police'!R57</f>
        <v>1970054.0889999999</v>
      </c>
      <c r="R58" s="647">
        <f>ROUND((+'211 Police'!S59-'211 Police'!S57),0)</f>
        <v>1970054</v>
      </c>
      <c r="U58" s="650"/>
    </row>
    <row r="59" spans="1:28" x14ac:dyDescent="0.2">
      <c r="A59" s="833">
        <v>211</v>
      </c>
      <c r="B59" s="642" t="s">
        <v>637</v>
      </c>
      <c r="C59" s="647">
        <f>+'211 Police'!C57</f>
        <v>36895.4</v>
      </c>
      <c r="D59" s="647">
        <f>+'211 Police'!D57</f>
        <v>39483.5</v>
      </c>
      <c r="E59" s="647">
        <f>+'211 Police'!E57</f>
        <v>39102.5</v>
      </c>
      <c r="F59" s="647">
        <f>+'211 Police'!F57</f>
        <v>39498.1</v>
      </c>
      <c r="G59" s="647">
        <f>+'211 Police'!G57</f>
        <v>39500</v>
      </c>
      <c r="H59" s="647">
        <f>+'211 Police'!H57</f>
        <v>41424</v>
      </c>
      <c r="I59" s="647">
        <f>+'211 Police'!I57</f>
        <v>34000</v>
      </c>
      <c r="J59" s="647">
        <f>+'211 Police'!J57</f>
        <v>51600</v>
      </c>
      <c r="K59" s="647">
        <f>+'211 Police'!K57</f>
        <v>53000</v>
      </c>
      <c r="L59" s="662">
        <f>+'211 Police'!L57</f>
        <v>22900</v>
      </c>
      <c r="M59" s="662">
        <f>+'211 Police'!M57</f>
        <v>53000</v>
      </c>
      <c r="N59" s="662">
        <f>+'211 Police'!N57</f>
        <v>44982.74</v>
      </c>
      <c r="O59" s="662">
        <f>+'211 Police'!O57</f>
        <v>54000</v>
      </c>
      <c r="P59" s="647">
        <f>ROUND((+'211 Police'!Q57),0)</f>
        <v>68100</v>
      </c>
      <c r="Q59" s="647">
        <f>ROUND((+'211 Police'!R57),0)</f>
        <v>68100</v>
      </c>
      <c r="R59" s="647">
        <f>ROUND((+'211 Police'!S57),0)</f>
        <v>68100</v>
      </c>
      <c r="U59" s="650"/>
    </row>
    <row r="60" spans="1:28" x14ac:dyDescent="0.2">
      <c r="A60" s="833">
        <v>212</v>
      </c>
      <c r="B60" s="642" t="s">
        <v>638</v>
      </c>
      <c r="C60" s="647">
        <f>+'212 Dispatch'!C26</f>
        <v>219830.37</v>
      </c>
      <c r="D60" s="647">
        <f>+'212 Dispatch'!D26</f>
        <v>247066.76000000004</v>
      </c>
      <c r="E60" s="647">
        <f>+'212 Dispatch'!E26</f>
        <v>261015.62</v>
      </c>
      <c r="F60" s="647">
        <f>+'212 Dispatch'!F26</f>
        <v>261095.52</v>
      </c>
      <c r="G60" s="647">
        <f>+'212 Dispatch'!G26</f>
        <v>268261.88000000006</v>
      </c>
      <c r="H60" s="647">
        <f>+'212 Dispatch'!H26</f>
        <v>297260.07</v>
      </c>
      <c r="I60" s="647">
        <f>+'212 Dispatch'!I26</f>
        <v>299708.75999999995</v>
      </c>
      <c r="J60" s="647">
        <f>+'212 Dispatch'!J26</f>
        <v>313079.05999999994</v>
      </c>
      <c r="K60" s="647">
        <f>+'212 Dispatch'!K26</f>
        <v>311584</v>
      </c>
      <c r="L60" s="662">
        <f>+'212 Dispatch'!L26</f>
        <v>286236</v>
      </c>
      <c r="M60" s="662">
        <f>+'212 Dispatch'!M26</f>
        <v>310291</v>
      </c>
      <c r="N60" s="662">
        <f>+'212 Dispatch'!N26</f>
        <v>328764.47999999992</v>
      </c>
      <c r="O60" s="662">
        <f>+'212 Dispatch'!O26</f>
        <v>377862</v>
      </c>
      <c r="P60" s="647">
        <f>ROUND((+'212 Dispatch'!Q26),0)</f>
        <v>395588</v>
      </c>
      <c r="Q60" s="647">
        <f>ROUND((+'212 Dispatch'!R26),0)</f>
        <v>395588</v>
      </c>
      <c r="R60" s="647">
        <f>ROUND((+'212 Dispatch'!S26),0)</f>
        <v>395588</v>
      </c>
      <c r="U60" s="650"/>
    </row>
    <row r="61" spans="1:28" x14ac:dyDescent="0.2">
      <c r="A61" s="833">
        <v>241</v>
      </c>
      <c r="B61" s="642" t="s">
        <v>639</v>
      </c>
      <c r="C61" s="647">
        <f>+'241 Bldg'!C35</f>
        <v>111725.37000000001</v>
      </c>
      <c r="D61" s="647">
        <f>+'241 Bldg'!D35</f>
        <v>114463.61999999998</v>
      </c>
      <c r="E61" s="647">
        <f>+'241 Bldg'!E35</f>
        <v>118337.56</v>
      </c>
      <c r="F61" s="647">
        <f>+'241 Bldg'!F35</f>
        <v>123515.03</v>
      </c>
      <c r="G61" s="647">
        <f>+'241 Bldg'!G35</f>
        <v>124191.90999999999</v>
      </c>
      <c r="H61" s="647">
        <f>+'241 Bldg'!H35</f>
        <v>142151.04999999999</v>
      </c>
      <c r="I61" s="647">
        <f>+'241 Bldg'!I35</f>
        <v>124218.98</v>
      </c>
      <c r="J61" s="647">
        <f>+'241 Bldg'!J35</f>
        <v>135195.35999999999</v>
      </c>
      <c r="K61" s="647">
        <f>+'241 Bldg'!K35</f>
        <v>141444</v>
      </c>
      <c r="L61" s="662">
        <f>+'241 Bldg'!L35</f>
        <v>139843.77000000002</v>
      </c>
      <c r="M61" s="662">
        <f>+'241 Bldg'!M35</f>
        <v>143080</v>
      </c>
      <c r="N61" s="662">
        <f>+'241 Bldg'!N35</f>
        <v>126711.55999999998</v>
      </c>
      <c r="O61" s="662">
        <f>+'241 Bldg'!O35</f>
        <v>140666</v>
      </c>
      <c r="P61" s="647">
        <f>ROUND((+'241 Bldg'!Q35),0)</f>
        <v>148621</v>
      </c>
      <c r="Q61" s="647">
        <f>ROUND((+'241 Bldg'!R35),0)</f>
        <v>148621</v>
      </c>
      <c r="R61" s="647">
        <f>ROUND((+'241 Bldg'!S35),0)</f>
        <v>148621</v>
      </c>
      <c r="U61" s="650"/>
    </row>
    <row r="62" spans="1:28" x14ac:dyDescent="0.2">
      <c r="A62" s="833">
        <v>244</v>
      </c>
      <c r="B62" s="642" t="s">
        <v>640</v>
      </c>
      <c r="C62" s="647">
        <f>+'244 Sealer'!C12</f>
        <v>2750</v>
      </c>
      <c r="D62" s="647">
        <f>+'244 Sealer'!D12</f>
        <v>2750</v>
      </c>
      <c r="E62" s="647">
        <f>+'244 Sealer'!E12</f>
        <v>2750</v>
      </c>
      <c r="F62" s="647">
        <f>+'244 Sealer'!F12</f>
        <v>2750</v>
      </c>
      <c r="G62" s="647">
        <f>+'244 Sealer'!G12</f>
        <v>2750</v>
      </c>
      <c r="H62" s="647">
        <f>+'244 Sealer'!H12</f>
        <v>2750</v>
      </c>
      <c r="I62" s="647">
        <f>+'244 Sealer'!I12</f>
        <v>2750</v>
      </c>
      <c r="J62" s="647">
        <f>+'244 Sealer'!J12</f>
        <v>2750</v>
      </c>
      <c r="K62" s="647">
        <f>+'244 Sealer'!K12</f>
        <v>2750</v>
      </c>
      <c r="L62" s="662">
        <f>+'244 Sealer'!L12</f>
        <v>2750</v>
      </c>
      <c r="M62" s="662">
        <f>+'244 Sealer'!M12</f>
        <v>2750</v>
      </c>
      <c r="N62" s="662">
        <f>+'244 Sealer'!N12</f>
        <v>2750</v>
      </c>
      <c r="O62" s="662">
        <f>+'244 Sealer'!O12</f>
        <v>7182</v>
      </c>
      <c r="P62" s="647">
        <f>ROUND((+'244 Sealer'!Q12),0)</f>
        <v>7182</v>
      </c>
      <c r="Q62" s="647">
        <f>ROUND((+'244 Sealer'!R12),0)</f>
        <v>7182</v>
      </c>
      <c r="R62" s="647">
        <f>ROUND((+'244 Sealer'!S12),0)</f>
        <v>7182</v>
      </c>
      <c r="U62" s="650"/>
      <c r="AB62" s="646"/>
    </row>
    <row r="63" spans="1:28" x14ac:dyDescent="0.2">
      <c r="A63" s="833">
        <v>291</v>
      </c>
      <c r="B63" s="642" t="s">
        <v>641</v>
      </c>
      <c r="C63" s="647">
        <f>+'291 Emergency'!C16</f>
        <v>5490</v>
      </c>
      <c r="D63" s="647">
        <f>+'291 Emergency'!D16</f>
        <v>5590</v>
      </c>
      <c r="E63" s="647">
        <f>+'291 Emergency'!E16</f>
        <v>5590</v>
      </c>
      <c r="F63" s="647">
        <f>+'291 Emergency'!F16</f>
        <v>5640</v>
      </c>
      <c r="G63" s="647">
        <f>+'291 Emergency'!G16</f>
        <v>5490</v>
      </c>
      <c r="H63" s="647">
        <f>+'291 Emergency'!H16</f>
        <v>5490</v>
      </c>
      <c r="I63" s="647">
        <f>+'291 Emergency'!I16</f>
        <v>5490</v>
      </c>
      <c r="J63" s="647">
        <f>+'291 Emergency'!J16</f>
        <v>5765</v>
      </c>
      <c r="K63" s="647">
        <f>+'291 Emergency'!K16</f>
        <v>5765</v>
      </c>
      <c r="L63" s="662">
        <f>+'291 Emergency'!L16</f>
        <v>5765</v>
      </c>
      <c r="M63" s="662">
        <f>+'291 Emergency'!M16</f>
        <v>6265</v>
      </c>
      <c r="N63" s="662">
        <f>+'291 Emergency'!N16</f>
        <v>5765</v>
      </c>
      <c r="O63" s="662">
        <f>+'291 Emergency'!O16</f>
        <v>6265</v>
      </c>
      <c r="P63" s="647">
        <f>ROUND((+'291 Emergency'!Q16),0)</f>
        <v>6265</v>
      </c>
      <c r="Q63" s="647">
        <f>ROUND((+'291 Emergency'!R16),0)</f>
        <v>6265</v>
      </c>
      <c r="R63" s="647">
        <f>ROUND((+'291 Emergency'!S16),0)</f>
        <v>6265</v>
      </c>
      <c r="U63" s="650"/>
    </row>
    <row r="64" spans="1:28" x14ac:dyDescent="0.2">
      <c r="A64" s="833">
        <v>292</v>
      </c>
      <c r="B64" s="642" t="s">
        <v>642</v>
      </c>
      <c r="C64" s="647">
        <f>+'292 Animal'!C16</f>
        <v>3869.81</v>
      </c>
      <c r="D64" s="647">
        <f>+'292 Animal'!D16</f>
        <v>12240.720000000001</v>
      </c>
      <c r="E64" s="647">
        <f>+'292 Animal'!E16</f>
        <v>16352.41</v>
      </c>
      <c r="F64" s="647">
        <f>+'292 Animal'!F16</f>
        <v>16526.579999999998</v>
      </c>
      <c r="G64" s="647">
        <f>+'292 Animal'!G16</f>
        <v>17994.600000000002</v>
      </c>
      <c r="H64" s="647">
        <f>+'292 Animal'!H16</f>
        <v>18281.5</v>
      </c>
      <c r="I64" s="647">
        <f>+'292 Animal'!I16</f>
        <v>19156.59</v>
      </c>
      <c r="J64" s="647">
        <f>+'292 Animal'!J16</f>
        <v>20200.080000000002</v>
      </c>
      <c r="K64" s="647">
        <f>+'292 Animal'!K16</f>
        <v>20414</v>
      </c>
      <c r="L64" s="662">
        <f>+'292 Animal'!L16</f>
        <v>20141.48</v>
      </c>
      <c r="M64" s="662">
        <f>+'292 Animal'!M16</f>
        <v>21527</v>
      </c>
      <c r="N64" s="662">
        <f>+'292 Animal'!N16</f>
        <v>20390.28</v>
      </c>
      <c r="O64" s="662">
        <f>+'292 Animal'!O16</f>
        <v>21765</v>
      </c>
      <c r="P64" s="647">
        <f>ROUND((+'292 Animal'!Q16),0)</f>
        <v>23112</v>
      </c>
      <c r="Q64" s="647">
        <f>ROUND((+'292 Animal'!R16),0)</f>
        <v>23112</v>
      </c>
      <c r="R64" s="647">
        <f>ROUND((+'292 Animal'!S16),0)</f>
        <v>23112</v>
      </c>
      <c r="U64" s="650"/>
      <c r="V64" s="642"/>
      <c r="W64" s="642"/>
      <c r="X64" s="642"/>
      <c r="Y64" s="642"/>
      <c r="Z64" s="642"/>
      <c r="AA64" s="619"/>
    </row>
    <row r="65" spans="1:28" hidden="1" x14ac:dyDescent="0.2">
      <c r="A65" s="833"/>
      <c r="B65" s="642" t="s">
        <v>643</v>
      </c>
      <c r="C65" s="647">
        <f>+'292 Animal'!C19</f>
        <v>0</v>
      </c>
      <c r="D65" s="647">
        <f>+'292 Animal'!D19</f>
        <v>0</v>
      </c>
      <c r="E65" s="647">
        <f>+'292 Animal'!E19</f>
        <v>0</v>
      </c>
      <c r="F65" s="647">
        <f>+'292 Animal'!F19</f>
        <v>0</v>
      </c>
      <c r="G65" s="647">
        <f>+'292 Animal'!G19</f>
        <v>0</v>
      </c>
      <c r="H65" s="647">
        <f>+'292 Animal'!H19</f>
        <v>7883.74</v>
      </c>
      <c r="I65" s="647">
        <f>+'292 Animal'!I19</f>
        <v>0</v>
      </c>
      <c r="J65" s="647">
        <f>+'292 Animal'!J19</f>
        <v>0</v>
      </c>
      <c r="K65" s="647">
        <f>+'292 Animal'!K19</f>
        <v>0</v>
      </c>
      <c r="L65" s="662">
        <f>+'292 Animal'!L19</f>
        <v>0</v>
      </c>
      <c r="M65" s="662">
        <f>+'292 Animal'!M19</f>
        <v>0</v>
      </c>
      <c r="N65" s="662">
        <f>+'292 Animal'!N19</f>
        <v>0</v>
      </c>
      <c r="O65" s="662">
        <f>+'292 Animal'!O19</f>
        <v>0</v>
      </c>
      <c r="P65" s="647">
        <f>+'292 Animal'!Q19</f>
        <v>0</v>
      </c>
      <c r="Q65" s="647">
        <f>+'292 Animal'!R19</f>
        <v>0</v>
      </c>
      <c r="R65" s="647">
        <f>+'292 Animal'!S19</f>
        <v>0</v>
      </c>
      <c r="U65" s="650"/>
      <c r="V65" s="642"/>
      <c r="W65" s="642"/>
      <c r="X65" s="642"/>
      <c r="Y65" s="642"/>
      <c r="Z65" s="642"/>
      <c r="AA65" s="619"/>
    </row>
    <row r="66" spans="1:28" x14ac:dyDescent="0.2">
      <c r="A66" s="833">
        <v>294</v>
      </c>
      <c r="B66" s="642" t="s">
        <v>644</v>
      </c>
      <c r="C66" s="647">
        <f>+'294 Forest Warden'!C12</f>
        <v>1584</v>
      </c>
      <c r="D66" s="647">
        <f>+'294 Forest Warden'!D12</f>
        <v>1631</v>
      </c>
      <c r="E66" s="647">
        <f>+'294 Forest Warden'!E12</f>
        <v>1631</v>
      </c>
      <c r="F66" s="647">
        <f>+'294 Forest Warden'!F12</f>
        <v>1631</v>
      </c>
      <c r="G66" s="647">
        <f>+'294 Forest Warden'!G12</f>
        <v>1631</v>
      </c>
      <c r="H66" s="647">
        <f>+'294 Forest Warden'!H12</f>
        <v>1631</v>
      </c>
      <c r="I66" s="647">
        <f>+'294 Forest Warden'!I12</f>
        <v>1631</v>
      </c>
      <c r="J66" s="647">
        <f>+'294 Forest Warden'!J12</f>
        <v>1710</v>
      </c>
      <c r="K66" s="647">
        <f>+'294 Forest Warden'!K12</f>
        <v>1710</v>
      </c>
      <c r="L66" s="662">
        <f>+'294 Forest Warden'!L12</f>
        <v>1710</v>
      </c>
      <c r="M66" s="662">
        <f>+'294 Forest Warden'!M12</f>
        <v>1710</v>
      </c>
      <c r="N66" s="662">
        <f>+'294 Forest Warden'!N12</f>
        <v>1710</v>
      </c>
      <c r="O66" s="662">
        <f>+'294 Forest Warden'!O12</f>
        <v>1710</v>
      </c>
      <c r="P66" s="647">
        <f>ROUND((+'294 Forest Warden'!Q12),0)</f>
        <v>1710</v>
      </c>
      <c r="Q66" s="647">
        <f>ROUND((+'294 Forest Warden'!R12),0)</f>
        <v>1710</v>
      </c>
      <c r="R66" s="647">
        <f>ROUND((+'294 Forest Warden'!S12),0)</f>
        <v>1710</v>
      </c>
      <c r="U66" s="650"/>
      <c r="V66" s="642"/>
      <c r="W66" s="642"/>
      <c r="X66" s="642"/>
      <c r="Y66" s="642"/>
      <c r="Z66" s="642"/>
      <c r="AA66" s="619"/>
    </row>
    <row r="67" spans="1:28" x14ac:dyDescent="0.2">
      <c r="A67" s="833">
        <v>299</v>
      </c>
      <c r="B67" s="642" t="s">
        <v>645</v>
      </c>
      <c r="C67" s="647">
        <f>+'299 Tree Warden'!C19</f>
        <v>11817.089999999998</v>
      </c>
      <c r="D67" s="647">
        <f>+'299 Tree Warden'!D19</f>
        <v>11889.699999999999</v>
      </c>
      <c r="E67" s="647">
        <f>+'299 Tree Warden'!E19</f>
        <v>12951.44</v>
      </c>
      <c r="F67" s="647">
        <f>+'299 Tree Warden'!F19</f>
        <v>12826.49</v>
      </c>
      <c r="G67" s="647">
        <f>+'299 Tree Warden'!G19</f>
        <v>13716</v>
      </c>
      <c r="H67" s="647">
        <f>+'299 Tree Warden'!H19</f>
        <v>16680.8</v>
      </c>
      <c r="I67" s="647">
        <f>+'299 Tree Warden'!I19</f>
        <v>17045.5</v>
      </c>
      <c r="J67" s="647">
        <f>+'299 Tree Warden'!J19</f>
        <v>15710</v>
      </c>
      <c r="K67" s="647">
        <f>+'299 Tree Warden'!K19</f>
        <v>20285</v>
      </c>
      <c r="L67" s="662">
        <f>+'299 Tree Warden'!L19</f>
        <v>19260</v>
      </c>
      <c r="M67" s="662">
        <f>+'299 Tree Warden'!M19</f>
        <v>30285</v>
      </c>
      <c r="N67" s="662">
        <f>+'299 Tree Warden'!N19</f>
        <v>27622.480000000003</v>
      </c>
      <c r="O67" s="662">
        <f>+'299 Tree Warden'!O19</f>
        <v>30285</v>
      </c>
      <c r="P67" s="647">
        <f>ROUND((+'299 Tree Warden'!Q19),0)</f>
        <v>30285</v>
      </c>
      <c r="Q67" s="647">
        <f>ROUND((+'299 Tree Warden'!R19),0)</f>
        <v>30285</v>
      </c>
      <c r="R67" s="647">
        <f>ROUND((+'299 Tree Warden'!S19),0)</f>
        <v>30285</v>
      </c>
      <c r="U67" s="650"/>
      <c r="V67" s="642"/>
      <c r="W67" s="642"/>
      <c r="X67" s="642"/>
      <c r="Y67" s="642"/>
      <c r="Z67" s="642"/>
      <c r="AA67" s="619"/>
    </row>
    <row r="68" spans="1:28" x14ac:dyDescent="0.2">
      <c r="A68" s="833"/>
      <c r="C68" s="647"/>
      <c r="D68" s="647"/>
      <c r="E68" s="647"/>
      <c r="F68" s="647"/>
      <c r="G68" s="647"/>
      <c r="H68" s="647"/>
      <c r="I68" s="647"/>
      <c r="J68" s="647"/>
      <c r="K68" s="647"/>
      <c r="P68" s="647"/>
      <c r="Q68" s="647"/>
      <c r="U68" s="650"/>
      <c r="V68" s="642"/>
      <c r="W68" s="642"/>
      <c r="X68" s="642"/>
      <c r="Y68" s="642"/>
      <c r="Z68" s="642"/>
      <c r="AA68" s="619"/>
    </row>
    <row r="69" spans="1:28" x14ac:dyDescent="0.2">
      <c r="B69" s="642" t="s">
        <v>646</v>
      </c>
      <c r="C69" s="647">
        <f>SUM(C58:C67)</f>
        <v>1596976.3</v>
      </c>
      <c r="D69" s="647">
        <f>SUM(D58:D67)</f>
        <v>1698239.5899999999</v>
      </c>
      <c r="E69" s="647">
        <f>SUM(E58:E67)</f>
        <v>1828680.6299999997</v>
      </c>
      <c r="F69" s="647">
        <f>SUM(F58:F67)</f>
        <v>1873745.52</v>
      </c>
      <c r="G69" s="647">
        <f>SUM(G58:G67)</f>
        <v>1944187.5400000003</v>
      </c>
      <c r="H69" s="647">
        <f t="shared" ref="H69:P69" si="6">SUM(H58:H68)</f>
        <v>1842764.5700000003</v>
      </c>
      <c r="I69" s="647">
        <f t="shared" si="6"/>
        <v>2054897.81</v>
      </c>
      <c r="J69" s="647">
        <f t="shared" si="6"/>
        <v>2141335.19</v>
      </c>
      <c r="K69" s="647">
        <f t="shared" ref="K69" si="7">SUM(K58:K68)</f>
        <v>2209489</v>
      </c>
      <c r="L69" s="662">
        <f>SUM(L58:L68)</f>
        <v>2126238.14</v>
      </c>
      <c r="M69" s="662">
        <f t="shared" ref="M69:N69" si="8">SUM(M58:M68)</f>
        <v>2330853</v>
      </c>
      <c r="N69" s="662">
        <f t="shared" si="8"/>
        <v>2271632.0100000002</v>
      </c>
      <c r="O69" s="662">
        <f>SUM(O58:O68)</f>
        <v>2518169</v>
      </c>
      <c r="P69" s="647">
        <f t="shared" si="6"/>
        <v>2650917</v>
      </c>
      <c r="Q69" s="647">
        <f t="shared" ref="Q69:R69" si="9">SUM(Q58:Q68)</f>
        <v>2650917.0889999997</v>
      </c>
      <c r="R69" s="647">
        <f t="shared" si="9"/>
        <v>2650917</v>
      </c>
      <c r="S69" s="646"/>
      <c r="U69" s="650"/>
      <c r="V69" s="642"/>
      <c r="W69" s="642"/>
      <c r="X69" s="642"/>
      <c r="Y69" s="642"/>
      <c r="Z69" s="642"/>
      <c r="AA69" s="619"/>
    </row>
    <row r="70" spans="1:28" x14ac:dyDescent="0.2">
      <c r="C70" s="647"/>
      <c r="D70" s="647"/>
      <c r="E70" s="647"/>
      <c r="F70" s="647"/>
      <c r="G70" s="647"/>
      <c r="H70" s="647"/>
      <c r="I70" s="647"/>
      <c r="J70" s="647"/>
      <c r="K70" s="647"/>
      <c r="P70" s="647"/>
      <c r="Q70" s="647"/>
      <c r="S70" s="646"/>
      <c r="U70" s="650"/>
      <c r="V70" s="642"/>
      <c r="W70" s="642"/>
      <c r="X70" s="642"/>
      <c r="Y70" s="642"/>
      <c r="Z70" s="642"/>
      <c r="AA70" s="619"/>
    </row>
    <row r="71" spans="1:28" x14ac:dyDescent="0.2">
      <c r="B71" s="642" t="s">
        <v>647</v>
      </c>
      <c r="C71" s="647"/>
      <c r="D71" s="647"/>
      <c r="E71" s="647"/>
      <c r="F71" s="647"/>
      <c r="G71" s="647"/>
      <c r="H71" s="647"/>
      <c r="I71" s="647"/>
      <c r="J71" s="647"/>
      <c r="K71" s="647"/>
      <c r="P71" s="647"/>
      <c r="Q71" s="647"/>
      <c r="S71" s="646"/>
      <c r="U71" s="650"/>
      <c r="V71" s="642"/>
      <c r="W71" s="642"/>
      <c r="X71" s="642"/>
      <c r="Y71" s="642"/>
      <c r="Z71" s="642"/>
      <c r="AA71" s="619"/>
    </row>
    <row r="72" spans="1:28" x14ac:dyDescent="0.2">
      <c r="A72" s="833">
        <v>420</v>
      </c>
      <c r="B72" s="642" t="s">
        <v>648</v>
      </c>
      <c r="C72" s="647">
        <f>+'420 DPW'!C60</f>
        <v>961847.43</v>
      </c>
      <c r="D72" s="647">
        <f>+'420 DPW'!D60</f>
        <v>1059583.8599999999</v>
      </c>
      <c r="E72" s="647">
        <f>+'420 DPW'!E60</f>
        <v>1131643.6700000004</v>
      </c>
      <c r="F72" s="647">
        <f>+'420 DPW'!F60</f>
        <v>1126607.77</v>
      </c>
      <c r="G72" s="647">
        <f>+'420 DPW'!G60</f>
        <v>1120246.68</v>
      </c>
      <c r="H72" s="647">
        <f>+'420 DPW'!H60</f>
        <v>1203442.93</v>
      </c>
      <c r="I72" s="647">
        <f>+'420 DPW'!I55+'420 DPW'!I17</f>
        <v>1292641</v>
      </c>
      <c r="J72" s="647">
        <f>+'420 DPW'!J55+'420 DPW'!J17</f>
        <v>1354730</v>
      </c>
      <c r="K72" s="647">
        <f>+'420 DPW'!K55+'420 DPW'!K17</f>
        <v>1441408</v>
      </c>
      <c r="L72" s="662">
        <f>+'420 DPW'!L55+'420 DPW'!L17</f>
        <v>1353859.55</v>
      </c>
      <c r="M72" s="662">
        <f>+'420 DPW'!M55+'420 DPW'!M17</f>
        <v>1518825</v>
      </c>
      <c r="N72" s="662">
        <f>+'420 DPW'!N55+'420 DPW'!N17</f>
        <v>1398154.08</v>
      </c>
      <c r="O72" s="662">
        <f>+'420 DPW'!O55+'420 DPW'!O17</f>
        <v>1571829</v>
      </c>
      <c r="P72" s="647">
        <f>ROUND((+'420 DPW'!Q55+'420 DPW'!Q17),0)</f>
        <v>1746506</v>
      </c>
      <c r="Q72" s="647">
        <f>+'420 DPW'!S60</f>
        <v>1746505.8</v>
      </c>
      <c r="R72" s="647">
        <f>ROUND((+'420 DPW'!S55+'420 DPW'!S17),0)</f>
        <v>1746506</v>
      </c>
      <c r="U72" s="650"/>
      <c r="V72" s="642"/>
      <c r="W72" s="642"/>
      <c r="X72" s="642"/>
      <c r="Y72" s="642"/>
      <c r="Z72" s="642"/>
      <c r="AA72" s="619"/>
    </row>
    <row r="73" spans="1:28" x14ac:dyDescent="0.2">
      <c r="A73" s="833"/>
      <c r="B73" s="642" t="s">
        <v>649</v>
      </c>
      <c r="C73" s="647"/>
      <c r="D73" s="647"/>
      <c r="E73" s="647"/>
      <c r="F73" s="647"/>
      <c r="G73" s="647"/>
      <c r="H73" s="647"/>
      <c r="I73" s="647">
        <f>+'422 Maintenance'!I52</f>
        <v>21320.41</v>
      </c>
      <c r="J73" s="647">
        <f>+'422 Maintenance'!J52</f>
        <v>21320.41</v>
      </c>
      <c r="K73" s="647">
        <f>+'422 Maintenance'!K52</f>
        <v>24090</v>
      </c>
      <c r="L73" s="662">
        <f>+'420 DPW'!L58</f>
        <v>21320.41</v>
      </c>
      <c r="M73" s="662">
        <f>+'420 DPW'!M58</f>
        <v>21321</v>
      </c>
      <c r="N73" s="662">
        <f>+'420 DPW'!N58</f>
        <v>21320.41</v>
      </c>
      <c r="O73" s="662">
        <f>+'420 DPW'!O58</f>
        <v>0</v>
      </c>
      <c r="P73" s="647">
        <f>ROUND((+'420 DPW'!Q58),0)</f>
        <v>0</v>
      </c>
      <c r="Q73" s="647">
        <f>ROUND((+'420 DPW'!R58),0)</f>
        <v>0</v>
      </c>
      <c r="R73" s="647">
        <f>ROUND((+'420 DPW'!S58),0)</f>
        <v>0</v>
      </c>
      <c r="U73" s="650"/>
      <c r="V73" s="642"/>
      <c r="W73" s="642"/>
      <c r="X73" s="642"/>
      <c r="Y73" s="642"/>
      <c r="Z73" s="642"/>
      <c r="AA73" s="619"/>
    </row>
    <row r="74" spans="1:28" x14ac:dyDescent="0.2">
      <c r="A74" s="833">
        <v>423</v>
      </c>
      <c r="B74" s="642" t="s">
        <v>650</v>
      </c>
      <c r="C74" s="647">
        <f>+'423 Snow'!C20</f>
        <v>160444.29999999999</v>
      </c>
      <c r="D74" s="647">
        <f>+'423 Snow'!D20</f>
        <v>210140.56</v>
      </c>
      <c r="E74" s="647">
        <f>+'423 Snow'!E20</f>
        <v>219244.89</v>
      </c>
      <c r="F74" s="647">
        <f>+'423 Snow'!F20</f>
        <v>123759.04000000001</v>
      </c>
      <c r="G74" s="647">
        <f>+'423 Snow'!G20</f>
        <v>205328.90000000002</v>
      </c>
      <c r="H74" s="647">
        <f>+'423 Snow'!H20</f>
        <v>222597.99</v>
      </c>
      <c r="I74" s="647">
        <f>+'423 Snow'!I20</f>
        <v>200141.16999999998</v>
      </c>
      <c r="J74" s="647">
        <f>+'423 Snow'!J20</f>
        <v>183319.78999999998</v>
      </c>
      <c r="K74" s="647">
        <f>+'423 Snow'!K20</f>
        <v>278050</v>
      </c>
      <c r="L74" s="662">
        <f>+'423 Snow'!L20</f>
        <v>161279.20000000001</v>
      </c>
      <c r="M74" s="662">
        <f>+'423 Snow'!M20</f>
        <v>278050</v>
      </c>
      <c r="N74" s="662">
        <f>+'423 Snow'!N20</f>
        <v>236595.78</v>
      </c>
      <c r="O74" s="662">
        <f>+'423 Snow'!O20</f>
        <v>281050</v>
      </c>
      <c r="P74" s="647">
        <f>ROUND((+'423 Snow'!Q20),0)</f>
        <v>311250</v>
      </c>
      <c r="Q74" s="647">
        <f>ROUND((+'423 Snow'!R20),0)</f>
        <v>311250</v>
      </c>
      <c r="R74" s="647">
        <f>ROUND((+'423 Snow'!S20),0)</f>
        <v>311250</v>
      </c>
      <c r="U74" s="650"/>
      <c r="V74" s="642"/>
      <c r="W74" s="642"/>
      <c r="X74" s="642"/>
      <c r="Y74" s="642"/>
      <c r="Z74" s="642"/>
      <c r="AA74" s="619"/>
    </row>
    <row r="75" spans="1:28" x14ac:dyDescent="0.2">
      <c r="A75" s="833">
        <v>433</v>
      </c>
      <c r="B75" s="642" t="s">
        <v>651</v>
      </c>
      <c r="C75" s="647">
        <f>+'433 Solid Waste'!C27</f>
        <v>429438.93999999994</v>
      </c>
      <c r="D75" s="647">
        <f>+'433 Solid Waste'!D27</f>
        <v>431107.1</v>
      </c>
      <c r="E75" s="647">
        <f>+'433 Solid Waste'!E27</f>
        <v>408831.09</v>
      </c>
      <c r="F75" s="647">
        <f>+'433 Solid Waste'!F27</f>
        <v>433084.91999999993</v>
      </c>
      <c r="G75" s="647">
        <f>+'433 Solid Waste'!G27</f>
        <v>424079.87999999995</v>
      </c>
      <c r="H75" s="647">
        <f>+'433 Solid Waste'!H27</f>
        <v>441302.8</v>
      </c>
      <c r="I75" s="647">
        <f>+'433 Solid Waste'!I27</f>
        <v>458147.52</v>
      </c>
      <c r="J75" s="647">
        <f>+'433 Solid Waste'!J27</f>
        <v>517898.2900000001</v>
      </c>
      <c r="K75" s="647">
        <f>+'433 Solid Waste'!K27</f>
        <v>598886</v>
      </c>
      <c r="L75" s="662">
        <f>+'433 Solid Waste'!L27</f>
        <v>564292.41999999993</v>
      </c>
      <c r="M75" s="662">
        <f>+'433 Solid Waste'!M27</f>
        <v>624796</v>
      </c>
      <c r="N75" s="662">
        <f>+'433 Solid Waste'!N27</f>
        <v>565345.15</v>
      </c>
      <c r="O75" s="662">
        <f>+'433 Solid Waste'!O27</f>
        <v>656338</v>
      </c>
      <c r="P75" s="647">
        <f>ROUND((+'433 Solid Waste'!Q27),0)</f>
        <v>679221</v>
      </c>
      <c r="Q75" s="647">
        <f>ROUND((+'433 Solid Waste'!Q27),0)</f>
        <v>679221</v>
      </c>
      <c r="R75" s="647">
        <f>ROUND((+'433 Solid Waste'!S27),0)</f>
        <v>679221</v>
      </c>
      <c r="U75" s="650"/>
      <c r="V75" s="642"/>
      <c r="W75" s="642"/>
      <c r="X75" s="642"/>
      <c r="Y75" s="642"/>
      <c r="Z75" s="642"/>
      <c r="AA75" s="619"/>
      <c r="AB75" s="650"/>
    </row>
    <row r="76" spans="1:28" x14ac:dyDescent="0.2">
      <c r="A76" s="833">
        <v>480</v>
      </c>
      <c r="B76" s="642" t="s">
        <v>652</v>
      </c>
      <c r="C76" s="647"/>
      <c r="D76" s="647"/>
      <c r="E76" s="647"/>
      <c r="F76" s="647"/>
      <c r="G76" s="647"/>
      <c r="H76" s="647"/>
      <c r="I76" s="647"/>
      <c r="J76" s="647"/>
      <c r="K76" s="647"/>
      <c r="L76" s="662">
        <f>+'480 Charging Stations'!L15</f>
        <v>3227.64</v>
      </c>
      <c r="M76" s="662">
        <f>+'480 Charging Stations'!M15</f>
        <v>6000</v>
      </c>
      <c r="N76" s="662">
        <f>+'480 Charging Stations'!N15</f>
        <v>4250.4799999999996</v>
      </c>
      <c r="O76" s="662">
        <f>+'480 Charging Stations'!O15</f>
        <v>6000</v>
      </c>
      <c r="P76" s="647">
        <f>ROUND((+'480 Charging Stations'!Q15),0)</f>
        <v>7380</v>
      </c>
      <c r="Q76" s="647">
        <f>ROUND((+'480 Charging Stations'!R15),0)</f>
        <v>7380</v>
      </c>
      <c r="R76" s="647">
        <f>ROUND((+'480 Charging Stations'!S15),0)</f>
        <v>7380</v>
      </c>
      <c r="U76" s="650"/>
      <c r="V76" s="642"/>
      <c r="W76" s="642"/>
      <c r="X76" s="642"/>
      <c r="Y76" s="642"/>
      <c r="Z76" s="642"/>
      <c r="AA76" s="619"/>
    </row>
    <row r="77" spans="1:28" x14ac:dyDescent="0.2">
      <c r="A77" s="833">
        <v>491</v>
      </c>
      <c r="B77" s="642" t="s">
        <v>653</v>
      </c>
      <c r="C77" s="647">
        <f>+'491 Cemetery'!C18</f>
        <v>4741</v>
      </c>
      <c r="D77" s="647">
        <f>+'491 Cemetery'!D18</f>
        <v>2715</v>
      </c>
      <c r="E77" s="647">
        <f>+'491 Cemetery'!E18</f>
        <v>5850</v>
      </c>
      <c r="F77" s="647">
        <f>+'491 Cemetery'!F18</f>
        <v>6360</v>
      </c>
      <c r="G77" s="647">
        <f>+'491 Cemetery'!G18</f>
        <v>6040</v>
      </c>
      <c r="H77" s="647">
        <f>+'491 Cemetery'!H18</f>
        <v>5440</v>
      </c>
      <c r="I77" s="647">
        <f>+'491 Cemetery'!I18</f>
        <v>6955</v>
      </c>
      <c r="J77" s="647">
        <f>+'491 Cemetery'!J18</f>
        <v>6845</v>
      </c>
      <c r="K77" s="647">
        <f>+'491 Cemetery'!K18</f>
        <v>7000</v>
      </c>
      <c r="L77" s="662">
        <f>+'491 Cemetery'!L18</f>
        <v>3227.64</v>
      </c>
      <c r="M77" s="662">
        <f>+'491 Cemetery'!M18</f>
        <v>13440</v>
      </c>
      <c r="N77" s="662">
        <f>+'491 Cemetery'!N18</f>
        <v>13366.84</v>
      </c>
      <c r="O77" s="662">
        <f>+'491 Cemetery'!O18</f>
        <v>13440</v>
      </c>
      <c r="P77" s="647">
        <f>ROUND((+'491 Cemetery'!Q18),0)</f>
        <v>30150</v>
      </c>
      <c r="Q77" s="647">
        <f>ROUND((+'491 Cemetery'!R18),0)</f>
        <v>30150</v>
      </c>
      <c r="R77" s="647">
        <f>ROUND((+'491 Cemetery'!S18),0)</f>
        <v>30150</v>
      </c>
      <c r="U77" s="650"/>
      <c r="V77" s="642"/>
      <c r="W77" s="642"/>
      <c r="X77" s="642"/>
      <c r="Y77" s="642"/>
      <c r="Z77" s="642"/>
      <c r="AA77" s="619"/>
    </row>
    <row r="78" spans="1:28" x14ac:dyDescent="0.2">
      <c r="C78" s="647"/>
      <c r="D78" s="647"/>
      <c r="E78" s="647"/>
      <c r="F78" s="647"/>
      <c r="G78" s="647"/>
      <c r="H78" s="647"/>
      <c r="I78" s="647"/>
      <c r="J78" s="647"/>
      <c r="K78" s="647"/>
      <c r="P78" s="647"/>
      <c r="Q78" s="647"/>
      <c r="S78" s="646"/>
      <c r="U78" s="650"/>
      <c r="V78" s="642"/>
      <c r="W78" s="642"/>
      <c r="X78" s="642"/>
      <c r="Y78" s="642"/>
      <c r="Z78" s="642"/>
      <c r="AA78" s="619"/>
    </row>
    <row r="79" spans="1:28" x14ac:dyDescent="0.2">
      <c r="B79" s="642" t="s">
        <v>654</v>
      </c>
      <c r="C79" s="647">
        <f t="shared" ref="C79:P79" si="10">SUM(C72:C78)</f>
        <v>1556471.67</v>
      </c>
      <c r="D79" s="647">
        <f t="shared" si="10"/>
        <v>1703546.52</v>
      </c>
      <c r="E79" s="647">
        <f t="shared" si="10"/>
        <v>1765569.6500000006</v>
      </c>
      <c r="F79" s="647">
        <f t="shared" si="10"/>
        <v>1689811.73</v>
      </c>
      <c r="G79" s="647">
        <f t="shared" si="10"/>
        <v>1755695.46</v>
      </c>
      <c r="H79" s="647">
        <f t="shared" si="10"/>
        <v>1872783.72</v>
      </c>
      <c r="I79" s="647">
        <f>SUM(I72:I78)</f>
        <v>1979205.0999999999</v>
      </c>
      <c r="J79" s="647">
        <f>SUM(J72:J78)</f>
        <v>2084113.49</v>
      </c>
      <c r="K79" s="647">
        <f>SUM(K72:K78)</f>
        <v>2349434</v>
      </c>
      <c r="L79" s="662">
        <f>SUM(L72:L78)</f>
        <v>2107206.8600000003</v>
      </c>
      <c r="M79" s="662">
        <f t="shared" ref="M79:N79" si="11">SUM(M72:M78)</f>
        <v>2462432</v>
      </c>
      <c r="N79" s="662">
        <f t="shared" si="11"/>
        <v>2239032.7399999998</v>
      </c>
      <c r="O79" s="662">
        <f>SUM(O72:O78)</f>
        <v>2528657</v>
      </c>
      <c r="P79" s="647">
        <f t="shared" si="10"/>
        <v>2774507</v>
      </c>
      <c r="Q79" s="647">
        <f t="shared" ref="Q79:R79" si="12">SUM(Q72:Q78)</f>
        <v>2774506.8</v>
      </c>
      <c r="R79" s="647">
        <f t="shared" si="12"/>
        <v>2774507</v>
      </c>
      <c r="S79" s="646"/>
      <c r="U79" s="650"/>
      <c r="V79" s="642"/>
      <c r="W79" s="642"/>
      <c r="X79" s="642"/>
      <c r="Y79" s="642"/>
      <c r="Z79" s="642"/>
      <c r="AA79" s="619"/>
    </row>
    <row r="80" spans="1:28" x14ac:dyDescent="0.2">
      <c r="C80" s="647"/>
      <c r="D80" s="647"/>
      <c r="E80" s="647"/>
      <c r="F80" s="647"/>
      <c r="G80" s="647"/>
      <c r="H80" s="647"/>
      <c r="I80" s="647"/>
      <c r="J80" s="647"/>
      <c r="K80" s="647"/>
      <c r="P80" s="647"/>
      <c r="Q80" s="647"/>
      <c r="S80" s="646"/>
      <c r="U80" s="650"/>
      <c r="V80" s="642"/>
      <c r="W80" s="642"/>
      <c r="X80" s="642"/>
      <c r="Y80" s="642"/>
      <c r="Z80" s="642"/>
      <c r="AA80" s="619"/>
    </row>
    <row r="81" spans="1:28" x14ac:dyDescent="0.2">
      <c r="B81" s="642" t="s">
        <v>655</v>
      </c>
      <c r="C81" s="647"/>
      <c r="D81" s="647"/>
      <c r="E81" s="647"/>
      <c r="F81" s="647"/>
      <c r="G81" s="647"/>
      <c r="H81" s="647"/>
      <c r="I81" s="647"/>
      <c r="J81" s="647"/>
      <c r="K81" s="647"/>
      <c r="P81" s="647"/>
      <c r="Q81" s="647"/>
      <c r="S81" s="646"/>
      <c r="U81" s="650"/>
      <c r="V81" s="642"/>
      <c r="W81" s="642"/>
      <c r="X81" s="642"/>
      <c r="Y81" s="642"/>
      <c r="Z81" s="642"/>
      <c r="AA81" s="619"/>
    </row>
    <row r="82" spans="1:28" x14ac:dyDescent="0.2">
      <c r="C82" s="647"/>
      <c r="D82" s="647"/>
      <c r="E82" s="647"/>
      <c r="F82" s="647"/>
      <c r="G82" s="647"/>
      <c r="H82" s="647"/>
      <c r="I82" s="647"/>
      <c r="J82" s="647"/>
      <c r="K82" s="647"/>
      <c r="P82" s="647"/>
      <c r="Q82" s="647"/>
      <c r="S82" s="646"/>
      <c r="U82" s="650"/>
      <c r="V82" s="642"/>
      <c r="W82" s="642"/>
      <c r="X82" s="642"/>
      <c r="Y82" s="642"/>
      <c r="Z82" s="642"/>
      <c r="AA82" s="619"/>
    </row>
    <row r="83" spans="1:28" x14ac:dyDescent="0.2">
      <c r="A83" s="833">
        <v>511</v>
      </c>
      <c r="B83" s="642" t="s">
        <v>656</v>
      </c>
      <c r="C83" s="647">
        <f>+'511 BOH'!C41</f>
        <v>109258.64</v>
      </c>
      <c r="D83" s="647">
        <f>+'511 BOH'!D41</f>
        <v>120985.98999999999</v>
      </c>
      <c r="E83" s="647">
        <f>+'511 BOH'!E41</f>
        <v>119109.4</v>
      </c>
      <c r="F83" s="647">
        <f>+'511 BOH'!F41</f>
        <v>131182.04999999999</v>
      </c>
      <c r="G83" s="647">
        <f>+'511 BOH'!G41</f>
        <v>128828.22999999998</v>
      </c>
      <c r="H83" s="647">
        <f>+'511 BOH'!H41</f>
        <v>132189.9</v>
      </c>
      <c r="I83" s="647">
        <f>+'511 BOH'!I41</f>
        <v>129404.04000000001</v>
      </c>
      <c r="J83" s="647">
        <f>+'511 BOH'!J41</f>
        <v>122512.12</v>
      </c>
      <c r="K83" s="647">
        <f>+'511 BOH'!K41</f>
        <v>135948</v>
      </c>
      <c r="L83" s="662">
        <f>+'511 BOH'!L41</f>
        <v>135821.25</v>
      </c>
      <c r="M83" s="662">
        <f>+'511 BOH'!M41</f>
        <v>160324</v>
      </c>
      <c r="N83" s="662">
        <f>+'511 BOH'!N41</f>
        <v>160829.24</v>
      </c>
      <c r="O83" s="662">
        <f>+'511 BOH'!O41</f>
        <v>165193</v>
      </c>
      <c r="P83" s="647">
        <f>ROUND((+'511 BOH'!Q41),0)</f>
        <v>175444</v>
      </c>
      <c r="Q83" s="650">
        <f>ROUND((+'511 BOH'!R41),0)</f>
        <v>175444</v>
      </c>
      <c r="R83" s="647">
        <f>ROUND((+'511 BOH'!S41),0)</f>
        <v>175444</v>
      </c>
      <c r="U83" s="650"/>
      <c r="V83" s="642"/>
      <c r="W83" s="642"/>
      <c r="X83" s="642"/>
      <c r="Y83" s="642"/>
      <c r="Z83" s="642"/>
      <c r="AA83" s="619"/>
      <c r="AB83" s="650"/>
    </row>
    <row r="84" spans="1:28" x14ac:dyDescent="0.2">
      <c r="A84" s="833">
        <v>541</v>
      </c>
      <c r="B84" s="642" t="s">
        <v>657</v>
      </c>
      <c r="C84" s="647">
        <f>+'541 COA'!C26</f>
        <v>27212.79</v>
      </c>
      <c r="D84" s="647">
        <f>+'541 COA'!D26</f>
        <v>36745</v>
      </c>
      <c r="E84" s="647">
        <f>+'541 COA'!E26</f>
        <v>37843.519999999997</v>
      </c>
      <c r="F84" s="647">
        <f>+'541 COA'!F26</f>
        <v>38245.67</v>
      </c>
      <c r="G84" s="647">
        <f>+'541 COA'!G26</f>
        <v>42457.31</v>
      </c>
      <c r="H84" s="647">
        <f>+'541 COA'!H26</f>
        <v>42878.82</v>
      </c>
      <c r="I84" s="647">
        <f>+'541 COA'!I26</f>
        <v>43889</v>
      </c>
      <c r="J84" s="647">
        <f>+'541 COA'!J26</f>
        <v>42131.199999999997</v>
      </c>
      <c r="K84" s="647">
        <f>+'541 COA'!K26</f>
        <v>46980</v>
      </c>
      <c r="L84" s="662">
        <f>+'541 COA'!L26</f>
        <v>38774.019999999997</v>
      </c>
      <c r="M84" s="662">
        <f>+'541 COA'!M26</f>
        <v>46521</v>
      </c>
      <c r="N84" s="662">
        <f>+'541 COA'!N26</f>
        <v>38780.04</v>
      </c>
      <c r="O84" s="662">
        <f>+'541 COA'!O26</f>
        <v>56594</v>
      </c>
      <c r="P84" s="647">
        <f>ROUND((+'541 COA'!Q26),0)</f>
        <v>58593</v>
      </c>
      <c r="Q84" s="647">
        <f>ROUND((+'541 COA'!R26),0)</f>
        <v>58593</v>
      </c>
      <c r="R84" s="647">
        <f>ROUND((+'541 COA'!S26),0)</f>
        <v>58593</v>
      </c>
      <c r="U84" s="650"/>
      <c r="V84" s="642"/>
      <c r="W84" s="642"/>
      <c r="X84" s="642"/>
      <c r="Y84" s="642"/>
      <c r="Z84" s="642"/>
      <c r="AA84" s="619"/>
    </row>
    <row r="85" spans="1:28" x14ac:dyDescent="0.2">
      <c r="A85" s="833">
        <v>543</v>
      </c>
      <c r="B85" s="642" t="s">
        <v>658</v>
      </c>
      <c r="C85" s="647">
        <f>+'543 Vets'!C15</f>
        <v>143993.04</v>
      </c>
      <c r="D85" s="647">
        <f>+'543 Vets'!D15</f>
        <v>154826.14000000001</v>
      </c>
      <c r="E85" s="647">
        <f>+'543 Vets'!E15</f>
        <v>161951.34</v>
      </c>
      <c r="F85" s="647">
        <f>+'543 Vets'!F15</f>
        <v>144534.15</v>
      </c>
      <c r="G85" s="647">
        <f>+'543 Vets'!G15</f>
        <v>113174.07</v>
      </c>
      <c r="H85" s="647">
        <f>+'543 Vets'!H15</f>
        <v>84869.32</v>
      </c>
      <c r="I85" s="647">
        <f>+'543 Vets'!I15</f>
        <v>74175.16</v>
      </c>
      <c r="J85" s="647">
        <f>+'543 Vets'!J15</f>
        <v>74474.489999999991</v>
      </c>
      <c r="K85" s="647">
        <f>+'543 Vets'!K15</f>
        <v>88400</v>
      </c>
      <c r="L85" s="662">
        <f>+'543 Vets'!L15</f>
        <v>73756.39</v>
      </c>
      <c r="M85" s="662">
        <f>+'543 Vets'!M15</f>
        <v>87800</v>
      </c>
      <c r="N85" s="662">
        <f>+'543 Vets'!N15</f>
        <v>58767.73</v>
      </c>
      <c r="O85" s="662">
        <f>+'543 Vets'!O15</f>
        <v>76500</v>
      </c>
      <c r="P85" s="647">
        <f>ROUND((+'543 Vets'!Q15),0)</f>
        <v>76500</v>
      </c>
      <c r="Q85" s="647">
        <f>ROUND((+'543 Vets'!R15),0)</f>
        <v>76500</v>
      </c>
      <c r="R85" s="647">
        <f>ROUND((+'543 Vets'!S15),0)</f>
        <v>76500</v>
      </c>
      <c r="U85" s="650"/>
      <c r="V85" s="642"/>
      <c r="W85" s="642"/>
      <c r="X85" s="642"/>
      <c r="Y85" s="642"/>
      <c r="Z85" s="642"/>
      <c r="AA85" s="619"/>
    </row>
    <row r="86" spans="1:28" x14ac:dyDescent="0.2">
      <c r="C86" s="647"/>
      <c r="D86" s="647"/>
      <c r="E86" s="647"/>
      <c r="F86" s="647"/>
      <c r="G86" s="647"/>
      <c r="H86" s="647"/>
      <c r="I86" s="647"/>
      <c r="J86" s="647"/>
      <c r="K86" s="647"/>
      <c r="P86" s="647"/>
      <c r="Q86" s="647"/>
      <c r="U86" s="647"/>
      <c r="V86" s="642"/>
      <c r="W86" s="642"/>
      <c r="X86" s="642"/>
      <c r="Y86" s="642"/>
      <c r="Z86" s="642"/>
      <c r="AA86" s="619"/>
    </row>
    <row r="87" spans="1:28" x14ac:dyDescent="0.2">
      <c r="B87" s="642" t="s">
        <v>659</v>
      </c>
      <c r="C87" s="647">
        <f>SUM(C68:C86)</f>
        <v>4990384.1099999994</v>
      </c>
      <c r="D87" s="647">
        <f>SUM(D68:D86)</f>
        <v>5417889.7599999998</v>
      </c>
      <c r="E87" s="647">
        <f>SUM(E68:E86)</f>
        <v>5678724.1900000004</v>
      </c>
      <c r="F87" s="647">
        <f>SUM(F68:F86)</f>
        <v>5567330.8500000006</v>
      </c>
      <c r="G87" s="647">
        <f>SUM(G68:G86)</f>
        <v>5740038.0699999994</v>
      </c>
      <c r="H87" s="647">
        <f t="shared" ref="H87:P87" si="13">SUM(H83:H86)</f>
        <v>259938.04</v>
      </c>
      <c r="I87" s="647">
        <f t="shared" si="13"/>
        <v>247468.2</v>
      </c>
      <c r="J87" s="647">
        <f t="shared" si="13"/>
        <v>239117.81</v>
      </c>
      <c r="K87" s="647">
        <f t="shared" ref="K87" si="14">SUM(K83:K86)</f>
        <v>271328</v>
      </c>
      <c r="L87" s="662">
        <f>SUM(L83:L86)</f>
        <v>248351.65999999997</v>
      </c>
      <c r="M87" s="662">
        <f t="shared" ref="M87:N87" si="15">SUM(M83:M86)</f>
        <v>294645</v>
      </c>
      <c r="N87" s="662">
        <f t="shared" si="15"/>
        <v>258377.01</v>
      </c>
      <c r="O87" s="662">
        <f>SUM(O83:O86)</f>
        <v>298287</v>
      </c>
      <c r="P87" s="647">
        <f t="shared" si="13"/>
        <v>310537</v>
      </c>
      <c r="Q87" s="647">
        <f t="shared" ref="Q87:R87" si="16">SUM(Q83:Q86)</f>
        <v>310537</v>
      </c>
      <c r="R87" s="647">
        <f t="shared" si="16"/>
        <v>310537</v>
      </c>
      <c r="S87" s="646"/>
      <c r="U87" s="647"/>
      <c r="V87" s="642"/>
      <c r="W87" s="642"/>
      <c r="X87" s="642"/>
      <c r="Y87" s="642"/>
      <c r="Z87" s="642"/>
      <c r="AA87" s="619"/>
    </row>
    <row r="88" spans="1:28" x14ac:dyDescent="0.2">
      <c r="C88" s="647"/>
      <c r="D88" s="647"/>
      <c r="E88" s="647"/>
      <c r="F88" s="647"/>
      <c r="G88" s="647"/>
      <c r="H88" s="647"/>
      <c r="I88" s="647"/>
      <c r="J88" s="647"/>
      <c r="K88" s="647"/>
      <c r="P88" s="647"/>
      <c r="Q88" s="647"/>
      <c r="S88" s="646"/>
      <c r="U88" s="647"/>
      <c r="V88" s="642"/>
      <c r="W88" s="642"/>
      <c r="X88" s="642"/>
      <c r="Y88" s="642"/>
      <c r="Z88" s="642"/>
      <c r="AA88" s="619"/>
    </row>
    <row r="89" spans="1:28" x14ac:dyDescent="0.2">
      <c r="B89" s="642" t="s">
        <v>660</v>
      </c>
      <c r="C89" s="647"/>
      <c r="D89" s="647"/>
      <c r="E89" s="647"/>
      <c r="F89" s="647"/>
      <c r="G89" s="647"/>
      <c r="H89" s="647"/>
      <c r="I89" s="647"/>
      <c r="J89" s="647"/>
      <c r="K89" s="647"/>
      <c r="P89" s="647"/>
      <c r="Q89" s="647"/>
      <c r="S89" s="646"/>
      <c r="U89" s="647"/>
      <c r="V89" s="642"/>
      <c r="W89" s="642"/>
      <c r="X89" s="642"/>
      <c r="Y89" s="642"/>
      <c r="Z89" s="642"/>
      <c r="AA89" s="619"/>
    </row>
    <row r="90" spans="1:28" x14ac:dyDescent="0.2">
      <c r="A90" s="833">
        <v>610</v>
      </c>
      <c r="B90" s="642" t="s">
        <v>661</v>
      </c>
      <c r="C90" s="647">
        <f>+'610 Library'!C46</f>
        <v>303901</v>
      </c>
      <c r="D90" s="647">
        <f>+'610 Library'!D46</f>
        <v>325233</v>
      </c>
      <c r="E90" s="647">
        <f>+'610 Library'!E46</f>
        <v>337643</v>
      </c>
      <c r="F90" s="647">
        <f>+'610 Library'!F46</f>
        <v>351149.00000000006</v>
      </c>
      <c r="G90" s="647">
        <f>+'610 Library'!G46</f>
        <v>364970</v>
      </c>
      <c r="H90" s="647">
        <f>+'610 Library'!H46</f>
        <v>386328.00000000006</v>
      </c>
      <c r="I90" s="647">
        <f>+'610 Library'!I46</f>
        <v>401962</v>
      </c>
      <c r="J90" s="647">
        <f>+'610 Library'!J46</f>
        <v>411071</v>
      </c>
      <c r="K90" s="647">
        <f>+'610 Library'!K46</f>
        <v>426950</v>
      </c>
      <c r="L90" s="662">
        <f>+'610 Library'!L46</f>
        <v>426453.92999999993</v>
      </c>
      <c r="M90" s="662">
        <f>+'610 Library'!M46</f>
        <v>437744</v>
      </c>
      <c r="N90" s="662">
        <f>+'610 Library'!N46</f>
        <v>446390.26999999996</v>
      </c>
      <c r="O90" s="662">
        <f>+'610 Library'!O46</f>
        <v>465607</v>
      </c>
      <c r="P90" s="647">
        <f>ROUND((+'610 Library'!Q46),0)</f>
        <v>503336</v>
      </c>
      <c r="Q90" s="647">
        <f>ROUND((+'610 Library'!R46),0)</f>
        <v>503336</v>
      </c>
      <c r="R90" s="647">
        <f>ROUND((+'610 Library'!S46),0)</f>
        <v>503336</v>
      </c>
      <c r="U90" s="647"/>
      <c r="V90" s="642"/>
      <c r="W90" s="642"/>
      <c r="X90" s="642"/>
      <c r="Y90" s="642"/>
      <c r="Z90" s="642"/>
      <c r="AA90" s="619"/>
    </row>
    <row r="91" spans="1:28" x14ac:dyDescent="0.2">
      <c r="A91" s="833">
        <v>630</v>
      </c>
      <c r="B91" s="642" t="s">
        <v>662</v>
      </c>
      <c r="C91" s="647">
        <f>+'630 Recreation'!C29</f>
        <v>93539.86</v>
      </c>
      <c r="D91" s="647">
        <f>+'630 Recreation'!D29</f>
        <v>101235.73999999999</v>
      </c>
      <c r="E91" s="647">
        <f>+'630 Recreation'!E29</f>
        <v>104042.40999999999</v>
      </c>
      <c r="F91" s="647">
        <f>+'630 Recreation'!F29</f>
        <v>116111.64</v>
      </c>
      <c r="G91" s="647">
        <f>+'630 Recreation'!G29</f>
        <v>120911.25</v>
      </c>
      <c r="H91" s="647">
        <f>+'630 Recreation'!H29</f>
        <v>128193.00000000001</v>
      </c>
      <c r="I91" s="647">
        <f>+'630 Recreation'!I29</f>
        <v>130539.37</v>
      </c>
      <c r="J91" s="647">
        <f>+'630 Recreation'!J29</f>
        <v>141325.91</v>
      </c>
      <c r="K91" s="647">
        <f>+'630 Recreation'!K29</f>
        <v>143539</v>
      </c>
      <c r="L91" s="662">
        <f>+'630 Recreation'!L29</f>
        <v>143294.66999999998</v>
      </c>
      <c r="M91" s="662">
        <f>+'630 Recreation'!M29</f>
        <v>147944</v>
      </c>
      <c r="N91" s="662">
        <f>+'630 Recreation'!N29</f>
        <v>150684.97</v>
      </c>
      <c r="O91" s="662">
        <f>+'630 Recreation'!O29</f>
        <v>153157</v>
      </c>
      <c r="P91" s="647">
        <f>ROUND((+'630 Recreation'!Q29),0)</f>
        <v>160703</v>
      </c>
      <c r="Q91" s="647">
        <f>ROUND((+'630 Recreation'!R29),0)</f>
        <v>160703</v>
      </c>
      <c r="R91" s="647">
        <f>ROUND((+'630 Recreation'!S29),0)</f>
        <v>160703</v>
      </c>
      <c r="U91" s="647"/>
      <c r="V91" s="642"/>
      <c r="W91" s="642"/>
      <c r="X91" s="642"/>
      <c r="Y91" s="642"/>
      <c r="Z91" s="642"/>
      <c r="AA91" s="619"/>
    </row>
    <row r="92" spans="1:28" x14ac:dyDescent="0.2">
      <c r="A92" s="833">
        <v>691</v>
      </c>
      <c r="B92" s="642" t="s">
        <v>663</v>
      </c>
      <c r="C92" s="647">
        <f>+'691 Historical Comm'!C15</f>
        <v>253.28</v>
      </c>
      <c r="D92" s="647">
        <f>+'691 Historical Comm'!D15</f>
        <v>0</v>
      </c>
      <c r="E92" s="647">
        <f>+'691 Historical Comm'!E15</f>
        <v>434.33</v>
      </c>
      <c r="F92" s="647">
        <f>+'691 Historical Comm'!F15</f>
        <v>0</v>
      </c>
      <c r="G92" s="647">
        <f>+'691 Historical Comm'!G15</f>
        <v>0</v>
      </c>
      <c r="H92" s="647">
        <f>+'691 Historical Comm'!H15</f>
        <v>253.19</v>
      </c>
      <c r="I92" s="647">
        <f>+'691 Historical Comm'!I15</f>
        <v>0</v>
      </c>
      <c r="J92" s="647">
        <f>+'691 Historical Comm'!J15</f>
        <v>0</v>
      </c>
      <c r="K92" s="647">
        <f>+'691 Historical Comm'!K15</f>
        <v>500</v>
      </c>
      <c r="L92" s="662">
        <f>+'691 Historical Comm'!L15</f>
        <v>500</v>
      </c>
      <c r="M92" s="662">
        <f>+'691 Historical Comm'!M15</f>
        <v>500</v>
      </c>
      <c r="N92" s="662">
        <f>+'691 Historical Comm'!N15</f>
        <v>0</v>
      </c>
      <c r="O92" s="662">
        <f>+'691 Historical Comm'!O15</f>
        <v>500</v>
      </c>
      <c r="P92" s="647">
        <f>ROUND((+'691 Historical Comm'!Q15),0)</f>
        <v>500</v>
      </c>
      <c r="Q92" s="647">
        <f>ROUND((+'691 Historical Comm'!R15),0)</f>
        <v>500</v>
      </c>
      <c r="R92" s="647">
        <f>ROUND((+'691 Historical Comm'!S15),0)</f>
        <v>500</v>
      </c>
      <c r="U92" s="647"/>
      <c r="V92" s="642"/>
      <c r="W92" s="642"/>
      <c r="X92" s="642"/>
      <c r="Y92" s="642"/>
      <c r="Z92" s="642"/>
      <c r="AA92" s="619"/>
    </row>
    <row r="93" spans="1:28" x14ac:dyDescent="0.2">
      <c r="A93" s="833">
        <v>693</v>
      </c>
      <c r="B93" s="642" t="s">
        <v>664</v>
      </c>
      <c r="C93" s="647">
        <f>+'693 Memorials'!C14</f>
        <v>1230.25</v>
      </c>
      <c r="D93" s="647">
        <f>+'693 Memorials'!D14</f>
        <v>819.41</v>
      </c>
      <c r="E93" s="647">
        <f>+'693 Memorials'!E14</f>
        <v>1049.43</v>
      </c>
      <c r="F93" s="647">
        <f>+'693 Memorials'!F14</f>
        <v>1189.6199999999999</v>
      </c>
      <c r="G93" s="647">
        <f>+'693 Memorials'!G14</f>
        <v>1188.96</v>
      </c>
      <c r="H93" s="647">
        <f>+'693 Memorials'!H14</f>
        <v>1200</v>
      </c>
      <c r="I93" s="647">
        <f>+'693 Memorials'!I14</f>
        <v>800.77</v>
      </c>
      <c r="J93" s="647">
        <f>+'693 Memorials'!J14</f>
        <v>937.62</v>
      </c>
      <c r="K93" s="647">
        <f>+'693 Memorials'!K14</f>
        <v>1300</v>
      </c>
      <c r="L93" s="662">
        <f>+'693 Memorials'!L14</f>
        <v>791.89</v>
      </c>
      <c r="M93" s="662">
        <f>+'693 Memorials'!M14</f>
        <v>1300</v>
      </c>
      <c r="N93" s="662">
        <f>+'693 Memorials'!N14</f>
        <v>1192.21</v>
      </c>
      <c r="O93" s="662">
        <f>+'693 Memorials'!O14</f>
        <v>1400</v>
      </c>
      <c r="P93" s="647">
        <f>ROUND((+'693 Memorials'!Q14),0)</f>
        <v>1600</v>
      </c>
      <c r="Q93" s="647">
        <f>ROUND((+'693 Memorials'!R14),0)</f>
        <v>1600</v>
      </c>
      <c r="R93" s="647">
        <f>ROUND((+'693 Memorials'!S14),0)</f>
        <v>1600</v>
      </c>
      <c r="U93" s="647"/>
      <c r="V93" s="642"/>
      <c r="W93" s="642"/>
      <c r="X93" s="642"/>
      <c r="Y93" s="642"/>
      <c r="Z93" s="642"/>
      <c r="AA93" s="619"/>
    </row>
    <row r="94" spans="1:28" x14ac:dyDescent="0.2">
      <c r="C94" s="647"/>
      <c r="D94" s="647"/>
      <c r="E94" s="647"/>
      <c r="F94" s="647"/>
      <c r="G94" s="647"/>
      <c r="H94" s="647"/>
      <c r="I94" s="647"/>
      <c r="J94" s="647"/>
      <c r="K94" s="647"/>
      <c r="P94" s="647"/>
      <c r="Q94" s="647"/>
      <c r="U94" s="647"/>
      <c r="V94" s="642"/>
      <c r="W94" s="642"/>
      <c r="X94" s="642"/>
      <c r="Y94" s="642"/>
      <c r="Z94" s="642"/>
      <c r="AA94" s="619"/>
    </row>
    <row r="95" spans="1:28" x14ac:dyDescent="0.2">
      <c r="B95" s="642" t="s">
        <v>665</v>
      </c>
      <c r="C95" s="647">
        <f t="shared" ref="C95:P95" si="17">SUM(C90:C94)</f>
        <v>398924.39</v>
      </c>
      <c r="D95" s="647">
        <f t="shared" si="17"/>
        <v>427288.14999999997</v>
      </c>
      <c r="E95" s="647">
        <f t="shared" si="17"/>
        <v>443169.17</v>
      </c>
      <c r="F95" s="647">
        <f t="shared" si="17"/>
        <v>468450.26000000007</v>
      </c>
      <c r="G95" s="647">
        <f t="shared" si="17"/>
        <v>487070.21</v>
      </c>
      <c r="H95" s="647">
        <f t="shared" si="17"/>
        <v>515974.19000000006</v>
      </c>
      <c r="I95" s="647">
        <f t="shared" si="17"/>
        <v>533302.14</v>
      </c>
      <c r="J95" s="647">
        <f t="shared" ref="J95:K95" si="18">SUM(J90:J94)</f>
        <v>553334.53</v>
      </c>
      <c r="K95" s="647">
        <f t="shared" si="18"/>
        <v>572289</v>
      </c>
      <c r="L95" s="662">
        <f>SUM(L90:L94)</f>
        <v>571040.48999999987</v>
      </c>
      <c r="M95" s="662">
        <f t="shared" ref="M95:N95" si="19">SUM(M90:M94)</f>
        <v>587488</v>
      </c>
      <c r="N95" s="662">
        <f t="shared" si="19"/>
        <v>598267.44999999995</v>
      </c>
      <c r="O95" s="662">
        <f>SUM(O90:O94)</f>
        <v>620664</v>
      </c>
      <c r="P95" s="647">
        <f t="shared" si="17"/>
        <v>666139</v>
      </c>
      <c r="Q95" s="647">
        <f t="shared" ref="Q95:R95" si="20">SUM(Q90:Q94)</f>
        <v>666139</v>
      </c>
      <c r="R95" s="647">
        <f t="shared" si="20"/>
        <v>666139</v>
      </c>
      <c r="S95" s="646"/>
      <c r="U95" s="647"/>
      <c r="V95" s="642"/>
      <c r="W95" s="642"/>
      <c r="X95" s="642"/>
      <c r="Y95" s="642"/>
      <c r="Z95" s="642"/>
      <c r="AA95" s="619"/>
    </row>
    <row r="96" spans="1:28" x14ac:dyDescent="0.2">
      <c r="C96" s="647"/>
      <c r="D96" s="647"/>
      <c r="E96" s="647"/>
      <c r="F96" s="647"/>
      <c r="G96" s="647"/>
      <c r="H96" s="647"/>
      <c r="I96" s="647"/>
      <c r="J96" s="647"/>
      <c r="K96" s="647"/>
      <c r="P96" s="647"/>
      <c r="Q96" s="647"/>
      <c r="S96" s="646"/>
      <c r="U96" s="647"/>
      <c r="V96" s="642"/>
      <c r="W96" s="642"/>
      <c r="X96" s="642"/>
      <c r="Y96" s="642"/>
      <c r="Z96" s="642"/>
      <c r="AA96" s="619"/>
    </row>
    <row r="97" spans="1:27" x14ac:dyDescent="0.2">
      <c r="B97" s="642" t="s">
        <v>666</v>
      </c>
      <c r="C97" s="647"/>
      <c r="D97" s="647"/>
      <c r="E97" s="647"/>
      <c r="F97" s="647"/>
      <c r="G97" s="647"/>
      <c r="H97" s="647"/>
      <c r="I97" s="647"/>
      <c r="J97" s="647"/>
      <c r="K97" s="647"/>
      <c r="P97" s="647"/>
      <c r="Q97" s="647"/>
      <c r="S97" s="646"/>
      <c r="U97" s="647"/>
      <c r="V97" s="642"/>
      <c r="W97" s="642"/>
      <c r="X97" s="642"/>
      <c r="Y97" s="642"/>
      <c r="Z97" s="642"/>
      <c r="AA97" s="619"/>
    </row>
    <row r="98" spans="1:27" x14ac:dyDescent="0.2">
      <c r="A98" s="833">
        <v>700</v>
      </c>
      <c r="B98" s="642" t="s">
        <v>666</v>
      </c>
      <c r="C98" s="647">
        <f>+'700 Debt '!C64</f>
        <v>624059.19999999995</v>
      </c>
      <c r="D98" s="647">
        <f>+'700 Debt '!D64</f>
        <v>627106.03000000014</v>
      </c>
      <c r="E98" s="647">
        <f>+'700 Debt '!E64</f>
        <v>653275.82999999996</v>
      </c>
      <c r="F98" s="647">
        <f>+'700 Debt '!F64</f>
        <v>651031.29</v>
      </c>
      <c r="G98" s="647">
        <f>+'700 Debt '!G64</f>
        <v>655052.56000000006</v>
      </c>
      <c r="H98" s="647">
        <f>+'700 Debt '!H64</f>
        <v>630911.34</v>
      </c>
      <c r="I98" s="647">
        <f>+'700 Debt '!I64</f>
        <v>625348.28</v>
      </c>
      <c r="J98" s="647">
        <f>+'700 Debt '!J64</f>
        <v>824346.28999999992</v>
      </c>
      <c r="K98" s="647">
        <f>+'700 Debt '!K64</f>
        <v>1128500</v>
      </c>
      <c r="L98" s="662">
        <f>+'700 Debt '!L64</f>
        <v>1057873.57</v>
      </c>
      <c r="M98" s="662">
        <f>+'700 Debt '!M64</f>
        <v>1066809</v>
      </c>
      <c r="N98" s="662">
        <f>+'700 Debt '!N64</f>
        <v>1054154.5900000001</v>
      </c>
      <c r="O98" s="662">
        <f>+'700 Debt '!O64</f>
        <v>1162190</v>
      </c>
      <c r="P98" s="647">
        <f>ROUND((+'700 Debt '!Q64),0)</f>
        <v>1154319</v>
      </c>
      <c r="Q98" s="647">
        <f>ROUND((+'700 Debt '!R64),0)</f>
        <v>1154319</v>
      </c>
      <c r="R98" s="647">
        <f>ROUND((+'700 Debt '!S64),0)</f>
        <v>1154319</v>
      </c>
      <c r="U98" s="647"/>
      <c r="V98" s="642"/>
      <c r="W98" s="642"/>
      <c r="X98" s="642"/>
      <c r="Y98" s="642"/>
      <c r="Z98" s="642"/>
      <c r="AA98" s="619"/>
    </row>
    <row r="99" spans="1:27" x14ac:dyDescent="0.2">
      <c r="C99" s="647"/>
      <c r="D99" s="647"/>
      <c r="E99" s="647"/>
      <c r="F99" s="647"/>
      <c r="G99" s="647"/>
      <c r="H99" s="647"/>
      <c r="I99" s="647"/>
      <c r="J99" s="647"/>
      <c r="K99" s="647"/>
      <c r="P99" s="647"/>
      <c r="Q99" s="647"/>
      <c r="S99" s="646"/>
      <c r="U99" s="647"/>
      <c r="V99" s="642"/>
      <c r="W99" s="642"/>
      <c r="X99" s="642"/>
      <c r="Y99" s="642"/>
      <c r="Z99" s="642"/>
      <c r="AA99" s="619"/>
    </row>
    <row r="100" spans="1:27" x14ac:dyDescent="0.2">
      <c r="B100" s="642" t="s">
        <v>667</v>
      </c>
      <c r="C100" s="647"/>
      <c r="D100" s="647"/>
      <c r="E100" s="647"/>
      <c r="F100" s="647"/>
      <c r="G100" s="647"/>
      <c r="H100" s="647"/>
      <c r="I100" s="647"/>
      <c r="J100" s="647"/>
      <c r="K100" s="647"/>
      <c r="P100" s="647"/>
      <c r="Q100" s="647"/>
      <c r="S100" s="646"/>
      <c r="U100" s="647"/>
      <c r="V100" s="642"/>
      <c r="W100" s="642"/>
      <c r="X100" s="642"/>
      <c r="Y100" s="642"/>
      <c r="Z100" s="642"/>
      <c r="AA100" s="619"/>
    </row>
    <row r="101" spans="1:27" x14ac:dyDescent="0.2">
      <c r="A101" s="833">
        <v>840</v>
      </c>
      <c r="B101" s="642" t="s">
        <v>667</v>
      </c>
      <c r="C101" s="647">
        <f>+'840 Intergovt'!C15</f>
        <v>83074.820000000007</v>
      </c>
      <c r="D101" s="647">
        <f>+'840 Intergovt'!D15</f>
        <v>87874.209999999992</v>
      </c>
      <c r="E101" s="647">
        <f>+'840 Intergovt'!E15</f>
        <v>71938.12</v>
      </c>
      <c r="F101" s="647">
        <f>+'840 Intergovt'!F15</f>
        <v>94258.209999999992</v>
      </c>
      <c r="G101" s="647">
        <f>+'840 Intergovt'!G15</f>
        <v>92495.299999999988</v>
      </c>
      <c r="H101" s="647">
        <f>+'840 Intergovt'!H15</f>
        <v>99251.89</v>
      </c>
      <c r="I101" s="647">
        <f>+'840 Intergovt'!I15</f>
        <v>100824.36000000002</v>
      </c>
      <c r="J101" s="647">
        <f>+'840 Intergovt'!J15</f>
        <v>104701.44</v>
      </c>
      <c r="K101" s="647">
        <f>+'840 Intergovt'!K15</f>
        <v>111179</v>
      </c>
      <c r="L101" s="662">
        <f>+'840 Intergovt'!L15</f>
        <v>111175.8</v>
      </c>
      <c r="M101" s="662">
        <f>+'840 Intergovt'!M15</f>
        <v>110720</v>
      </c>
      <c r="N101" s="662">
        <f>+'840 Intergovt'!N15</f>
        <v>111384</v>
      </c>
      <c r="O101" s="662">
        <f>+'840 Intergovt'!O15</f>
        <v>110647</v>
      </c>
      <c r="P101" s="647">
        <f>ROUND((+'840 Intergovt'!Q15),0)</f>
        <v>113924</v>
      </c>
      <c r="Q101" s="647">
        <f>ROUND((+'840 Intergovt'!R15),0)</f>
        <v>113924</v>
      </c>
      <c r="R101" s="647">
        <f>ROUND((+'840 Intergovt'!S15),0)</f>
        <v>113924</v>
      </c>
      <c r="U101" s="647"/>
      <c r="V101" s="642"/>
      <c r="W101" s="642"/>
      <c r="X101" s="642"/>
      <c r="Y101" s="642"/>
      <c r="Z101" s="642"/>
      <c r="AA101" s="619"/>
    </row>
    <row r="102" spans="1:27" x14ac:dyDescent="0.2">
      <c r="C102" s="647"/>
      <c r="D102" s="647"/>
      <c r="E102" s="647"/>
      <c r="F102" s="647"/>
      <c r="G102" s="647"/>
      <c r="H102" s="647"/>
      <c r="I102" s="647"/>
      <c r="J102" s="647"/>
      <c r="K102" s="647"/>
      <c r="P102" s="647"/>
      <c r="Q102" s="647"/>
      <c r="S102" s="646"/>
      <c r="U102" s="647"/>
      <c r="V102" s="642"/>
      <c r="W102" s="642"/>
      <c r="X102" s="642"/>
      <c r="Y102" s="642"/>
      <c r="Z102" s="642"/>
      <c r="AA102" s="619"/>
    </row>
    <row r="103" spans="1:27" x14ac:dyDescent="0.2">
      <c r="B103" s="642" t="s">
        <v>668</v>
      </c>
      <c r="C103" s="647"/>
      <c r="D103" s="647"/>
      <c r="E103" s="647"/>
      <c r="F103" s="647"/>
      <c r="G103" s="647"/>
      <c r="H103" s="647"/>
      <c r="I103" s="647"/>
      <c r="J103" s="647"/>
      <c r="K103" s="647"/>
      <c r="P103" s="647"/>
      <c r="Q103" s="647"/>
      <c r="S103" s="646"/>
      <c r="U103" s="647"/>
      <c r="V103" s="642"/>
      <c r="W103" s="642"/>
      <c r="X103" s="642"/>
      <c r="Y103" s="642"/>
      <c r="Z103" s="642"/>
      <c r="AA103" s="619"/>
    </row>
    <row r="104" spans="1:27" x14ac:dyDescent="0.2">
      <c r="A104" s="833">
        <v>910</v>
      </c>
      <c r="B104" s="642" t="s">
        <v>669</v>
      </c>
      <c r="C104" s="647">
        <f>+'910 Benefits'!C20</f>
        <v>1760819.2100000002</v>
      </c>
      <c r="D104" s="647">
        <f>+'910 Benefits'!D20</f>
        <v>1730791.4</v>
      </c>
      <c r="E104" s="647">
        <f>+'910 Benefits'!E20</f>
        <v>1748594.09</v>
      </c>
      <c r="F104" s="647">
        <f>+'910 Benefits'!F20</f>
        <v>1789352.1499999997</v>
      </c>
      <c r="G104" s="647">
        <f>+'910 Benefits'!G20</f>
        <v>1878957.3699999999</v>
      </c>
      <c r="H104" s="647">
        <f>+'910 Benefits'!H20</f>
        <v>2008426.33</v>
      </c>
      <c r="I104" s="647">
        <f>+'910 Benefits'!I20</f>
        <v>2068987.7100000002</v>
      </c>
      <c r="J104" s="647">
        <f>+'910 Benefits'!J20</f>
        <v>2040807.01</v>
      </c>
      <c r="K104" s="647">
        <f>+'910 Benefits'!K20</f>
        <v>2238057</v>
      </c>
      <c r="L104" s="662">
        <f>+'910 Benefits'!L20</f>
        <v>2116132.61</v>
      </c>
      <c r="M104" s="662">
        <f>+'910 Benefits'!M20</f>
        <v>2397861</v>
      </c>
      <c r="N104" s="662">
        <f>+'910 Benefits'!N20</f>
        <v>2161814.6400000006</v>
      </c>
      <c r="O104" s="662">
        <f>+'910 Benefits'!O20</f>
        <v>2391280</v>
      </c>
      <c r="P104" s="647">
        <f>ROUND((+'910 Benefits'!Q20),0)</f>
        <v>2490334</v>
      </c>
      <c r="Q104" s="647">
        <f>ROUND((+'910 Benefits'!R20),0)</f>
        <v>2490334</v>
      </c>
      <c r="R104" s="647">
        <f>ROUND((+'910 Benefits'!S20),0)</f>
        <v>2490334</v>
      </c>
      <c r="U104" s="647"/>
      <c r="V104" s="642"/>
      <c r="W104" s="642"/>
      <c r="X104" s="642"/>
      <c r="Y104" s="642"/>
      <c r="Z104" s="642"/>
      <c r="AA104" s="619"/>
    </row>
    <row r="105" spans="1:27" x14ac:dyDescent="0.2">
      <c r="A105" s="833">
        <v>946</v>
      </c>
      <c r="B105" s="642" t="s">
        <v>670</v>
      </c>
      <c r="C105" s="647">
        <f>+'946 Insurance'!C21</f>
        <v>63586.85</v>
      </c>
      <c r="D105" s="647">
        <f>+'946 Insurance'!D21</f>
        <v>81915.03</v>
      </c>
      <c r="E105" s="647">
        <f>+'946 Insurance'!E21</f>
        <v>90801.61</v>
      </c>
      <c r="F105" s="647">
        <f>+'946 Insurance'!F21</f>
        <v>84898.93</v>
      </c>
      <c r="G105" s="647">
        <f>+'946 Insurance'!G21</f>
        <v>87959.99</v>
      </c>
      <c r="H105" s="647">
        <f>+'946 Insurance'!H21</f>
        <v>95065.72</v>
      </c>
      <c r="I105" s="647">
        <f>+'946 Insurance'!I21</f>
        <v>85911.72</v>
      </c>
      <c r="J105" s="647">
        <f>+'946 Insurance'!J21</f>
        <v>92318.19</v>
      </c>
      <c r="K105" s="647">
        <f>+'946 Insurance'!K21</f>
        <v>96000</v>
      </c>
      <c r="L105" s="662">
        <f>+'946 Insurance'!L21</f>
        <v>108176.48</v>
      </c>
      <c r="M105" s="662">
        <f>+'946 Insurance'!M21</f>
        <v>115000</v>
      </c>
      <c r="N105" s="662">
        <f>+'946 Insurance'!N21</f>
        <v>104258.71</v>
      </c>
      <c r="O105" s="662">
        <f>+'946 Insurance'!O21</f>
        <v>119600</v>
      </c>
      <c r="P105" s="647">
        <f>ROUND((+'946 Insurance'!Q21),0)</f>
        <v>120600</v>
      </c>
      <c r="Q105" s="647">
        <f>ROUND((+'946 Insurance'!R21),0)</f>
        <v>120600</v>
      </c>
      <c r="R105" s="647">
        <f>ROUND((+'946 Insurance'!S21),0)</f>
        <v>120600</v>
      </c>
      <c r="U105" s="647"/>
      <c r="V105" s="642"/>
      <c r="W105" s="642"/>
      <c r="X105" s="642"/>
      <c r="Y105" s="642"/>
      <c r="Z105" s="642"/>
      <c r="AA105" s="619"/>
    </row>
    <row r="106" spans="1:27" x14ac:dyDescent="0.2">
      <c r="C106" s="647"/>
      <c r="D106" s="647"/>
      <c r="E106" s="647"/>
      <c r="F106" s="647"/>
      <c r="G106" s="647"/>
      <c r="H106" s="647"/>
      <c r="I106" s="647"/>
      <c r="J106" s="647"/>
      <c r="K106" s="647"/>
      <c r="P106" s="647"/>
      <c r="Q106" s="647"/>
      <c r="U106" s="647"/>
      <c r="AA106" s="619"/>
    </row>
    <row r="107" spans="1:27" x14ac:dyDescent="0.2">
      <c r="B107" s="642" t="s">
        <v>671</v>
      </c>
      <c r="C107" s="647">
        <f t="shared" ref="C107:P107" si="21">SUM(C104:C106)</f>
        <v>1824406.0600000003</v>
      </c>
      <c r="D107" s="647">
        <f t="shared" si="21"/>
        <v>1812706.43</v>
      </c>
      <c r="E107" s="647">
        <f t="shared" si="21"/>
        <v>1839395.7000000002</v>
      </c>
      <c r="F107" s="647">
        <f t="shared" si="21"/>
        <v>1874251.0799999996</v>
      </c>
      <c r="G107" s="647">
        <f t="shared" si="21"/>
        <v>1966917.3599999999</v>
      </c>
      <c r="H107" s="647">
        <f t="shared" si="21"/>
        <v>2103492.0500000003</v>
      </c>
      <c r="I107" s="647">
        <f t="shared" si="21"/>
        <v>2154899.4300000002</v>
      </c>
      <c r="J107" s="647">
        <f t="shared" ref="J107:K107" si="22">SUM(J104:J106)</f>
        <v>2133125.2000000002</v>
      </c>
      <c r="K107" s="647">
        <f t="shared" si="22"/>
        <v>2334057</v>
      </c>
      <c r="L107" s="662">
        <f>SUM(L104:L106)</f>
        <v>2224309.09</v>
      </c>
      <c r="M107" s="662">
        <f t="shared" ref="M107:N107" si="23">SUM(M104:M106)</f>
        <v>2512861</v>
      </c>
      <c r="N107" s="662">
        <f t="shared" si="23"/>
        <v>2266073.3500000006</v>
      </c>
      <c r="O107" s="662">
        <f>SUM(O104:O106)</f>
        <v>2510880</v>
      </c>
      <c r="P107" s="647">
        <f t="shared" si="21"/>
        <v>2610934</v>
      </c>
      <c r="Q107" s="647">
        <f t="shared" ref="Q107:R107" si="24">SUM(Q104:Q106)</f>
        <v>2610934</v>
      </c>
      <c r="R107" s="647">
        <f t="shared" si="24"/>
        <v>2610934</v>
      </c>
      <c r="S107" s="646"/>
      <c r="U107" s="647"/>
      <c r="AA107" s="619"/>
    </row>
    <row r="108" spans="1:27" x14ac:dyDescent="0.2">
      <c r="C108" s="647"/>
      <c r="D108" s="647"/>
      <c r="E108" s="647"/>
      <c r="F108" s="647"/>
      <c r="G108" s="647"/>
      <c r="H108" s="647"/>
      <c r="I108" s="647"/>
      <c r="J108" s="647"/>
      <c r="K108" s="647"/>
      <c r="P108" s="647"/>
      <c r="Q108" s="647"/>
      <c r="T108" s="645"/>
      <c r="U108" s="644"/>
      <c r="V108" s="645"/>
      <c r="W108" s="645"/>
      <c r="AA108" s="619"/>
    </row>
    <row r="109" spans="1:27" x14ac:dyDescent="0.2">
      <c r="B109" s="642" t="s">
        <v>672</v>
      </c>
      <c r="C109" s="647">
        <f t="shared" ref="C109:I109" si="25">+C107+C101+C98+C95+C87+C79+C69+C55</f>
        <v>12082978.180000002</v>
      </c>
      <c r="D109" s="647">
        <f t="shared" si="25"/>
        <v>12777510.58</v>
      </c>
      <c r="E109" s="647">
        <f t="shared" si="25"/>
        <v>13382852.830000002</v>
      </c>
      <c r="F109" s="647">
        <f t="shared" si="25"/>
        <v>13348696.070000002</v>
      </c>
      <c r="G109" s="647">
        <f t="shared" si="25"/>
        <v>13836208.480000002</v>
      </c>
      <c r="H109" s="647">
        <f t="shared" si="25"/>
        <v>8512759.1699999999</v>
      </c>
      <c r="I109" s="647">
        <f t="shared" si="25"/>
        <v>8909077.0700000003</v>
      </c>
      <c r="J109" s="647">
        <f t="shared" ref="J109:K109" si="26">+J107+J101+J98+J95+J87+J79+J69+J55</f>
        <v>9297612.5800000001</v>
      </c>
      <c r="K109" s="647">
        <f t="shared" si="26"/>
        <v>10378863</v>
      </c>
      <c r="L109" s="662">
        <f>+L107+L101+L98+L95+L87+L79+L69+L55</f>
        <v>9683069.8300000001</v>
      </c>
      <c r="M109" s="662">
        <f t="shared" ref="M109:N109" si="27">+M107+M101+M98+M95+M87+M79+M69+M55</f>
        <v>10766020</v>
      </c>
      <c r="N109" s="662">
        <f t="shared" si="27"/>
        <v>9932952.9199999999</v>
      </c>
      <c r="O109" s="662">
        <f>+O107+O101+O98+O95+O87+O79+O69+O55</f>
        <v>11308026</v>
      </c>
      <c r="P109" s="647">
        <f>ROUND((+P107+P101+P98+P95+P87+P79+P69+P55),)</f>
        <v>11961596</v>
      </c>
      <c r="Q109" s="647">
        <f t="shared" ref="Q109:R109" si="28">ROUND((+Q107+Q101+Q98+Q95+Q87+Q79+Q69+Q55),)</f>
        <v>11961596</v>
      </c>
      <c r="R109" s="647">
        <f t="shared" si="28"/>
        <v>11961596</v>
      </c>
      <c r="S109" s="647">
        <f>+R109-T109-U109</f>
        <v>11961596</v>
      </c>
      <c r="U109" s="647">
        <f>+'Revenue Projections Detail'!M64</f>
        <v>0</v>
      </c>
      <c r="W109" s="646">
        <f>SUM(W37:W108)</f>
        <v>0</v>
      </c>
      <c r="X109" s="646">
        <f>SUM(X37:X108)</f>
        <v>0</v>
      </c>
      <c r="Y109" s="646">
        <f>SUM(Y37:Y108)</f>
        <v>0</v>
      </c>
      <c r="Z109" s="646">
        <f>SUM(Z37:Z108)</f>
        <v>0</v>
      </c>
      <c r="AA109" s="619"/>
    </row>
    <row r="110" spans="1:27" x14ac:dyDescent="0.2">
      <c r="B110" s="646"/>
      <c r="C110" s="647"/>
      <c r="D110" s="647"/>
      <c r="E110" s="647"/>
      <c r="F110" s="647"/>
      <c r="G110" s="647"/>
      <c r="H110" s="647"/>
      <c r="I110" s="647"/>
      <c r="J110" s="647"/>
      <c r="K110" s="647"/>
      <c r="P110" s="647"/>
      <c r="Q110" s="647"/>
      <c r="R110" s="650"/>
      <c r="S110" s="646"/>
      <c r="T110" s="647"/>
      <c r="U110" s="647"/>
      <c r="AA110" s="619"/>
    </row>
    <row r="111" spans="1:27" x14ac:dyDescent="0.2">
      <c r="B111" s="642" t="s">
        <v>2393</v>
      </c>
      <c r="C111" s="647"/>
      <c r="D111" s="647"/>
      <c r="E111" s="647"/>
      <c r="F111" s="647"/>
      <c r="G111" s="647"/>
      <c r="H111" s="647"/>
      <c r="I111" s="647"/>
      <c r="J111" s="647"/>
      <c r="K111" s="647"/>
      <c r="P111" s="647"/>
      <c r="Q111" s="647"/>
      <c r="R111" s="650"/>
      <c r="S111" s="646"/>
      <c r="U111" s="647"/>
      <c r="AA111" s="619"/>
    </row>
    <row r="112" spans="1:27" x14ac:dyDescent="0.2">
      <c r="A112" s="833">
        <v>440</v>
      </c>
      <c r="B112" s="642" t="s">
        <v>2393</v>
      </c>
      <c r="C112" s="647">
        <f>+'661 440 CWF'!C64</f>
        <v>1232852.1600000001</v>
      </c>
      <c r="D112" s="647">
        <f>+'661 440 CWF'!D64</f>
        <v>1332110.5999999999</v>
      </c>
      <c r="E112" s="647">
        <f>+'661 440 CWF'!E64</f>
        <v>1415714.64</v>
      </c>
      <c r="F112" s="647">
        <f>+'661 440 CWF'!F64</f>
        <v>1411128.35</v>
      </c>
      <c r="G112" s="647">
        <f>+'661 440 CWF'!G64</f>
        <v>1411401.52</v>
      </c>
      <c r="H112" s="647">
        <f>+'661 440 CWF'!H64</f>
        <v>1459773.7000000002</v>
      </c>
      <c r="I112" s="647">
        <f>+'661 440 CWF'!I64</f>
        <v>1523345.5699999998</v>
      </c>
      <c r="J112" s="647">
        <f>+'661 440 CWF'!J64</f>
        <v>1546577.2100000002</v>
      </c>
      <c r="K112" s="647">
        <f>+'661 440 CWF'!K64</f>
        <v>1585763</v>
      </c>
      <c r="L112" s="662">
        <f>+'661 440 CWF'!L64</f>
        <v>1480090.73</v>
      </c>
      <c r="M112" s="662">
        <f>+'661 440 CWF'!M64</f>
        <v>1751791</v>
      </c>
      <c r="N112" s="662">
        <f>+'661 440 CWF'!N64</f>
        <v>1662652.6700000002</v>
      </c>
      <c r="O112" s="662">
        <f>+'661 440 CWF'!O64</f>
        <v>1962430</v>
      </c>
      <c r="P112" s="647">
        <f>ROUND((+'661 440 CWF'!Q64),0)-P113</f>
        <v>2015729</v>
      </c>
      <c r="Q112" s="647">
        <f>ROUND((+'661 440 CWF'!R64),0)-Q113</f>
        <v>2015729</v>
      </c>
      <c r="R112" s="650">
        <f>+'661 440 CWF'!S64-R113</f>
        <v>2015729</v>
      </c>
      <c r="U112" s="647"/>
      <c r="AA112" s="619"/>
    </row>
    <row r="113" spans="1:28" x14ac:dyDescent="0.2">
      <c r="A113" s="833"/>
      <c r="B113" s="642" t="s">
        <v>2394</v>
      </c>
      <c r="C113" s="647"/>
      <c r="D113" s="647"/>
      <c r="E113" s="647"/>
      <c r="F113" s="647"/>
      <c r="G113" s="647"/>
      <c r="H113" s="647"/>
      <c r="I113" s="647"/>
      <c r="J113" s="647"/>
      <c r="K113" s="647"/>
      <c r="P113" s="647">
        <f>+'661 440 CWF'!Q61</f>
        <v>58500</v>
      </c>
      <c r="Q113" s="647">
        <f>+'661 440 CWF'!R61</f>
        <v>58500</v>
      </c>
      <c r="R113" s="647">
        <f>+'661 440 CWF'!S61</f>
        <v>58500</v>
      </c>
      <c r="U113" s="647"/>
      <c r="AA113" s="619"/>
    </row>
    <row r="114" spans="1:28" x14ac:dyDescent="0.2">
      <c r="A114" s="833">
        <v>449</v>
      </c>
      <c r="B114" s="642" t="s">
        <v>674</v>
      </c>
      <c r="C114" s="647">
        <f>+'661 449 Hwy'!C28</f>
        <v>24510.879999999997</v>
      </c>
      <c r="D114" s="647">
        <f>+'661 449 Hwy'!D28</f>
        <v>17339.32</v>
      </c>
      <c r="E114" s="647">
        <f>+'661 449 Hwy'!E28</f>
        <v>41678.6</v>
      </c>
      <c r="F114" s="647">
        <f>+'661 449 Hwy'!F28</f>
        <v>53420.14</v>
      </c>
      <c r="G114" s="647">
        <f>+'661 449 Hwy'!G28</f>
        <v>19605.989999999998</v>
      </c>
      <c r="H114" s="647">
        <f>+'661 449 Hwy'!H28</f>
        <v>19157.71</v>
      </c>
      <c r="I114" s="647">
        <f>+'661 449 Hwy'!I28</f>
        <v>26987.78</v>
      </c>
      <c r="J114" s="647">
        <f>+'661 449 Hwy'!J28</f>
        <v>11306.64</v>
      </c>
      <c r="K114" s="647">
        <f>+'661 449 Hwy'!K28</f>
        <v>50800</v>
      </c>
      <c r="L114" s="662">
        <f>+'661 449 Hwy'!L28</f>
        <v>27083.379999999997</v>
      </c>
      <c r="M114" s="662">
        <f>+'661 449 Hwy'!M28</f>
        <v>50800</v>
      </c>
      <c r="N114" s="662">
        <f>+'661 449 Hwy'!N28</f>
        <v>34832.729999999996</v>
      </c>
      <c r="O114" s="662">
        <f>+'661 449 Hwy'!O28</f>
        <v>50800</v>
      </c>
      <c r="P114" s="647">
        <f>ROUND((+'661 449 Hwy'!Q28),0)</f>
        <v>84650</v>
      </c>
      <c r="Q114" s="647">
        <f>ROUND((+'661 449 Hwy'!R28),0)</f>
        <v>84650</v>
      </c>
      <c r="R114" s="650">
        <f>+'661 449 Hwy'!S28</f>
        <v>84650</v>
      </c>
      <c r="U114" s="647"/>
      <c r="AA114" s="619"/>
    </row>
    <row r="115" spans="1:28" x14ac:dyDescent="0.2">
      <c r="A115" s="833">
        <v>700</v>
      </c>
      <c r="B115" s="642" t="s">
        <v>2395</v>
      </c>
      <c r="C115" s="647">
        <f>+'661 700 CWF Debt'!C61</f>
        <v>339561.32000000007</v>
      </c>
      <c r="D115" s="647">
        <f>+'661 700 CWF Debt'!D61</f>
        <v>333169.57</v>
      </c>
      <c r="E115" s="647">
        <f>+'661 700 CWF Debt'!E61</f>
        <v>430365.07</v>
      </c>
      <c r="F115" s="647">
        <f>+'661 700 CWF Debt'!F61</f>
        <v>426045.84</v>
      </c>
      <c r="G115" s="647">
        <f>+'661 700 CWF Debt'!G61</f>
        <v>432071.62</v>
      </c>
      <c r="H115" s="647">
        <f>+'661 700 CWF Debt'!H61</f>
        <v>363646.25</v>
      </c>
      <c r="I115" s="647">
        <f>+'661 700 CWF Debt'!I61</f>
        <v>363127.97</v>
      </c>
      <c r="J115" s="647">
        <f>+'661 700 CWF Debt'!J61</f>
        <v>513019.85</v>
      </c>
      <c r="K115" s="647">
        <f>+'661 700 CWF Debt'!K61</f>
        <v>520551</v>
      </c>
      <c r="L115" s="662">
        <f>+'661 700 CWF Debt'!L61</f>
        <v>495060.53</v>
      </c>
      <c r="M115" s="662">
        <f>+'661 700 CWF Debt'!M61</f>
        <v>514047</v>
      </c>
      <c r="N115" s="662">
        <f>+'661 700 CWF Debt'!N61</f>
        <v>489041.95000000007</v>
      </c>
      <c r="O115" s="662">
        <f>+'661 700 CWF Debt'!O61</f>
        <v>505270</v>
      </c>
      <c r="P115" s="647">
        <f>ROUND((+'661 700 CWF Debt'!Q61),0)</f>
        <v>483614</v>
      </c>
      <c r="Q115" s="647">
        <f>ROUND((+'661 700 CWF Debt'!R61),0)</f>
        <v>483614</v>
      </c>
      <c r="R115" s="650">
        <f>+P115</f>
        <v>483614</v>
      </c>
      <c r="U115" s="647"/>
      <c r="AA115" s="619"/>
    </row>
    <row r="116" spans="1:28" x14ac:dyDescent="0.2">
      <c r="A116" s="833">
        <v>910</v>
      </c>
      <c r="B116" s="642" t="s">
        <v>2396</v>
      </c>
      <c r="C116" s="647">
        <f>+'661 910 CWF Benefits'!C18</f>
        <v>162428.75000000003</v>
      </c>
      <c r="D116" s="647">
        <f>+'661 910 CWF Benefits'!D18</f>
        <v>160893.16</v>
      </c>
      <c r="E116" s="647">
        <f>+'661 910 CWF Benefits'!E18</f>
        <v>181400.05999999997</v>
      </c>
      <c r="F116" s="647">
        <f>+'661 910 CWF Benefits'!F18</f>
        <v>194173.2</v>
      </c>
      <c r="G116" s="647">
        <f>+'661 910 CWF Benefits'!G18</f>
        <v>221112.49</v>
      </c>
      <c r="H116" s="647">
        <f>+'661 910 CWF Benefits'!H18</f>
        <v>224380.71000000002</v>
      </c>
      <c r="I116" s="647">
        <f>+'661 910 CWF Benefits'!I18</f>
        <v>234658.48</v>
      </c>
      <c r="J116" s="647">
        <f>+'661 910 CWF Benefits'!J18</f>
        <v>225455.12</v>
      </c>
      <c r="K116" s="647">
        <f>+'661 910 CWF Benefits'!K18</f>
        <v>291954</v>
      </c>
      <c r="L116" s="662">
        <f>+'661 910 CWF Benefits'!L18</f>
        <v>222372.35</v>
      </c>
      <c r="M116" s="662">
        <f>+'661 910 CWF Benefits'!M18</f>
        <v>270333</v>
      </c>
      <c r="N116" s="662">
        <f>+'661 910 CWF Benefits'!N18</f>
        <v>228342.64</v>
      </c>
      <c r="O116" s="662">
        <f>+'661 910 CWF Benefits'!O18</f>
        <v>359152</v>
      </c>
      <c r="P116" s="647">
        <f>ROUND((+'661 910 CWF Benefits'!Q18),)</f>
        <v>363631</v>
      </c>
      <c r="Q116" s="647">
        <f>ROUND((+'661 910 CWF Benefits'!R18),)</f>
        <v>363631</v>
      </c>
      <c r="R116" s="650">
        <f>+P116</f>
        <v>363631</v>
      </c>
      <c r="U116" s="647"/>
      <c r="AA116" s="619"/>
    </row>
    <row r="117" spans="1:28" x14ac:dyDescent="0.2">
      <c r="C117" s="647"/>
      <c r="D117" s="647"/>
      <c r="E117" s="647"/>
      <c r="F117" s="647"/>
      <c r="G117" s="647"/>
      <c r="H117" s="647"/>
      <c r="I117" s="647"/>
      <c r="J117" s="647"/>
      <c r="K117" s="647"/>
      <c r="P117" s="647"/>
      <c r="Q117" s="647"/>
      <c r="R117" s="650"/>
      <c r="T117" s="645"/>
      <c r="U117" s="644"/>
      <c r="V117" s="645"/>
      <c r="W117" s="645"/>
      <c r="AA117" s="619"/>
    </row>
    <row r="118" spans="1:28" x14ac:dyDescent="0.2">
      <c r="B118" s="642" t="s">
        <v>2400</v>
      </c>
      <c r="C118" s="647">
        <f t="shared" ref="C118:R118" si="29">SUM(C112:C117)</f>
        <v>1759353.11</v>
      </c>
      <c r="D118" s="647">
        <f t="shared" si="29"/>
        <v>1843512.65</v>
      </c>
      <c r="E118" s="647">
        <f t="shared" si="29"/>
        <v>2069158.37</v>
      </c>
      <c r="F118" s="647">
        <f t="shared" si="29"/>
        <v>2084767.53</v>
      </c>
      <c r="G118" s="647">
        <f t="shared" si="29"/>
        <v>2084191.6199999999</v>
      </c>
      <c r="H118" s="647">
        <f t="shared" si="29"/>
        <v>2066958.37</v>
      </c>
      <c r="I118" s="647">
        <f t="shared" si="29"/>
        <v>2148119.7999999998</v>
      </c>
      <c r="J118" s="647">
        <f t="shared" si="29"/>
        <v>2296358.8200000003</v>
      </c>
      <c r="K118" s="647">
        <f t="shared" ref="K118" si="30">SUM(K112:K117)</f>
        <v>2449068</v>
      </c>
      <c r="L118" s="662">
        <f>SUM(L112:L117)</f>
        <v>2224606.9899999998</v>
      </c>
      <c r="M118" s="662">
        <f t="shared" ref="M118:N118" si="31">SUM(M112:M117)</f>
        <v>2586971</v>
      </c>
      <c r="N118" s="662">
        <f t="shared" si="31"/>
        <v>2414869.9900000002</v>
      </c>
      <c r="O118" s="662">
        <f>SUM(O112:O117)</f>
        <v>2877652</v>
      </c>
      <c r="P118" s="647">
        <f t="shared" si="29"/>
        <v>3006124</v>
      </c>
      <c r="Q118" s="647">
        <f t="shared" ref="Q118" si="32">SUM(Q112:Q117)</f>
        <v>3006124</v>
      </c>
      <c r="R118" s="650">
        <f t="shared" si="29"/>
        <v>3006124</v>
      </c>
      <c r="S118" s="646">
        <f>+'Tax share CWF'!C42</f>
        <v>286900</v>
      </c>
      <c r="U118" s="647"/>
      <c r="Y118" s="646">
        <f>+P118-S118</f>
        <v>2719224</v>
      </c>
      <c r="AA118" s="619"/>
    </row>
    <row r="119" spans="1:28" x14ac:dyDescent="0.2">
      <c r="C119" s="647"/>
      <c r="D119" s="647"/>
      <c r="E119" s="647"/>
      <c r="F119" s="647"/>
      <c r="G119" s="647"/>
      <c r="H119" s="647"/>
      <c r="I119" s="647"/>
      <c r="J119" s="647"/>
      <c r="K119" s="647"/>
      <c r="P119" s="647"/>
      <c r="Q119" s="647"/>
      <c r="R119" s="650"/>
      <c r="S119" s="646"/>
      <c r="U119" s="647"/>
      <c r="AA119" s="619"/>
    </row>
    <row r="120" spans="1:28" x14ac:dyDescent="0.2">
      <c r="C120" s="647"/>
      <c r="D120" s="647"/>
      <c r="E120" s="647"/>
      <c r="F120" s="647"/>
      <c r="G120" s="647"/>
      <c r="H120" s="647"/>
      <c r="I120" s="647"/>
      <c r="J120" s="647"/>
      <c r="K120" s="647"/>
      <c r="P120" s="647"/>
      <c r="Q120" s="647"/>
      <c r="R120" s="650"/>
      <c r="S120" s="646"/>
      <c r="U120" s="647"/>
      <c r="AA120" s="619"/>
    </row>
    <row r="121" spans="1:28" x14ac:dyDescent="0.2">
      <c r="A121" s="833">
        <v>482</v>
      </c>
      <c r="B121" s="642" t="s">
        <v>678</v>
      </c>
      <c r="C121" s="647">
        <f>+'600 482 Airport'!C54</f>
        <v>36905.490000000005</v>
      </c>
      <c r="D121" s="647">
        <f>+'600 482 Airport'!D54</f>
        <v>44653.43</v>
      </c>
      <c r="E121" s="647">
        <f>+'600 482 Airport'!E54</f>
        <v>45769.880000000005</v>
      </c>
      <c r="F121" s="647">
        <f>+'600 482 Airport'!F54</f>
        <v>44520.340000000011</v>
      </c>
      <c r="G121" s="647">
        <f>+'600 482 Airport'!G54</f>
        <v>51918.03</v>
      </c>
      <c r="H121" s="647">
        <f>+'600 482 Airport'!H54</f>
        <v>48770.28</v>
      </c>
      <c r="I121" s="647">
        <f>+'600 482 Airport'!I54</f>
        <v>48391.540000000008</v>
      </c>
      <c r="J121" s="647">
        <f>+'600 482 Airport'!J54</f>
        <v>39812.629999999997</v>
      </c>
      <c r="K121" s="647">
        <f>+'600 482 Airport'!K54</f>
        <v>95494</v>
      </c>
      <c r="L121" s="662">
        <f>+'600 482 Airport'!L54</f>
        <v>95493.999999999985</v>
      </c>
      <c r="M121" s="662">
        <f>+'600 482 Airport'!M54</f>
        <v>211419.45</v>
      </c>
      <c r="N121" s="662">
        <f>+'600 482 Airport'!N54</f>
        <v>210949.27000000002</v>
      </c>
      <c r="O121" s="662">
        <f>+'600 482 Airport'!O54</f>
        <v>181794</v>
      </c>
      <c r="P121" s="647">
        <f>ROUND((+'600 482 Airport'!Q54),0)</f>
        <v>284915</v>
      </c>
      <c r="Q121" s="647">
        <f>ROUND((+'600 482 Airport'!R54),0)</f>
        <v>284915</v>
      </c>
      <c r="R121" s="650">
        <f>+P121</f>
        <v>284915</v>
      </c>
      <c r="U121" s="647"/>
      <c r="AA121" s="619"/>
    </row>
    <row r="122" spans="1:28" x14ac:dyDescent="0.2">
      <c r="A122" s="833">
        <v>700</v>
      </c>
      <c r="B122" s="642" t="s">
        <v>679</v>
      </c>
      <c r="C122" s="647"/>
      <c r="D122" s="647"/>
      <c r="E122" s="647"/>
      <c r="F122" s="647"/>
      <c r="G122" s="647"/>
      <c r="H122" s="647"/>
      <c r="I122" s="647"/>
      <c r="J122" s="647"/>
      <c r="K122" s="647"/>
      <c r="O122" s="662">
        <f>+'600-700 Airport Debt'!O21</f>
        <v>101120</v>
      </c>
      <c r="P122" s="647">
        <f>+'600-700 Airport Debt'!Q21</f>
        <v>101535</v>
      </c>
      <c r="Q122" s="647">
        <f>+'600-700 Airport Debt'!R21</f>
        <v>101535</v>
      </c>
      <c r="R122" s="647">
        <f>+'600-700 Airport Debt'!S21</f>
        <v>101535</v>
      </c>
      <c r="U122" s="647"/>
      <c r="AA122" s="619"/>
    </row>
    <row r="123" spans="1:28" x14ac:dyDescent="0.2">
      <c r="A123" s="833">
        <v>910</v>
      </c>
      <c r="B123" s="642" t="s">
        <v>680</v>
      </c>
      <c r="C123" s="647"/>
      <c r="D123" s="647"/>
      <c r="E123" s="647"/>
      <c r="F123" s="647"/>
      <c r="G123" s="647"/>
      <c r="H123" s="647"/>
      <c r="I123" s="647"/>
      <c r="J123" s="647"/>
      <c r="K123" s="647"/>
      <c r="O123" s="662">
        <f>+'600-900 Airport Benefits'!O18</f>
        <v>33101</v>
      </c>
      <c r="P123" s="647">
        <f>+'600-900 Airport Benefits'!Q18</f>
        <v>40515</v>
      </c>
      <c r="Q123" s="647">
        <f>+'600-900 Airport Benefits'!R18</f>
        <v>40515</v>
      </c>
      <c r="R123" s="647">
        <f>+'600-900 Airport Benefits'!S18</f>
        <v>40515</v>
      </c>
      <c r="U123" s="647"/>
      <c r="AA123" s="619"/>
    </row>
    <row r="124" spans="1:28" x14ac:dyDescent="0.2">
      <c r="A124" s="833"/>
      <c r="C124" s="647"/>
      <c r="D124" s="647"/>
      <c r="E124" s="647"/>
      <c r="F124" s="647"/>
      <c r="G124" s="647"/>
      <c r="H124" s="647"/>
      <c r="I124" s="647"/>
      <c r="J124" s="647"/>
      <c r="K124" s="647"/>
      <c r="P124" s="647"/>
      <c r="Q124" s="647"/>
      <c r="R124" s="650"/>
      <c r="U124" s="647"/>
      <c r="AA124" s="619"/>
    </row>
    <row r="125" spans="1:28" x14ac:dyDescent="0.2">
      <c r="A125" s="833"/>
      <c r="B125" s="642" t="s">
        <v>681</v>
      </c>
      <c r="C125" s="647"/>
      <c r="D125" s="647"/>
      <c r="E125" s="647"/>
      <c r="F125" s="647"/>
      <c r="G125" s="647"/>
      <c r="H125" s="647"/>
      <c r="I125" s="647"/>
      <c r="J125" s="647"/>
      <c r="K125" s="647"/>
      <c r="O125" s="647">
        <f>SUM(O121:O124)</f>
        <v>316015</v>
      </c>
      <c r="P125" s="647">
        <f>SUM(P121:P124)</f>
        <v>426965</v>
      </c>
      <c r="Q125" s="647">
        <f>SUM(Q121:Q124)</f>
        <v>426965</v>
      </c>
      <c r="R125" s="647">
        <f>SUM(R121:R124)</f>
        <v>426965</v>
      </c>
      <c r="U125" s="647"/>
      <c r="Z125" s="646">
        <f>+R125</f>
        <v>426965</v>
      </c>
      <c r="AA125" s="619"/>
    </row>
    <row r="126" spans="1:28" x14ac:dyDescent="0.2">
      <c r="C126" s="647"/>
      <c r="D126" s="647"/>
      <c r="E126" s="647"/>
      <c r="F126" s="647"/>
      <c r="G126" s="647"/>
      <c r="H126" s="647"/>
      <c r="I126" s="647"/>
      <c r="J126" s="647"/>
      <c r="K126" s="647"/>
      <c r="P126" s="647"/>
      <c r="Q126" s="647"/>
      <c r="S126" s="646"/>
      <c r="U126" s="647"/>
      <c r="AA126" s="619"/>
    </row>
    <row r="127" spans="1:28" x14ac:dyDescent="0.2">
      <c r="A127" s="835">
        <v>300</v>
      </c>
      <c r="B127" s="642" t="s">
        <v>682</v>
      </c>
      <c r="C127" s="647"/>
      <c r="D127" s="647"/>
      <c r="E127" s="647"/>
      <c r="F127" s="647"/>
      <c r="G127" s="647"/>
      <c r="H127" s="647"/>
      <c r="I127" s="647"/>
      <c r="J127" s="647"/>
      <c r="K127" s="647"/>
      <c r="P127" s="647"/>
      <c r="Q127" s="647"/>
      <c r="S127" s="646"/>
      <c r="U127" s="647"/>
      <c r="AA127" s="619"/>
    </row>
    <row r="128" spans="1:28" ht="15.75" x14ac:dyDescent="0.25">
      <c r="B128" s="642" t="s">
        <v>683</v>
      </c>
      <c r="C128" s="647">
        <f>+'300 Schools'!C11</f>
        <v>737865</v>
      </c>
      <c r="D128" s="647">
        <f>+'300 Schools'!D11</f>
        <v>731659</v>
      </c>
      <c r="E128" s="647">
        <f>+'300 Schools'!E11</f>
        <v>682601</v>
      </c>
      <c r="F128" s="647">
        <f>+'300 Schools'!F11</f>
        <v>760615</v>
      </c>
      <c r="G128" s="647">
        <f>+'300 Schools'!G11</f>
        <v>659356</v>
      </c>
      <c r="H128" s="647">
        <f>+'300 Schools'!H11</f>
        <v>747340</v>
      </c>
      <c r="I128" s="647">
        <f>+'300 Schools'!I11</f>
        <v>974337.89</v>
      </c>
      <c r="J128" s="647">
        <f>+'300 Schools'!J11</f>
        <v>1085003.6299999999</v>
      </c>
      <c r="K128" s="647">
        <f>+'300 Schools'!K11</f>
        <v>1255456</v>
      </c>
      <c r="L128" s="662">
        <f>+'300 Schools'!L11</f>
        <v>1255455.8400000001</v>
      </c>
      <c r="M128" s="662">
        <f>+'300 Schools'!M11</f>
        <v>1221005</v>
      </c>
      <c r="N128" s="662">
        <f>+'300 Schools'!N11</f>
        <v>1221005</v>
      </c>
      <c r="O128" s="662">
        <f>+'300 Schools'!O11</f>
        <v>1029566</v>
      </c>
      <c r="P128" s="647">
        <f>ROUND((+'300 Schools'!Q11),0)</f>
        <v>1053018</v>
      </c>
      <c r="Q128" s="647">
        <f>ROUND((+'300 Schools'!R11),0)</f>
        <v>1053018</v>
      </c>
      <c r="R128" s="647">
        <f>+P128</f>
        <v>1053018</v>
      </c>
      <c r="S128" s="646">
        <f>+P128-W128</f>
        <v>1053018</v>
      </c>
      <c r="U128" s="650">
        <f>+U19</f>
        <v>0</v>
      </c>
      <c r="AA128" s="619"/>
      <c r="AB128" s="859"/>
    </row>
    <row r="129" spans="2:27" x14ac:dyDescent="0.2">
      <c r="B129" s="642" t="s">
        <v>580</v>
      </c>
      <c r="C129" s="647">
        <f>+'300 Schools'!C14</f>
        <v>7850604</v>
      </c>
      <c r="D129" s="647">
        <f>+'300 Schools'!D14</f>
        <v>7965557</v>
      </c>
      <c r="E129" s="647">
        <f>+'300 Schools'!E14</f>
        <v>8293458</v>
      </c>
      <c r="F129" s="647">
        <f>+'300 Schools'!F14</f>
        <v>8498343</v>
      </c>
      <c r="G129" s="647">
        <f>+'300 Schools'!G14</f>
        <v>8852114</v>
      </c>
      <c r="H129" s="647">
        <f>+'300 Schools'!H14</f>
        <v>9356560</v>
      </c>
      <c r="I129" s="647">
        <f>+'300 Schools'!I14</f>
        <v>9811160</v>
      </c>
      <c r="J129" s="647">
        <f>+'300 Schools'!J14</f>
        <v>10229737</v>
      </c>
      <c r="K129" s="647">
        <f>+'300 Schools'!K14</f>
        <v>10732268</v>
      </c>
      <c r="L129" s="662">
        <f>+'300 Schools'!L14</f>
        <v>10732268</v>
      </c>
      <c r="M129" s="662">
        <f>+'300 Schools'!M14</f>
        <v>10950854</v>
      </c>
      <c r="N129" s="662">
        <f>+'300 Schools'!N14</f>
        <v>10950854</v>
      </c>
      <c r="O129" s="662">
        <f>+'300 Schools'!O14</f>
        <v>11341466</v>
      </c>
      <c r="P129" s="647">
        <f>ROUND((+'300 Schools'!Q14),0)</f>
        <v>11809191</v>
      </c>
      <c r="Q129" s="647">
        <f>ROUND((+'300 Schools'!R14),0)</f>
        <v>11809191</v>
      </c>
      <c r="R129" s="647">
        <f>+P129</f>
        <v>11809191</v>
      </c>
      <c r="S129" s="647">
        <f>+R129-T129</f>
        <v>11809191</v>
      </c>
      <c r="U129" s="647"/>
      <c r="V129" s="646">
        <f>+'Revenue Projections Detail'!D67</f>
        <v>0</v>
      </c>
      <c r="AA129" s="619"/>
    </row>
    <row r="130" spans="2:27" x14ac:dyDescent="0.2">
      <c r="B130" s="642" t="s">
        <v>684</v>
      </c>
      <c r="C130" s="647">
        <f t="shared" ref="C130:S130" si="33">SUM(C128:C129)</f>
        <v>8588469</v>
      </c>
      <c r="D130" s="647">
        <f t="shared" si="33"/>
        <v>8697216</v>
      </c>
      <c r="E130" s="647">
        <f t="shared" si="33"/>
        <v>8976059</v>
      </c>
      <c r="F130" s="647">
        <f t="shared" si="33"/>
        <v>9258958</v>
      </c>
      <c r="G130" s="647">
        <f t="shared" si="33"/>
        <v>9511470</v>
      </c>
      <c r="H130" s="647">
        <f t="shared" si="33"/>
        <v>10103900</v>
      </c>
      <c r="I130" s="647">
        <f t="shared" si="33"/>
        <v>10785497.890000001</v>
      </c>
      <c r="J130" s="647">
        <f t="shared" ref="J130:K130" si="34">SUM(J128:J129)</f>
        <v>11314740.629999999</v>
      </c>
      <c r="K130" s="647">
        <f t="shared" si="34"/>
        <v>11987724</v>
      </c>
      <c r="L130" s="662">
        <f>SUM(L128:L129)</f>
        <v>11987723.84</v>
      </c>
      <c r="M130" s="662">
        <f t="shared" ref="M130:N130" si="35">SUM(M128:M129)</f>
        <v>12171859</v>
      </c>
      <c r="N130" s="662">
        <f t="shared" si="35"/>
        <v>12171859</v>
      </c>
      <c r="O130" s="662">
        <f>SUM(O128:O129)</f>
        <v>12371032</v>
      </c>
      <c r="P130" s="647">
        <f t="shared" si="33"/>
        <v>12862209</v>
      </c>
      <c r="Q130" s="647">
        <f t="shared" ref="Q130" si="36">SUM(Q128:Q129)</f>
        <v>12862209</v>
      </c>
      <c r="R130" s="647">
        <f t="shared" si="33"/>
        <v>12862209</v>
      </c>
      <c r="S130" s="647">
        <f t="shared" si="33"/>
        <v>12862209</v>
      </c>
      <c r="T130" s="646">
        <f>+T129</f>
        <v>0</v>
      </c>
      <c r="U130" s="646">
        <f t="shared" ref="U130:Z130" si="37">SUM(U128:U129)</f>
        <v>0</v>
      </c>
      <c r="V130" s="646">
        <f t="shared" si="37"/>
        <v>0</v>
      </c>
      <c r="W130" s="646">
        <f t="shared" si="37"/>
        <v>0</v>
      </c>
      <c r="X130" s="646">
        <f t="shared" si="37"/>
        <v>0</v>
      </c>
      <c r="Y130" s="646">
        <f t="shared" si="37"/>
        <v>0</v>
      </c>
      <c r="Z130" s="646">
        <f t="shared" si="37"/>
        <v>0</v>
      </c>
      <c r="AA130" s="619"/>
    </row>
    <row r="131" spans="2:27" x14ac:dyDescent="0.2">
      <c r="B131" s="646"/>
      <c r="C131" s="647"/>
      <c r="D131" s="647"/>
      <c r="E131" s="647"/>
      <c r="F131" s="647"/>
      <c r="G131" s="647"/>
      <c r="H131" s="647"/>
      <c r="I131" s="647"/>
      <c r="J131" s="647"/>
      <c r="K131" s="647"/>
      <c r="P131" s="647"/>
      <c r="Q131" s="647"/>
      <c r="S131" s="646"/>
      <c r="AA131" s="619"/>
    </row>
    <row r="132" spans="2:27" x14ac:dyDescent="0.2">
      <c r="B132" s="642" t="s">
        <v>685</v>
      </c>
      <c r="C132" s="647"/>
      <c r="D132" s="647"/>
      <c r="E132" s="647"/>
      <c r="F132" s="647"/>
      <c r="G132" s="647"/>
      <c r="H132" s="647"/>
      <c r="I132" s="647"/>
      <c r="J132" s="647"/>
      <c r="K132" s="647"/>
      <c r="P132" s="647"/>
      <c r="Q132" s="647"/>
      <c r="S132" s="646">
        <f>+P132</f>
        <v>0</v>
      </c>
      <c r="AA132" s="619"/>
    </row>
    <row r="133" spans="2:27" x14ac:dyDescent="0.2">
      <c r="C133" s="647"/>
      <c r="D133" s="647"/>
      <c r="E133" s="647"/>
      <c r="F133" s="647"/>
      <c r="G133" s="647"/>
      <c r="H133" s="647"/>
      <c r="I133" s="647"/>
      <c r="J133" s="647"/>
      <c r="K133" s="647"/>
      <c r="P133" s="647"/>
      <c r="Q133" s="647"/>
      <c r="S133" s="646"/>
      <c r="T133" s="645"/>
      <c r="U133" s="644"/>
      <c r="V133" s="645"/>
      <c r="W133" s="645"/>
      <c r="AA133" s="619"/>
    </row>
    <row r="134" spans="2:27" x14ac:dyDescent="0.2">
      <c r="B134" s="642" t="s">
        <v>686</v>
      </c>
      <c r="C134" s="647">
        <f t="shared" ref="C134:J134" si="38">+C130+C118+C109+C121+C132</f>
        <v>22467705.779999997</v>
      </c>
      <c r="D134" s="647">
        <f t="shared" si="38"/>
        <v>23362892.66</v>
      </c>
      <c r="E134" s="647">
        <f t="shared" si="38"/>
        <v>24473840.080000002</v>
      </c>
      <c r="F134" s="647">
        <f t="shared" si="38"/>
        <v>24736941.940000001</v>
      </c>
      <c r="G134" s="647">
        <f t="shared" si="38"/>
        <v>25483788.130000003</v>
      </c>
      <c r="H134" s="647">
        <f t="shared" si="38"/>
        <v>20732387.82</v>
      </c>
      <c r="I134" s="647">
        <f t="shared" si="38"/>
        <v>21891086.300000001</v>
      </c>
      <c r="J134" s="647">
        <f t="shared" si="38"/>
        <v>22948524.66</v>
      </c>
      <c r="K134" s="647">
        <f t="shared" ref="K134" si="39">+K130+K118+K109+K121+K132</f>
        <v>24911149</v>
      </c>
      <c r="L134" s="662">
        <f>+L130+L118+L109+L121+L132</f>
        <v>23990894.66</v>
      </c>
      <c r="M134" s="662">
        <f t="shared" ref="M134:N134" si="40">+M130+M118+M109+M121+M132</f>
        <v>25736269.449999999</v>
      </c>
      <c r="N134" s="662">
        <f t="shared" si="40"/>
        <v>24730631.18</v>
      </c>
      <c r="O134" s="662">
        <f>+O130+O118+O109+O125+O132</f>
        <v>26872725</v>
      </c>
      <c r="P134" s="647">
        <f>+P130+P118+P109+P125+P132</f>
        <v>28256894</v>
      </c>
      <c r="Q134" s="647">
        <f>+Q130+Q118+Q109+Q125+Q132</f>
        <v>28256894</v>
      </c>
      <c r="R134" s="647">
        <f>ROUND((+R130+R118+R109+R125+R132),0)</f>
        <v>28256894</v>
      </c>
      <c r="S134" s="646">
        <f>+S130+S118+S109+S121+S132</f>
        <v>25110705</v>
      </c>
      <c r="T134" s="647">
        <f>+T130+T118+T109+T121+T132</f>
        <v>0</v>
      </c>
      <c r="U134" s="646">
        <f>+U130+U118+U109+U121</f>
        <v>0</v>
      </c>
      <c r="V134" s="646">
        <f>+V130+V118+V109+V121</f>
        <v>0</v>
      </c>
      <c r="W134" s="646">
        <f>+W130+W118+W109+W121</f>
        <v>0</v>
      </c>
      <c r="X134" s="646">
        <f>+X130+X118+X109+X121</f>
        <v>0</v>
      </c>
      <c r="Y134" s="646">
        <f>+Y130+Y118+Y109+Y121</f>
        <v>2719224</v>
      </c>
      <c r="Z134" s="646">
        <f>+Z130+Z118+Z109+Z121+Z125</f>
        <v>426965</v>
      </c>
      <c r="AA134" s="619"/>
    </row>
    <row r="135" spans="2:27" x14ac:dyDescent="0.2">
      <c r="P135" s="647"/>
      <c r="Q135" s="647"/>
      <c r="S135" s="646"/>
      <c r="AA135" s="619"/>
    </row>
    <row r="136" spans="2:27" x14ac:dyDescent="0.2">
      <c r="P136" s="647"/>
      <c r="Q136" s="647"/>
      <c r="S136" s="646"/>
      <c r="U136" s="647"/>
      <c r="AA136" s="619"/>
    </row>
    <row r="137" spans="2:27" x14ac:dyDescent="0.2">
      <c r="B137" s="642" t="s">
        <v>687</v>
      </c>
      <c r="I137" s="643" t="s">
        <v>569</v>
      </c>
      <c r="J137" s="644" t="s">
        <v>570</v>
      </c>
      <c r="K137" s="644"/>
      <c r="L137" s="661" t="s">
        <v>275</v>
      </c>
      <c r="M137" s="644" t="s">
        <v>276</v>
      </c>
      <c r="N137" s="644" t="s">
        <v>277</v>
      </c>
      <c r="O137" s="644" t="s">
        <v>277</v>
      </c>
      <c r="P137" s="644" t="s">
        <v>571</v>
      </c>
      <c r="Q137" s="644" t="s">
        <v>571</v>
      </c>
      <c r="R137" s="644" t="s">
        <v>571</v>
      </c>
      <c r="S137" s="644"/>
      <c r="T137" s="645"/>
      <c r="U137" s="644"/>
      <c r="V137" s="645"/>
      <c r="W137" s="645"/>
      <c r="X137" s="645"/>
      <c r="Y137" s="645"/>
      <c r="Z137" s="645"/>
      <c r="AA137" s="619"/>
    </row>
    <row r="138" spans="2:27" x14ac:dyDescent="0.2">
      <c r="L138" s="665"/>
      <c r="M138" s="665"/>
      <c r="N138" s="665"/>
      <c r="O138" s="665"/>
      <c r="P138" s="650"/>
      <c r="Q138" s="650"/>
      <c r="S138" s="646"/>
      <c r="T138" s="645"/>
      <c r="U138" s="644"/>
      <c r="V138" s="645"/>
      <c r="W138" s="645"/>
      <c r="X138" s="645"/>
      <c r="Y138" s="645"/>
      <c r="Z138" s="645"/>
      <c r="AA138" s="619"/>
    </row>
    <row r="139" spans="2:27" x14ac:dyDescent="0.2">
      <c r="B139" s="642" t="s">
        <v>688</v>
      </c>
      <c r="L139" s="665"/>
      <c r="M139" s="665"/>
      <c r="N139" s="665"/>
      <c r="O139" s="665"/>
      <c r="P139" s="650"/>
      <c r="Q139" s="650"/>
      <c r="S139" s="646"/>
      <c r="T139" s="645"/>
      <c r="U139" s="644"/>
      <c r="V139" s="645"/>
      <c r="W139" s="645"/>
      <c r="X139" s="645"/>
      <c r="Y139" s="645"/>
      <c r="Z139" s="645"/>
      <c r="AA139" s="619"/>
    </row>
    <row r="140" spans="2:27" ht="15.75" x14ac:dyDescent="0.25">
      <c r="L140" s="665"/>
      <c r="M140" s="665"/>
      <c r="N140" s="665"/>
      <c r="O140" s="665"/>
      <c r="P140" s="650"/>
      <c r="Q140" s="650"/>
      <c r="R140" s="651"/>
      <c r="S140" s="652"/>
      <c r="T140" s="645"/>
      <c r="U140" s="644"/>
      <c r="V140" s="645"/>
      <c r="W140" s="645"/>
      <c r="X140" s="645"/>
      <c r="Y140" s="645"/>
      <c r="Z140" s="645"/>
      <c r="AA140" s="619"/>
    </row>
    <row r="141" spans="2:27" ht="15.75" x14ac:dyDescent="0.25">
      <c r="B141" s="653" t="s">
        <v>689</v>
      </c>
      <c r="C141" s="653"/>
      <c r="D141" s="653"/>
      <c r="E141" s="653"/>
      <c r="F141" s="653"/>
      <c r="G141" s="653"/>
      <c r="H141" s="653"/>
      <c r="I141" s="653"/>
      <c r="J141" s="653"/>
      <c r="K141" s="653"/>
      <c r="P141" s="647"/>
      <c r="Q141" s="647"/>
      <c r="R141" s="651"/>
      <c r="S141" s="652"/>
      <c r="T141" s="645"/>
      <c r="U141" s="644"/>
      <c r="V141" s="645"/>
      <c r="W141" s="645"/>
      <c r="X141" s="645"/>
      <c r="Y141" s="645"/>
      <c r="Z141" s="645"/>
      <c r="AA141" s="619"/>
    </row>
    <row r="142" spans="2:27" x14ac:dyDescent="0.2">
      <c r="B142" s="642" t="s">
        <v>690</v>
      </c>
      <c r="I142" s="646">
        <v>50000</v>
      </c>
      <c r="J142" s="646">
        <v>50000</v>
      </c>
      <c r="K142" s="646"/>
      <c r="L142" s="662">
        <v>50000</v>
      </c>
      <c r="M142" s="650">
        <v>50000</v>
      </c>
      <c r="O142" s="646">
        <v>50000</v>
      </c>
      <c r="P142" s="646">
        <v>50000</v>
      </c>
      <c r="Q142" s="646">
        <v>50000</v>
      </c>
      <c r="R142" s="650">
        <v>50000</v>
      </c>
      <c r="S142" s="646">
        <f>+O142</f>
        <v>50000</v>
      </c>
      <c r="T142" s="645"/>
      <c r="U142" s="644"/>
      <c r="V142" s="645"/>
      <c r="W142" s="645"/>
      <c r="X142" s="645"/>
      <c r="Y142" s="645"/>
      <c r="Z142" s="645"/>
      <c r="AA142" s="619"/>
    </row>
    <row r="143" spans="2:27" x14ac:dyDescent="0.2">
      <c r="B143" s="642" t="s">
        <v>691</v>
      </c>
      <c r="I143" s="646"/>
      <c r="J143" s="646"/>
      <c r="K143" s="646"/>
      <c r="L143" s="662">
        <v>68000</v>
      </c>
      <c r="M143" s="650"/>
      <c r="O143" s="646"/>
      <c r="R143" s="650"/>
      <c r="S143" s="646"/>
      <c r="T143" s="645">
        <f>+O143</f>
        <v>0</v>
      </c>
      <c r="U143" s="644"/>
      <c r="V143" s="645"/>
      <c r="W143" s="645"/>
      <c r="X143" s="645"/>
      <c r="Y143" s="645"/>
      <c r="Z143" s="645"/>
      <c r="AA143" s="619"/>
    </row>
    <row r="144" spans="2:27" x14ac:dyDescent="0.2">
      <c r="B144" s="642" t="s">
        <v>692</v>
      </c>
      <c r="C144" s="641"/>
      <c r="D144" s="641"/>
      <c r="E144" s="641"/>
      <c r="F144" s="641"/>
      <c r="G144" s="641"/>
      <c r="H144" s="641"/>
      <c r="I144" s="654">
        <v>36144</v>
      </c>
      <c r="J144" s="654">
        <v>39237</v>
      </c>
      <c r="K144" s="654"/>
      <c r="L144" s="662">
        <v>40651</v>
      </c>
      <c r="M144" s="650">
        <v>42976</v>
      </c>
      <c r="O144" s="646">
        <v>44960</v>
      </c>
      <c r="P144" s="646">
        <f>+R144</f>
        <v>47099</v>
      </c>
      <c r="Q144" s="646">
        <f>+R144</f>
        <v>47099</v>
      </c>
      <c r="R144" s="650">
        <f>ROUND((+'Financial Policy Numbers'!C58),0)</f>
        <v>47099</v>
      </c>
      <c r="S144" s="650">
        <f>+R144</f>
        <v>47099</v>
      </c>
      <c r="T144" s="645"/>
      <c r="U144" s="644"/>
      <c r="V144" s="645"/>
      <c r="W144" s="645"/>
      <c r="X144" s="645"/>
      <c r="Y144" s="645"/>
      <c r="Z144" s="645"/>
      <c r="AA144" s="619"/>
    </row>
    <row r="145" spans="2:27" x14ac:dyDescent="0.2">
      <c r="B145" s="642" t="s">
        <v>693</v>
      </c>
      <c r="I145" s="646">
        <v>54216</v>
      </c>
      <c r="J145" s="646">
        <v>57654</v>
      </c>
      <c r="K145" s="646"/>
      <c r="L145" s="665">
        <v>61507</v>
      </c>
      <c r="M145" s="650"/>
      <c r="N145" s="665"/>
      <c r="O145" s="646"/>
      <c r="P145" s="646">
        <f>+R145</f>
        <v>37388</v>
      </c>
      <c r="Q145" s="646">
        <f>+R145</f>
        <v>37388</v>
      </c>
      <c r="R145" s="650">
        <f>+'Financial Policy Numbers'!C41</f>
        <v>37388</v>
      </c>
      <c r="S145" s="650">
        <f>+R145</f>
        <v>37388</v>
      </c>
      <c r="T145" s="645"/>
      <c r="U145" s="644"/>
      <c r="V145" s="645"/>
      <c r="W145" s="645"/>
      <c r="X145" s="645"/>
      <c r="Y145" s="645"/>
      <c r="Z145" s="645"/>
      <c r="AA145" s="619"/>
    </row>
    <row r="146" spans="2:27" x14ac:dyDescent="0.2">
      <c r="B146" s="642" t="s">
        <v>694</v>
      </c>
      <c r="I146" s="646">
        <v>67510</v>
      </c>
      <c r="J146" s="646"/>
      <c r="K146" s="646"/>
      <c r="L146" s="665"/>
      <c r="M146" s="650"/>
      <c r="N146" s="665"/>
      <c r="O146" s="646"/>
      <c r="R146" s="650">
        <f>+P146</f>
        <v>0</v>
      </c>
      <c r="S146" s="650">
        <f>+R146</f>
        <v>0</v>
      </c>
      <c r="T146" s="645"/>
      <c r="U146" s="644"/>
      <c r="V146" s="645"/>
      <c r="W146" s="645"/>
      <c r="X146" s="645"/>
      <c r="Y146" s="645"/>
      <c r="Z146" s="645"/>
      <c r="AA146" s="619"/>
    </row>
    <row r="147" spans="2:27" x14ac:dyDescent="0.2">
      <c r="B147" s="642" t="s">
        <v>695</v>
      </c>
      <c r="I147" s="646"/>
      <c r="J147" s="646">
        <v>5100</v>
      </c>
      <c r="K147" s="646"/>
      <c r="L147" s="665">
        <v>68000</v>
      </c>
      <c r="M147" s="650"/>
      <c r="N147" s="665"/>
      <c r="O147" s="646">
        <v>124356</v>
      </c>
      <c r="P147" s="646">
        <v>21940</v>
      </c>
      <c r="Q147" s="646">
        <f>+P147</f>
        <v>21940</v>
      </c>
      <c r="R147" s="650">
        <f>+Q147</f>
        <v>21940</v>
      </c>
      <c r="S147" s="650">
        <f>+Q147</f>
        <v>21940</v>
      </c>
      <c r="T147" s="645"/>
      <c r="U147" s="644"/>
      <c r="V147" s="645"/>
      <c r="W147" s="645"/>
      <c r="X147" s="645"/>
      <c r="Y147" s="645"/>
      <c r="Z147" s="645"/>
      <c r="AA147" s="619"/>
    </row>
    <row r="148" spans="2:27" x14ac:dyDescent="0.2">
      <c r="B148" s="642" t="s">
        <v>696</v>
      </c>
      <c r="I148" s="646">
        <v>37811</v>
      </c>
      <c r="J148" s="646">
        <v>38507</v>
      </c>
      <c r="K148" s="646"/>
      <c r="L148" s="665">
        <v>39185</v>
      </c>
      <c r="M148" s="650">
        <v>39890</v>
      </c>
      <c r="N148" s="665"/>
      <c r="O148" s="646">
        <v>40608</v>
      </c>
      <c r="P148" s="646">
        <f>+R148</f>
        <v>41339</v>
      </c>
      <c r="Q148" s="646">
        <f>+R148</f>
        <v>41339</v>
      </c>
      <c r="R148" s="650">
        <f>ROUND((+'Revenue Projections Detail'!M103),0)</f>
        <v>41339</v>
      </c>
      <c r="S148" s="650">
        <f>+R148</f>
        <v>41339</v>
      </c>
      <c r="T148" s="645"/>
      <c r="U148" s="644"/>
      <c r="V148" s="645"/>
      <c r="W148" s="645"/>
      <c r="X148" s="645"/>
      <c r="Y148" s="645"/>
      <c r="Z148" s="645"/>
      <c r="AA148" s="619"/>
    </row>
    <row r="149" spans="2:27" x14ac:dyDescent="0.2">
      <c r="B149" s="642" t="s">
        <v>697</v>
      </c>
      <c r="I149" s="646">
        <v>40150</v>
      </c>
      <c r="J149" s="646">
        <v>40889</v>
      </c>
      <c r="K149" s="646"/>
      <c r="L149" s="665">
        <v>41608</v>
      </c>
      <c r="M149" s="650">
        <v>42357</v>
      </c>
      <c r="N149" s="665"/>
      <c r="O149" s="646">
        <v>43120</v>
      </c>
      <c r="P149" s="646">
        <f>+R149</f>
        <v>43896</v>
      </c>
      <c r="Q149" s="646">
        <f>+R149</f>
        <v>43896</v>
      </c>
      <c r="R149" s="650">
        <f>ROUND((+'Revenue Projections Detail'!M101),0)</f>
        <v>43896</v>
      </c>
      <c r="S149" s="650">
        <f>+R149</f>
        <v>43896</v>
      </c>
      <c r="T149" s="645"/>
      <c r="U149" s="644"/>
      <c r="V149" s="645"/>
      <c r="W149" s="645"/>
      <c r="X149" s="645"/>
      <c r="Y149" s="645"/>
      <c r="Z149" s="645"/>
      <c r="AA149" s="619"/>
    </row>
    <row r="150" spans="2:27" x14ac:dyDescent="0.2">
      <c r="B150" s="642" t="s">
        <v>697</v>
      </c>
      <c r="I150" s="646"/>
      <c r="J150" s="646">
        <v>40889</v>
      </c>
      <c r="K150" s="646"/>
      <c r="L150" s="665">
        <v>41608</v>
      </c>
      <c r="M150" s="650">
        <v>42357</v>
      </c>
      <c r="N150" s="665"/>
      <c r="O150" s="646">
        <v>43120</v>
      </c>
      <c r="P150" s="646">
        <f>+R150</f>
        <v>43896</v>
      </c>
      <c r="Q150" s="646">
        <f>+R150</f>
        <v>43896</v>
      </c>
      <c r="R150" s="650">
        <f>ROUND((+'Revenue Projections Detail'!M104),0)</f>
        <v>43896</v>
      </c>
      <c r="S150" s="650">
        <f>+R150</f>
        <v>43896</v>
      </c>
      <c r="T150" s="645"/>
      <c r="U150" s="644"/>
      <c r="V150" s="645"/>
      <c r="W150" s="645"/>
      <c r="X150" s="645"/>
      <c r="Y150" s="645"/>
      <c r="Z150" s="645"/>
      <c r="AA150" s="619"/>
    </row>
    <row r="151" spans="2:27" x14ac:dyDescent="0.2">
      <c r="B151" s="642" t="s">
        <v>698</v>
      </c>
      <c r="I151" s="646"/>
      <c r="J151" s="646"/>
      <c r="K151" s="646"/>
      <c r="L151" s="665">
        <v>118000</v>
      </c>
      <c r="M151" s="650"/>
      <c r="N151" s="665"/>
      <c r="O151" s="646"/>
      <c r="R151" s="650"/>
      <c r="S151" s="650"/>
      <c r="T151" s="645">
        <f>+O151</f>
        <v>0</v>
      </c>
      <c r="U151" s="644"/>
      <c r="V151" s="645"/>
      <c r="W151" s="645"/>
      <c r="X151" s="645"/>
      <c r="Y151" s="645"/>
      <c r="Z151" s="645"/>
      <c r="AA151" s="619"/>
    </row>
    <row r="152" spans="2:27" x14ac:dyDescent="0.2">
      <c r="B152" s="642" t="s">
        <v>2397</v>
      </c>
      <c r="I152" s="646"/>
      <c r="J152" s="646"/>
      <c r="K152" s="646"/>
      <c r="L152" s="665"/>
      <c r="M152" s="650">
        <v>180000</v>
      </c>
      <c r="N152" s="665"/>
      <c r="O152" s="646"/>
      <c r="R152" s="650"/>
      <c r="S152" s="650"/>
      <c r="T152" s="645"/>
      <c r="U152" s="655"/>
      <c r="V152" s="645"/>
      <c r="W152" s="645"/>
      <c r="X152" s="645"/>
      <c r="Y152" s="645"/>
      <c r="Z152" s="645"/>
      <c r="AA152" s="619"/>
    </row>
    <row r="153" spans="2:27" hidden="1" x14ac:dyDescent="0.2">
      <c r="B153" s="642" t="s">
        <v>699</v>
      </c>
      <c r="I153" s="646"/>
      <c r="J153" s="646"/>
      <c r="K153" s="646"/>
      <c r="L153" s="665">
        <v>73652</v>
      </c>
      <c r="M153" s="650"/>
      <c r="N153" s="665"/>
      <c r="O153" s="646"/>
      <c r="R153" s="650"/>
      <c r="S153" s="650"/>
      <c r="T153" s="645"/>
      <c r="U153" s="644"/>
      <c r="V153" s="645"/>
      <c r="W153" s="645"/>
      <c r="X153" s="645"/>
      <c r="Y153" s="645"/>
      <c r="Z153" s="645"/>
      <c r="AA153" s="619"/>
    </row>
    <row r="154" spans="2:27" hidden="1" x14ac:dyDescent="0.2">
      <c r="B154" s="642" t="s">
        <v>700</v>
      </c>
      <c r="I154" s="646"/>
      <c r="J154" s="646"/>
      <c r="K154" s="646"/>
      <c r="L154" s="665">
        <v>35791</v>
      </c>
      <c r="M154" s="650"/>
      <c r="N154" s="665"/>
      <c r="O154" s="646"/>
      <c r="R154" s="650"/>
      <c r="S154" s="650"/>
      <c r="T154" s="645"/>
      <c r="U154" s="644"/>
      <c r="V154" s="645"/>
      <c r="W154" s="645"/>
      <c r="X154" s="645"/>
      <c r="Y154" s="645"/>
      <c r="Z154" s="645"/>
      <c r="AA154" s="619"/>
    </row>
    <row r="155" spans="2:27" x14ac:dyDescent="0.2">
      <c r="B155" s="642" t="s">
        <v>701</v>
      </c>
      <c r="I155" s="646"/>
      <c r="J155" s="646"/>
      <c r="K155" s="646"/>
      <c r="L155" s="665"/>
      <c r="M155" s="650"/>
      <c r="N155" s="665"/>
      <c r="O155" s="646">
        <v>125000</v>
      </c>
      <c r="Q155" s="646">
        <f>+P155</f>
        <v>0</v>
      </c>
      <c r="R155" s="650">
        <f>+P155</f>
        <v>0</v>
      </c>
      <c r="S155" s="650"/>
      <c r="T155" s="645"/>
      <c r="U155" s="644"/>
      <c r="V155" s="645">
        <f>+R155</f>
        <v>0</v>
      </c>
      <c r="W155" s="645"/>
      <c r="X155" s="645"/>
      <c r="Y155" s="645"/>
      <c r="Z155" s="645"/>
      <c r="AA155" s="619"/>
    </row>
    <row r="156" spans="2:27" hidden="1" x14ac:dyDescent="0.2">
      <c r="B156" s="642" t="s">
        <v>702</v>
      </c>
      <c r="I156" s="646"/>
      <c r="J156" s="646"/>
      <c r="K156" s="646"/>
      <c r="L156" s="665"/>
      <c r="M156" s="650"/>
      <c r="N156" s="665"/>
      <c r="O156" s="646">
        <v>60000</v>
      </c>
      <c r="R156" s="650">
        <f>+P156</f>
        <v>0</v>
      </c>
      <c r="S156" s="650"/>
      <c r="T156" s="645">
        <f>+R156</f>
        <v>0</v>
      </c>
      <c r="U156" s="644"/>
      <c r="V156" s="645"/>
      <c r="W156" s="645"/>
      <c r="X156" s="645"/>
      <c r="Y156" s="645"/>
      <c r="Z156" s="645"/>
      <c r="AA156" s="619"/>
    </row>
    <row r="157" spans="2:27" hidden="1" x14ac:dyDescent="0.2">
      <c r="I157" s="646"/>
      <c r="J157" s="646"/>
      <c r="K157" s="646"/>
      <c r="L157" s="665"/>
      <c r="M157" s="650"/>
      <c r="N157" s="665"/>
      <c r="O157" s="646"/>
      <c r="R157" s="650"/>
      <c r="S157" s="650"/>
      <c r="T157" s="645"/>
      <c r="U157" s="644"/>
      <c r="V157" s="645"/>
      <c r="W157" s="645"/>
      <c r="X157" s="645"/>
      <c r="Y157" s="645"/>
      <c r="Z157" s="645"/>
      <c r="AA157" s="619"/>
    </row>
    <row r="158" spans="2:27" hidden="1" x14ac:dyDescent="0.2">
      <c r="B158" s="642" t="s">
        <v>703</v>
      </c>
      <c r="I158" s="646"/>
      <c r="J158" s="650">
        <v>16250</v>
      </c>
      <c r="K158" s="650"/>
      <c r="L158" s="665">
        <v>16250</v>
      </c>
      <c r="M158" s="650"/>
      <c r="N158" s="665"/>
      <c r="O158" s="646"/>
      <c r="R158" s="650"/>
      <c r="S158" s="646"/>
      <c r="T158" s="645"/>
      <c r="U158" s="644"/>
      <c r="V158" s="645"/>
      <c r="W158" s="645"/>
      <c r="X158" s="645"/>
      <c r="Y158" s="645"/>
      <c r="Z158" s="645"/>
      <c r="AA158" s="619"/>
    </row>
    <row r="159" spans="2:27" hidden="1" x14ac:dyDescent="0.2">
      <c r="B159" s="642" t="s">
        <v>704</v>
      </c>
      <c r="I159" s="646"/>
      <c r="J159" s="650">
        <v>50000</v>
      </c>
      <c r="K159" s="650"/>
      <c r="L159" s="665"/>
      <c r="M159" s="650"/>
      <c r="N159" s="665"/>
      <c r="O159" s="646"/>
      <c r="R159" s="650"/>
      <c r="S159" s="646"/>
      <c r="T159" s="645"/>
      <c r="U159" s="644"/>
      <c r="V159" s="645"/>
      <c r="W159" s="645"/>
      <c r="X159" s="645"/>
      <c r="Y159" s="645"/>
      <c r="Z159" s="645"/>
      <c r="AA159" s="619"/>
    </row>
    <row r="160" spans="2:27" x14ac:dyDescent="0.2">
      <c r="B160" s="642" t="s">
        <v>703</v>
      </c>
      <c r="I160" s="646"/>
      <c r="J160" s="650"/>
      <c r="K160" s="650"/>
      <c r="L160" s="665"/>
      <c r="M160" s="650">
        <v>13130</v>
      </c>
      <c r="N160" s="665"/>
      <c r="O160" s="646"/>
      <c r="R160" s="650"/>
      <c r="S160" s="646">
        <f>+R160</f>
        <v>0</v>
      </c>
      <c r="T160" s="645"/>
      <c r="U160" s="644"/>
      <c r="V160" s="645"/>
      <c r="W160" s="645"/>
      <c r="X160" s="645"/>
      <c r="Y160" s="645"/>
      <c r="Z160" s="645"/>
      <c r="AA160" s="619"/>
    </row>
    <row r="161" spans="2:27" x14ac:dyDescent="0.2">
      <c r="B161" s="642" t="s">
        <v>705</v>
      </c>
      <c r="I161" s="646"/>
      <c r="J161" s="650"/>
      <c r="K161" s="650"/>
      <c r="L161" s="665"/>
      <c r="M161" s="650">
        <v>25000</v>
      </c>
      <c r="N161" s="665"/>
      <c r="O161" s="646"/>
      <c r="R161" s="650"/>
      <c r="S161" s="646">
        <f>+R161</f>
        <v>0</v>
      </c>
      <c r="T161" s="645"/>
      <c r="U161" s="644"/>
      <c r="V161" s="645"/>
      <c r="W161" s="645"/>
      <c r="X161" s="645"/>
      <c r="Y161" s="645"/>
      <c r="Z161" s="645"/>
      <c r="AA161" s="619"/>
    </row>
    <row r="162" spans="2:27" x14ac:dyDescent="0.2">
      <c r="B162" s="642" t="s">
        <v>706</v>
      </c>
      <c r="I162" s="646"/>
      <c r="J162" s="650"/>
      <c r="K162" s="650"/>
      <c r="L162" s="665"/>
      <c r="M162" s="650">
        <v>25000</v>
      </c>
      <c r="N162" s="665"/>
      <c r="O162" s="646"/>
      <c r="P162" s="646">
        <v>11585</v>
      </c>
      <c r="Q162" s="646">
        <f>+P162</f>
        <v>11585</v>
      </c>
      <c r="R162" s="650">
        <f>+Q162</f>
        <v>11585</v>
      </c>
      <c r="S162" s="646">
        <f>+R162</f>
        <v>11585</v>
      </c>
      <c r="T162" s="645"/>
      <c r="U162" s="644"/>
      <c r="V162" s="645"/>
      <c r="W162" s="645"/>
      <c r="X162" s="645"/>
      <c r="Y162" s="645"/>
      <c r="Z162" s="645"/>
      <c r="AA162" s="619"/>
    </row>
    <row r="163" spans="2:27" x14ac:dyDescent="0.2">
      <c r="B163" s="642" t="s">
        <v>707</v>
      </c>
      <c r="I163" s="646"/>
      <c r="J163" s="650"/>
      <c r="K163" s="650"/>
      <c r="L163" s="665"/>
      <c r="M163" s="650">
        <v>25000</v>
      </c>
      <c r="N163" s="665"/>
      <c r="O163" s="646">
        <v>21584</v>
      </c>
      <c r="R163" s="650">
        <f>+Q163</f>
        <v>0</v>
      </c>
      <c r="S163" s="646">
        <f>+R163</f>
        <v>0</v>
      </c>
      <c r="T163" s="645"/>
      <c r="U163" s="644"/>
      <c r="V163" s="645"/>
      <c r="W163" s="645"/>
      <c r="X163" s="645"/>
      <c r="Y163" s="645"/>
      <c r="Z163" s="645"/>
      <c r="AA163" s="619"/>
    </row>
    <row r="164" spans="2:27" x14ac:dyDescent="0.2">
      <c r="B164" s="642" t="s">
        <v>708</v>
      </c>
      <c r="I164" s="646"/>
      <c r="J164" s="650"/>
      <c r="K164" s="650"/>
      <c r="L164" s="665"/>
      <c r="M164" s="650">
        <v>50000</v>
      </c>
      <c r="N164" s="665"/>
      <c r="O164" s="646"/>
      <c r="R164" s="650"/>
      <c r="S164" s="646"/>
      <c r="T164" s="645"/>
      <c r="U164" s="644"/>
      <c r="V164" s="645"/>
      <c r="W164" s="645"/>
      <c r="X164" s="645"/>
      <c r="Y164" s="645"/>
      <c r="Z164" s="645"/>
      <c r="AA164" s="619"/>
    </row>
    <row r="165" spans="2:27" ht="15.75" hidden="1" x14ac:dyDescent="0.25">
      <c r="B165" s="642" t="s">
        <v>709</v>
      </c>
      <c r="J165" s="646">
        <v>76670</v>
      </c>
      <c r="K165" s="646"/>
      <c r="L165" s="665"/>
      <c r="M165" s="652"/>
      <c r="N165" s="665"/>
      <c r="O165" s="646"/>
      <c r="R165" s="650"/>
      <c r="S165" s="646"/>
      <c r="T165" s="645"/>
      <c r="U165" s="644"/>
      <c r="V165" s="645"/>
      <c r="W165" s="645"/>
      <c r="X165" s="645"/>
      <c r="Y165" s="645"/>
      <c r="Z165" s="645"/>
      <c r="AA165" s="619"/>
    </row>
    <row r="166" spans="2:27" ht="15.75" hidden="1" x14ac:dyDescent="0.25">
      <c r="B166" s="642" t="s">
        <v>710</v>
      </c>
      <c r="J166" s="646">
        <v>21755</v>
      </c>
      <c r="K166" s="646"/>
      <c r="L166" s="665"/>
      <c r="M166" s="652"/>
      <c r="N166" s="665"/>
      <c r="O166" s="646"/>
      <c r="R166" s="650"/>
      <c r="S166" s="646"/>
      <c r="T166" s="645"/>
      <c r="U166" s="644"/>
      <c r="V166" s="645"/>
      <c r="W166" s="645"/>
      <c r="X166" s="645"/>
      <c r="Y166" s="645"/>
      <c r="Z166" s="645"/>
      <c r="AA166" s="619"/>
    </row>
    <row r="167" spans="2:27" ht="15.75" x14ac:dyDescent="0.25">
      <c r="B167" s="642" t="s">
        <v>2313</v>
      </c>
      <c r="J167" s="646"/>
      <c r="K167" s="646"/>
      <c r="L167" s="665"/>
      <c r="M167" s="652"/>
      <c r="N167" s="665"/>
      <c r="O167" s="646"/>
      <c r="P167" s="646">
        <v>25000</v>
      </c>
      <c r="Q167" s="646">
        <f>+P167</f>
        <v>25000</v>
      </c>
      <c r="R167" s="650">
        <f>+P167</f>
        <v>25000</v>
      </c>
      <c r="S167" s="646"/>
      <c r="T167" s="645">
        <f>+R167</f>
        <v>25000</v>
      </c>
      <c r="U167" s="644"/>
      <c r="V167" s="645"/>
      <c r="W167" s="645"/>
      <c r="X167" s="645"/>
      <c r="Y167" s="645"/>
      <c r="Z167" s="645"/>
      <c r="AA167" s="619"/>
    </row>
    <row r="168" spans="2:27" ht="15.75" x14ac:dyDescent="0.25">
      <c r="B168" s="642" t="s">
        <v>2320</v>
      </c>
      <c r="J168" s="646"/>
      <c r="K168" s="646"/>
      <c r="L168" s="665"/>
      <c r="M168" s="652"/>
      <c r="N168" s="665"/>
      <c r="O168" s="646"/>
      <c r="P168" s="646">
        <v>25000</v>
      </c>
      <c r="Q168" s="646">
        <f>+P168</f>
        <v>25000</v>
      </c>
      <c r="R168" s="650">
        <f>+P168</f>
        <v>25000</v>
      </c>
      <c r="S168" s="646"/>
      <c r="T168" s="645">
        <f>+R168</f>
        <v>25000</v>
      </c>
      <c r="U168" s="644"/>
      <c r="V168" s="645"/>
      <c r="W168" s="645"/>
      <c r="X168" s="645"/>
      <c r="Y168" s="645"/>
      <c r="Z168" s="645"/>
      <c r="AA168" s="619"/>
    </row>
    <row r="169" spans="2:27" x14ac:dyDescent="0.2">
      <c r="B169" s="642" t="s">
        <v>711</v>
      </c>
      <c r="J169" s="646"/>
      <c r="K169" s="646"/>
      <c r="L169" s="665"/>
      <c r="M169" s="646">
        <v>32500</v>
      </c>
      <c r="N169" s="665"/>
      <c r="O169" s="646"/>
      <c r="R169" s="650"/>
      <c r="S169" s="646"/>
      <c r="T169" s="645"/>
      <c r="U169" s="644"/>
      <c r="V169" s="645"/>
      <c r="W169" s="645"/>
      <c r="X169" s="645"/>
      <c r="Y169" s="645"/>
      <c r="Z169" s="645"/>
      <c r="AA169" s="619"/>
    </row>
    <row r="170" spans="2:27" x14ac:dyDescent="0.2">
      <c r="B170" s="642" t="s">
        <v>2317</v>
      </c>
      <c r="J170" s="646"/>
      <c r="K170" s="646"/>
      <c r="L170" s="665"/>
      <c r="M170" s="646"/>
      <c r="N170" s="665"/>
      <c r="O170" s="646"/>
      <c r="P170" s="646">
        <v>50000</v>
      </c>
      <c r="Q170" s="646">
        <f>+P170</f>
        <v>50000</v>
      </c>
      <c r="R170" s="650">
        <f>+Q170</f>
        <v>50000</v>
      </c>
      <c r="S170" s="646"/>
      <c r="T170" s="645">
        <f>+R170-U170</f>
        <v>37901</v>
      </c>
      <c r="U170" s="644">
        <v>12099</v>
      </c>
      <c r="V170" s="645"/>
      <c r="W170" s="645"/>
      <c r="X170" s="645"/>
      <c r="Y170" s="645"/>
      <c r="Z170" s="645"/>
      <c r="AA170" s="619"/>
    </row>
    <row r="171" spans="2:27" x14ac:dyDescent="0.2">
      <c r="B171" s="642" t="s">
        <v>712</v>
      </c>
      <c r="J171" s="646"/>
      <c r="K171" s="646"/>
      <c r="L171" s="665"/>
      <c r="M171" s="646"/>
      <c r="N171" s="665"/>
      <c r="O171" s="646">
        <v>10000</v>
      </c>
      <c r="P171" s="646">
        <v>10000</v>
      </c>
      <c r="Q171" s="646">
        <f>+P171</f>
        <v>10000</v>
      </c>
      <c r="R171" s="650">
        <f>+P171</f>
        <v>10000</v>
      </c>
      <c r="S171" s="646">
        <f>+R171</f>
        <v>10000</v>
      </c>
      <c r="T171" s="645"/>
      <c r="U171" s="644"/>
      <c r="V171" s="645"/>
      <c r="W171" s="645"/>
      <c r="X171" s="645"/>
      <c r="Y171" s="645"/>
      <c r="Z171" s="645"/>
      <c r="AA171" s="619"/>
    </row>
    <row r="172" spans="2:27" ht="15.75" hidden="1" x14ac:dyDescent="0.25">
      <c r="B172" s="642" t="s">
        <v>713</v>
      </c>
      <c r="J172" s="646"/>
      <c r="K172" s="646"/>
      <c r="L172" s="665">
        <v>10000</v>
      </c>
      <c r="M172" s="652"/>
      <c r="N172" s="665"/>
      <c r="O172" s="646"/>
      <c r="R172" s="650"/>
      <c r="S172" s="646"/>
      <c r="T172" s="645"/>
      <c r="U172" s="644"/>
      <c r="V172" s="645"/>
      <c r="W172" s="645"/>
      <c r="X172" s="645"/>
      <c r="Y172" s="645"/>
      <c r="Z172" s="645"/>
      <c r="AA172" s="619"/>
    </row>
    <row r="173" spans="2:27" hidden="1" x14ac:dyDescent="0.2">
      <c r="B173" s="642" t="s">
        <v>714</v>
      </c>
      <c r="J173" s="646"/>
      <c r="K173" s="646"/>
      <c r="L173" s="646">
        <v>7500</v>
      </c>
      <c r="M173" s="646"/>
      <c r="N173" s="646"/>
      <c r="O173" s="646"/>
      <c r="R173" s="650"/>
      <c r="S173" s="646"/>
      <c r="T173" s="645"/>
      <c r="U173" s="644"/>
      <c r="V173" s="645"/>
      <c r="W173" s="645"/>
      <c r="X173" s="645"/>
      <c r="Y173" s="645"/>
      <c r="Z173" s="645"/>
      <c r="AA173" s="619"/>
    </row>
    <row r="174" spans="2:27" hidden="1" x14ac:dyDescent="0.2">
      <c r="B174" s="642" t="s">
        <v>715</v>
      </c>
      <c r="J174" s="646"/>
      <c r="K174" s="646"/>
      <c r="L174" s="646">
        <v>7500</v>
      </c>
      <c r="M174" s="646"/>
      <c r="N174" s="646"/>
      <c r="O174" s="646"/>
      <c r="R174" s="650"/>
      <c r="S174" s="646"/>
      <c r="T174" s="645"/>
      <c r="U174" s="644"/>
      <c r="V174" s="645"/>
      <c r="W174" s="645"/>
      <c r="X174" s="645"/>
      <c r="Y174" s="645"/>
      <c r="Z174" s="645"/>
      <c r="AA174" s="619"/>
    </row>
    <row r="175" spans="2:27" hidden="1" x14ac:dyDescent="0.2">
      <c r="B175" s="642" t="s">
        <v>716</v>
      </c>
      <c r="J175" s="646"/>
      <c r="K175" s="646"/>
      <c r="L175" s="646">
        <v>6953</v>
      </c>
      <c r="M175" s="646"/>
      <c r="N175" s="646"/>
      <c r="O175" s="646"/>
      <c r="R175" s="650"/>
      <c r="S175" s="646"/>
      <c r="T175" s="645"/>
      <c r="U175" s="644"/>
      <c r="V175" s="645"/>
      <c r="W175" s="645"/>
      <c r="X175" s="645"/>
      <c r="Y175" s="645"/>
      <c r="Z175" s="645"/>
      <c r="AA175" s="619"/>
    </row>
    <row r="176" spans="2:27" ht="15.75" hidden="1" x14ac:dyDescent="0.25">
      <c r="B176" s="642" t="s">
        <v>717</v>
      </c>
      <c r="J176" s="646">
        <v>35344</v>
      </c>
      <c r="K176" s="646"/>
      <c r="L176" s="665"/>
      <c r="M176" s="652"/>
      <c r="N176" s="665"/>
      <c r="O176" s="646"/>
      <c r="R176" s="650"/>
      <c r="S176" s="646"/>
      <c r="T176" s="645"/>
      <c r="U176" s="644"/>
      <c r="V176" s="645"/>
      <c r="W176" s="645"/>
      <c r="X176" s="645"/>
      <c r="Y176" s="645"/>
      <c r="Z176" s="645"/>
      <c r="AA176" s="619"/>
    </row>
    <row r="177" spans="2:27" hidden="1" x14ac:dyDescent="0.2">
      <c r="B177" s="642" t="s">
        <v>718</v>
      </c>
      <c r="J177" s="646"/>
      <c r="K177" s="646"/>
      <c r="L177" s="665"/>
      <c r="M177" s="646">
        <v>0</v>
      </c>
      <c r="N177" s="665"/>
      <c r="O177" s="646"/>
      <c r="R177" s="650"/>
      <c r="S177" s="646">
        <f>+R177</f>
        <v>0</v>
      </c>
      <c r="T177" s="645"/>
      <c r="U177" s="644"/>
      <c r="V177" s="645"/>
      <c r="W177" s="645"/>
      <c r="X177" s="645"/>
      <c r="Y177" s="645"/>
      <c r="Z177" s="645"/>
      <c r="AA177" s="619"/>
    </row>
    <row r="178" spans="2:27" x14ac:dyDescent="0.2">
      <c r="B178" s="642" t="s">
        <v>2469</v>
      </c>
      <c r="J178" s="646"/>
      <c r="K178" s="646"/>
      <c r="L178" s="665"/>
      <c r="M178" s="646"/>
      <c r="N178" s="665"/>
      <c r="O178" s="646"/>
      <c r="P178" s="646">
        <v>13100</v>
      </c>
      <c r="Q178" s="646">
        <f>+P178</f>
        <v>13100</v>
      </c>
      <c r="R178" s="650">
        <f>+P178</f>
        <v>13100</v>
      </c>
      <c r="S178" s="646"/>
      <c r="T178" s="645">
        <v>13000</v>
      </c>
      <c r="U178" s="644"/>
      <c r="V178" s="645"/>
      <c r="W178" s="645"/>
      <c r="X178" s="645"/>
      <c r="Y178" s="645"/>
      <c r="Z178" s="645"/>
      <c r="AA178" s="619"/>
    </row>
    <row r="179" spans="2:27" x14ac:dyDescent="0.2">
      <c r="B179" s="657" t="s">
        <v>2509</v>
      </c>
      <c r="J179" s="646"/>
      <c r="K179" s="646"/>
      <c r="L179" s="665"/>
      <c r="M179" s="646"/>
      <c r="N179" s="665"/>
      <c r="O179" s="646"/>
      <c r="R179" s="650"/>
      <c r="S179" s="646"/>
      <c r="T179" s="645">
        <f>+R179</f>
        <v>0</v>
      </c>
      <c r="U179" s="644"/>
      <c r="V179" s="645"/>
      <c r="W179" s="645"/>
      <c r="X179" s="645"/>
      <c r="Y179" s="645"/>
      <c r="Z179" s="645"/>
      <c r="AA179" s="619"/>
    </row>
    <row r="180" spans="2:27" x14ac:dyDescent="0.2">
      <c r="B180" s="642" t="s">
        <v>2532</v>
      </c>
      <c r="J180" s="646"/>
      <c r="K180" s="646"/>
      <c r="L180" s="665"/>
      <c r="M180" s="646"/>
      <c r="N180" s="665"/>
      <c r="O180" s="646"/>
      <c r="P180" s="646">
        <v>100000</v>
      </c>
      <c r="Q180" s="646">
        <f>+P180</f>
        <v>100000</v>
      </c>
      <c r="R180" s="650">
        <f>+P180</f>
        <v>100000</v>
      </c>
      <c r="S180" s="646"/>
      <c r="T180" s="645"/>
      <c r="U180" s="644"/>
      <c r="V180" s="645">
        <f>+R180</f>
        <v>100000</v>
      </c>
      <c r="W180" s="645"/>
      <c r="X180" s="645"/>
      <c r="Y180" s="645"/>
      <c r="Z180" s="645"/>
      <c r="AA180" s="619"/>
    </row>
    <row r="181" spans="2:27" x14ac:dyDescent="0.2">
      <c r="B181" s="642" t="s">
        <v>719</v>
      </c>
      <c r="J181" s="646"/>
      <c r="K181" s="646"/>
      <c r="L181" s="665"/>
      <c r="M181" s="646">
        <v>55000</v>
      </c>
      <c r="N181" s="665"/>
      <c r="O181" s="646"/>
      <c r="R181" s="650"/>
      <c r="S181" s="646"/>
      <c r="T181" s="645"/>
      <c r="U181" s="644"/>
      <c r="V181" s="645"/>
      <c r="W181" s="645"/>
      <c r="X181" s="645"/>
      <c r="Y181" s="645"/>
      <c r="Z181" s="645"/>
      <c r="AA181" s="619"/>
    </row>
    <row r="182" spans="2:27" x14ac:dyDescent="0.2">
      <c r="B182" s="642" t="s">
        <v>720</v>
      </c>
      <c r="J182" s="646"/>
      <c r="K182" s="646"/>
      <c r="L182" s="665"/>
      <c r="M182" s="646">
        <v>45000</v>
      </c>
      <c r="N182" s="665"/>
      <c r="O182" s="646"/>
      <c r="R182" s="650"/>
      <c r="S182" s="646"/>
      <c r="T182" s="645"/>
      <c r="U182" s="644"/>
      <c r="V182" s="645"/>
      <c r="W182" s="645"/>
      <c r="X182" s="645"/>
      <c r="Y182" s="645"/>
      <c r="Z182" s="645"/>
      <c r="AA182" s="619"/>
    </row>
    <row r="183" spans="2:27" x14ac:dyDescent="0.2">
      <c r="B183" s="642" t="s">
        <v>721</v>
      </c>
      <c r="J183" s="646"/>
      <c r="K183" s="646"/>
      <c r="L183" s="665"/>
      <c r="M183" s="646">
        <v>90000</v>
      </c>
      <c r="N183" s="665"/>
      <c r="O183" s="646"/>
      <c r="R183" s="650"/>
      <c r="S183" s="646"/>
      <c r="T183" s="645"/>
      <c r="U183" s="644"/>
      <c r="V183" s="645"/>
      <c r="W183" s="645"/>
      <c r="X183" s="645"/>
      <c r="Y183" s="645"/>
      <c r="Z183" s="645"/>
      <c r="AA183" s="619"/>
    </row>
    <row r="184" spans="2:27" x14ac:dyDescent="0.2">
      <c r="B184" s="642" t="s">
        <v>722</v>
      </c>
      <c r="J184" s="646"/>
      <c r="K184" s="646"/>
      <c r="L184" s="665"/>
      <c r="M184" s="646">
        <v>56511</v>
      </c>
      <c r="N184" s="665"/>
      <c r="O184" s="646"/>
      <c r="R184" s="650"/>
      <c r="S184" s="646"/>
      <c r="T184" s="645"/>
      <c r="U184" s="644"/>
      <c r="V184" s="645"/>
      <c r="W184" s="645"/>
      <c r="X184" s="645"/>
      <c r="Y184" s="645"/>
      <c r="Z184" s="645"/>
      <c r="AA184" s="619"/>
    </row>
    <row r="185" spans="2:27" ht="15.75" hidden="1" x14ac:dyDescent="0.25">
      <c r="B185" s="642" t="s">
        <v>723</v>
      </c>
      <c r="I185" s="646"/>
      <c r="J185" s="646"/>
      <c r="K185" s="646"/>
      <c r="L185" s="665">
        <v>10000</v>
      </c>
      <c r="M185" s="652"/>
      <c r="N185" s="665"/>
      <c r="O185" s="646"/>
      <c r="R185" s="650"/>
      <c r="S185" s="646"/>
      <c r="T185" s="645"/>
      <c r="U185" s="644"/>
      <c r="V185" s="645"/>
      <c r="W185" s="645"/>
      <c r="X185" s="645"/>
      <c r="Y185" s="645"/>
      <c r="Z185" s="645"/>
      <c r="AA185" s="619"/>
    </row>
    <row r="186" spans="2:27" hidden="1" x14ac:dyDescent="0.2">
      <c r="B186" s="642" t="s">
        <v>724</v>
      </c>
      <c r="H186" s="646"/>
      <c r="I186" s="646">
        <v>7000</v>
      </c>
      <c r="J186" s="650"/>
      <c r="K186" s="650"/>
      <c r="L186" s="665"/>
      <c r="M186" s="650"/>
      <c r="N186" s="665"/>
      <c r="O186" s="646"/>
      <c r="R186" s="650"/>
      <c r="S186" s="650"/>
      <c r="T186" s="645"/>
      <c r="U186" s="655"/>
      <c r="V186" s="645"/>
      <c r="W186" s="645"/>
      <c r="X186" s="645"/>
      <c r="Y186" s="645"/>
      <c r="Z186" s="645"/>
      <c r="AA186" s="619"/>
    </row>
    <row r="187" spans="2:27" x14ac:dyDescent="0.2">
      <c r="B187" s="642" t="s">
        <v>2321</v>
      </c>
      <c r="H187" s="646"/>
      <c r="I187" s="646"/>
      <c r="J187" s="650"/>
      <c r="K187" s="650"/>
      <c r="L187" s="665"/>
      <c r="M187" s="650"/>
      <c r="N187" s="665"/>
      <c r="O187" s="646"/>
      <c r="P187" s="646">
        <v>20000</v>
      </c>
      <c r="Q187" s="646">
        <f>+P187</f>
        <v>20000</v>
      </c>
      <c r="R187" s="650">
        <f>+P187</f>
        <v>20000</v>
      </c>
      <c r="S187" s="646"/>
      <c r="T187" s="645">
        <f>+R187</f>
        <v>20000</v>
      </c>
      <c r="U187" s="655"/>
      <c r="V187" s="645"/>
      <c r="W187" s="645"/>
      <c r="X187" s="645"/>
      <c r="Y187" s="645"/>
      <c r="Z187" s="645"/>
      <c r="AA187" s="619"/>
    </row>
    <row r="188" spans="2:27" x14ac:dyDescent="0.2">
      <c r="B188" s="642" t="s">
        <v>2322</v>
      </c>
      <c r="H188" s="646"/>
      <c r="I188" s="646"/>
      <c r="J188" s="650"/>
      <c r="K188" s="650"/>
      <c r="L188" s="665"/>
      <c r="M188" s="650"/>
      <c r="N188" s="665"/>
      <c r="O188" s="646"/>
      <c r="P188" s="646">
        <v>20000</v>
      </c>
      <c r="Q188" s="646">
        <f>+P188</f>
        <v>20000</v>
      </c>
      <c r="R188" s="650">
        <f>+P188</f>
        <v>20000</v>
      </c>
      <c r="S188" s="646"/>
      <c r="T188" s="645">
        <f>+R188</f>
        <v>20000</v>
      </c>
      <c r="U188" s="655"/>
      <c r="V188" s="645"/>
      <c r="W188" s="645"/>
      <c r="X188" s="645"/>
      <c r="Y188" s="645"/>
      <c r="Z188" s="645"/>
      <c r="AA188" s="619"/>
    </row>
    <row r="189" spans="2:27" x14ac:dyDescent="0.2">
      <c r="B189" s="642" t="s">
        <v>725</v>
      </c>
      <c r="H189" s="646"/>
      <c r="I189" s="646"/>
      <c r="J189" s="650"/>
      <c r="K189" s="650"/>
      <c r="L189" s="665"/>
      <c r="M189" s="650"/>
      <c r="N189" s="665"/>
      <c r="O189" s="646">
        <v>45000</v>
      </c>
      <c r="P189" s="646">
        <v>23000</v>
      </c>
      <c r="Q189" s="646">
        <f>+P189</f>
        <v>23000</v>
      </c>
      <c r="R189" s="650">
        <f>+Q189</f>
        <v>23000</v>
      </c>
      <c r="S189" s="650">
        <f>+R189</f>
        <v>23000</v>
      </c>
      <c r="T189" s="645"/>
      <c r="U189" s="655"/>
      <c r="V189" s="645"/>
      <c r="W189" s="645"/>
      <c r="X189" s="645"/>
      <c r="Y189" s="645"/>
      <c r="Z189" s="645"/>
      <c r="AA189" s="619"/>
    </row>
    <row r="190" spans="2:27" hidden="1" x14ac:dyDescent="0.2">
      <c r="B190" s="642" t="s">
        <v>726</v>
      </c>
      <c r="H190" s="646"/>
      <c r="I190" s="646"/>
      <c r="J190" s="650"/>
      <c r="K190" s="650"/>
      <c r="L190" s="665">
        <v>5000</v>
      </c>
      <c r="M190" s="650"/>
      <c r="N190" s="665"/>
      <c r="O190" s="646"/>
      <c r="R190" s="650"/>
      <c r="S190" s="650"/>
      <c r="T190" s="645"/>
      <c r="U190" s="655"/>
      <c r="V190" s="645"/>
      <c r="W190" s="645"/>
      <c r="X190" s="645"/>
      <c r="Y190" s="645"/>
      <c r="Z190" s="645"/>
      <c r="AA190" s="619"/>
    </row>
    <row r="191" spans="2:27" hidden="1" x14ac:dyDescent="0.2">
      <c r="B191" s="642" t="s">
        <v>727</v>
      </c>
      <c r="I191" s="646">
        <v>30000</v>
      </c>
      <c r="J191" s="650"/>
      <c r="K191" s="650"/>
      <c r="L191" s="665"/>
      <c r="M191" s="650"/>
      <c r="N191" s="665"/>
      <c r="O191" s="646"/>
      <c r="R191" s="650"/>
      <c r="S191" s="650"/>
      <c r="T191" s="645"/>
      <c r="U191" s="655"/>
      <c r="V191" s="645"/>
      <c r="W191" s="645"/>
      <c r="X191" s="645"/>
      <c r="Y191" s="645"/>
      <c r="Z191" s="645"/>
      <c r="AA191" s="619"/>
    </row>
    <row r="192" spans="2:27" ht="15.75" hidden="1" x14ac:dyDescent="0.25">
      <c r="B192" s="642" t="s">
        <v>728</v>
      </c>
      <c r="I192" s="646"/>
      <c r="J192" s="650">
        <v>50000</v>
      </c>
      <c r="K192" s="650"/>
      <c r="L192" s="665"/>
      <c r="M192" s="656"/>
      <c r="N192" s="665"/>
      <c r="O192" s="646"/>
      <c r="R192" s="650"/>
      <c r="S192" s="646"/>
      <c r="T192" s="645">
        <f t="shared" ref="T192:T199" si="41">+R192</f>
        <v>0</v>
      </c>
      <c r="U192" s="655"/>
      <c r="V192" s="645"/>
      <c r="W192" s="645"/>
      <c r="X192" s="645"/>
      <c r="Y192" s="645"/>
      <c r="Z192" s="645"/>
      <c r="AA192" s="619"/>
    </row>
    <row r="193" spans="2:27" ht="15.75" hidden="1" x14ac:dyDescent="0.25">
      <c r="B193" s="642" t="s">
        <v>729</v>
      </c>
      <c r="I193" s="646"/>
      <c r="J193" s="650">
        <v>7500</v>
      </c>
      <c r="K193" s="650"/>
      <c r="L193" s="665"/>
      <c r="M193" s="656"/>
      <c r="N193" s="665"/>
      <c r="O193" s="646"/>
      <c r="R193" s="650"/>
      <c r="S193" s="646"/>
      <c r="T193" s="645">
        <f t="shared" si="41"/>
        <v>0</v>
      </c>
      <c r="U193" s="655"/>
      <c r="V193" s="645"/>
      <c r="W193" s="645"/>
      <c r="X193" s="645"/>
      <c r="Y193" s="645"/>
      <c r="Z193" s="645"/>
      <c r="AA193" s="619"/>
    </row>
    <row r="194" spans="2:27" ht="15.75" hidden="1" x14ac:dyDescent="0.25">
      <c r="B194" s="642" t="s">
        <v>730</v>
      </c>
      <c r="I194" s="646"/>
      <c r="J194" s="650">
        <v>8975</v>
      </c>
      <c r="K194" s="650"/>
      <c r="L194" s="665"/>
      <c r="M194" s="656"/>
      <c r="N194" s="665"/>
      <c r="O194" s="646"/>
      <c r="R194" s="650"/>
      <c r="S194" s="646"/>
      <c r="T194" s="645">
        <f t="shared" si="41"/>
        <v>0</v>
      </c>
      <c r="U194" s="655"/>
      <c r="V194" s="645"/>
      <c r="W194" s="645"/>
      <c r="X194" s="645"/>
      <c r="Y194" s="645"/>
      <c r="Z194" s="645"/>
      <c r="AA194" s="619"/>
    </row>
    <row r="195" spans="2:27" ht="15.75" x14ac:dyDescent="0.25">
      <c r="B195" s="1069" t="s">
        <v>731</v>
      </c>
      <c r="I195" s="646"/>
      <c r="J195" s="650"/>
      <c r="K195" s="650"/>
      <c r="L195" s="665"/>
      <c r="M195" s="656"/>
      <c r="N195" s="665"/>
      <c r="O195" s="646">
        <v>25000</v>
      </c>
      <c r="R195" s="650"/>
      <c r="S195" s="646"/>
      <c r="T195" s="645"/>
      <c r="U195" s="655"/>
      <c r="V195" s="645"/>
      <c r="W195" s="645"/>
      <c r="X195" s="645"/>
      <c r="Y195" s="645"/>
      <c r="Z195" s="645"/>
      <c r="AA195" s="619"/>
    </row>
    <row r="196" spans="2:27" ht="15.75" x14ac:dyDescent="0.25">
      <c r="B196" s="1112" t="s">
        <v>732</v>
      </c>
      <c r="I196" s="646"/>
      <c r="J196" s="650"/>
      <c r="K196" s="650"/>
      <c r="L196" s="665"/>
      <c r="M196" s="656"/>
      <c r="N196" s="665"/>
      <c r="O196" s="646">
        <v>40000</v>
      </c>
      <c r="R196" s="650"/>
      <c r="S196" s="646"/>
      <c r="T196" s="645"/>
      <c r="U196" s="655"/>
      <c r="V196" s="645"/>
      <c r="W196" s="645"/>
      <c r="X196" s="645"/>
      <c r="Y196" s="645"/>
      <c r="Z196" s="645"/>
      <c r="AA196" s="619"/>
    </row>
    <row r="197" spans="2:27" ht="15.75" hidden="1" x14ac:dyDescent="0.25">
      <c r="B197" s="642" t="s">
        <v>733</v>
      </c>
      <c r="I197" s="646"/>
      <c r="J197" s="650">
        <v>22050</v>
      </c>
      <c r="K197" s="650"/>
      <c r="L197" s="665"/>
      <c r="M197" s="656"/>
      <c r="N197" s="665"/>
      <c r="O197" s="646"/>
      <c r="R197" s="650"/>
      <c r="S197" s="646"/>
      <c r="T197" s="645">
        <f t="shared" si="41"/>
        <v>0</v>
      </c>
      <c r="U197" s="655"/>
      <c r="V197" s="645"/>
      <c r="W197" s="645"/>
      <c r="X197" s="645"/>
      <c r="Y197" s="645"/>
      <c r="Z197" s="645"/>
      <c r="AA197" s="619"/>
    </row>
    <row r="198" spans="2:27" ht="15.75" hidden="1" x14ac:dyDescent="0.25">
      <c r="B198" s="642" t="s">
        <v>734</v>
      </c>
      <c r="I198" s="646"/>
      <c r="J198" s="650">
        <v>20000</v>
      </c>
      <c r="K198" s="650"/>
      <c r="L198" s="665"/>
      <c r="M198" s="656"/>
      <c r="N198" s="665"/>
      <c r="O198" s="646"/>
      <c r="R198" s="650"/>
      <c r="S198" s="646"/>
      <c r="T198" s="645">
        <f t="shared" si="41"/>
        <v>0</v>
      </c>
      <c r="U198" s="655"/>
      <c r="V198" s="645"/>
      <c r="W198" s="645"/>
      <c r="X198" s="645"/>
      <c r="Y198" s="645"/>
      <c r="Z198" s="645"/>
      <c r="AA198" s="619"/>
    </row>
    <row r="199" spans="2:27" ht="15.75" hidden="1" x14ac:dyDescent="0.25">
      <c r="B199" s="642" t="s">
        <v>735</v>
      </c>
      <c r="I199" s="646"/>
      <c r="J199" s="650">
        <v>10000</v>
      </c>
      <c r="K199" s="650"/>
      <c r="L199" s="665"/>
      <c r="M199" s="656"/>
      <c r="N199" s="665"/>
      <c r="O199" s="646"/>
      <c r="R199" s="650"/>
      <c r="S199" s="646"/>
      <c r="T199" s="645">
        <f t="shared" si="41"/>
        <v>0</v>
      </c>
      <c r="U199" s="655"/>
      <c r="V199" s="645"/>
      <c r="W199" s="645"/>
      <c r="X199" s="645"/>
      <c r="Y199" s="645"/>
      <c r="Z199" s="645"/>
      <c r="AA199" s="619"/>
    </row>
    <row r="200" spans="2:27" hidden="1" x14ac:dyDescent="0.2">
      <c r="B200" s="642" t="s">
        <v>736</v>
      </c>
      <c r="I200" s="646">
        <v>12000</v>
      </c>
      <c r="J200" s="650"/>
      <c r="K200" s="650"/>
      <c r="L200" s="665"/>
      <c r="M200" s="650"/>
      <c r="N200" s="665"/>
      <c r="O200" s="646"/>
      <c r="R200" s="650"/>
      <c r="S200" s="650">
        <f>+R200</f>
        <v>0</v>
      </c>
      <c r="T200" s="645"/>
      <c r="U200" s="655"/>
      <c r="V200" s="645"/>
      <c r="W200" s="645"/>
      <c r="X200" s="645"/>
      <c r="Y200" s="645"/>
      <c r="Z200" s="645"/>
      <c r="AA200" s="619"/>
    </row>
    <row r="201" spans="2:27" ht="15.75" hidden="1" x14ac:dyDescent="0.25">
      <c r="B201" s="642" t="s">
        <v>737</v>
      </c>
      <c r="I201" s="646">
        <v>15000</v>
      </c>
      <c r="J201" s="650">
        <v>11000</v>
      </c>
      <c r="K201" s="650"/>
      <c r="L201" s="665"/>
      <c r="M201" s="650"/>
      <c r="N201" s="665"/>
      <c r="O201" s="646"/>
      <c r="R201" s="650"/>
      <c r="S201" s="650">
        <f>+R201</f>
        <v>0</v>
      </c>
      <c r="U201" s="650"/>
      <c r="W201" s="652"/>
      <c r="AA201" s="619"/>
    </row>
    <row r="202" spans="2:27" ht="15.75" hidden="1" x14ac:dyDescent="0.25">
      <c r="B202" s="657" t="s">
        <v>738</v>
      </c>
      <c r="I202" s="646"/>
      <c r="J202" s="650">
        <v>15000</v>
      </c>
      <c r="K202" s="650"/>
      <c r="L202" s="665"/>
      <c r="M202" s="650"/>
      <c r="N202" s="665"/>
      <c r="O202" s="646"/>
      <c r="R202" s="650"/>
      <c r="S202" s="646"/>
      <c r="T202" s="645"/>
      <c r="U202" s="650"/>
      <c r="W202" s="652"/>
      <c r="AA202" s="619"/>
    </row>
    <row r="203" spans="2:27" ht="15.75" hidden="1" x14ac:dyDescent="0.25">
      <c r="B203" s="642" t="s">
        <v>739</v>
      </c>
      <c r="I203" s="646">
        <v>30000</v>
      </c>
      <c r="J203" s="650"/>
      <c r="K203" s="650"/>
      <c r="L203" s="665"/>
      <c r="M203" s="650"/>
      <c r="N203" s="665"/>
      <c r="O203" s="646"/>
      <c r="R203" s="650"/>
      <c r="S203" s="646"/>
      <c r="U203" s="650"/>
      <c r="W203" s="652"/>
      <c r="AA203" s="619"/>
    </row>
    <row r="204" spans="2:27" ht="15.75" hidden="1" x14ac:dyDescent="0.25">
      <c r="B204" s="642" t="s">
        <v>740</v>
      </c>
      <c r="I204" s="646">
        <v>72000</v>
      </c>
      <c r="J204" s="650"/>
      <c r="K204" s="650"/>
      <c r="L204" s="665"/>
      <c r="M204" s="650"/>
      <c r="N204" s="665"/>
      <c r="O204" s="646"/>
      <c r="R204" s="650"/>
      <c r="S204" s="646"/>
      <c r="U204" s="650"/>
      <c r="W204" s="652"/>
      <c r="AA204" s="619"/>
    </row>
    <row r="205" spans="2:27" ht="15.75" hidden="1" x14ac:dyDescent="0.25">
      <c r="B205" s="642" t="s">
        <v>741</v>
      </c>
      <c r="I205" s="646">
        <v>30000</v>
      </c>
      <c r="J205" s="650"/>
      <c r="K205" s="650"/>
      <c r="L205" s="665"/>
      <c r="M205" s="650"/>
      <c r="N205" s="665"/>
      <c r="O205" s="646"/>
      <c r="R205" s="650"/>
      <c r="S205" s="646"/>
      <c r="U205" s="650"/>
      <c r="W205" s="652"/>
      <c r="AA205" s="619"/>
    </row>
    <row r="206" spans="2:27" ht="15.75" hidden="1" x14ac:dyDescent="0.25">
      <c r="B206" s="642" t="s">
        <v>742</v>
      </c>
      <c r="I206" s="646">
        <v>25000</v>
      </c>
      <c r="J206" s="650"/>
      <c r="K206" s="650"/>
      <c r="L206" s="665"/>
      <c r="M206" s="650"/>
      <c r="N206" s="665"/>
      <c r="O206" s="646"/>
      <c r="R206" s="650"/>
      <c r="S206" s="646"/>
      <c r="U206" s="650"/>
      <c r="W206" s="652"/>
      <c r="AA206" s="619"/>
    </row>
    <row r="207" spans="2:27" ht="15.75" hidden="1" x14ac:dyDescent="0.25">
      <c r="B207" s="642" t="s">
        <v>743</v>
      </c>
      <c r="I207" s="646">
        <v>150000</v>
      </c>
      <c r="J207" s="650"/>
      <c r="K207" s="650"/>
      <c r="L207" s="665"/>
      <c r="M207" s="650"/>
      <c r="N207" s="665"/>
      <c r="O207" s="646"/>
      <c r="R207" s="650"/>
      <c r="S207" s="646"/>
      <c r="U207" s="650"/>
      <c r="W207" s="652"/>
      <c r="AA207" s="619"/>
    </row>
    <row r="208" spans="2:27" ht="15.75" hidden="1" x14ac:dyDescent="0.25">
      <c r="B208" s="642" t="s">
        <v>744</v>
      </c>
      <c r="I208" s="646">
        <v>521000</v>
      </c>
      <c r="J208" s="650"/>
      <c r="K208" s="650"/>
      <c r="L208" s="665"/>
      <c r="M208" s="650"/>
      <c r="N208" s="665"/>
      <c r="O208" s="646"/>
      <c r="R208" s="650"/>
      <c r="S208" s="646"/>
      <c r="U208" s="650"/>
      <c r="W208" s="652"/>
      <c r="X208" s="646">
        <f>+R208</f>
        <v>0</v>
      </c>
      <c r="AA208" s="619"/>
    </row>
    <row r="209" spans="2:27" x14ac:dyDescent="0.2">
      <c r="B209" s="642" t="s">
        <v>2311</v>
      </c>
      <c r="I209" s="646">
        <v>100000</v>
      </c>
      <c r="J209" s="650">
        <v>100000</v>
      </c>
      <c r="K209" s="650"/>
      <c r="L209" s="665">
        <v>80000</v>
      </c>
      <c r="M209" s="650">
        <v>100000</v>
      </c>
      <c r="N209" s="665"/>
      <c r="O209" s="646">
        <v>75000</v>
      </c>
      <c r="P209" s="646">
        <v>70592</v>
      </c>
      <c r="Q209" s="646">
        <f>+P209</f>
        <v>70592</v>
      </c>
      <c r="R209" s="650">
        <f>+Q209</f>
        <v>70592</v>
      </c>
      <c r="S209" s="646">
        <f>+R209</f>
        <v>70592</v>
      </c>
      <c r="U209" s="650"/>
      <c r="AA209" s="619"/>
    </row>
    <row r="210" spans="2:27" hidden="1" x14ac:dyDescent="0.2">
      <c r="B210" s="642" t="s">
        <v>745</v>
      </c>
      <c r="I210" s="646"/>
      <c r="J210" s="650"/>
      <c r="K210" s="650"/>
      <c r="L210" s="665"/>
      <c r="M210" s="650"/>
      <c r="N210" s="665"/>
      <c r="O210" s="646"/>
      <c r="R210" s="650"/>
      <c r="S210" s="646"/>
      <c r="U210" s="650"/>
      <c r="X210" s="650">
        <f>+O210</f>
        <v>0</v>
      </c>
      <c r="AA210" s="619"/>
    </row>
    <row r="211" spans="2:27" hidden="1" x14ac:dyDescent="0.2">
      <c r="B211" s="657" t="s">
        <v>746</v>
      </c>
      <c r="I211" s="646"/>
      <c r="J211" s="650"/>
      <c r="K211" s="650"/>
      <c r="L211" s="665"/>
      <c r="M211" s="650"/>
      <c r="N211" s="665"/>
      <c r="O211" s="646"/>
      <c r="R211" s="650"/>
      <c r="S211" s="646">
        <f>+R211</f>
        <v>0</v>
      </c>
      <c r="U211" s="650"/>
      <c r="X211" s="650"/>
      <c r="AA211" s="619"/>
    </row>
    <row r="212" spans="2:27" hidden="1" x14ac:dyDescent="0.2">
      <c r="B212" s="642" t="s">
        <v>747</v>
      </c>
      <c r="I212" s="646"/>
      <c r="J212" s="650"/>
      <c r="K212" s="650"/>
      <c r="L212" s="665"/>
      <c r="M212" s="650"/>
      <c r="N212" s="665"/>
      <c r="O212" s="646"/>
      <c r="R212" s="650">
        <f>+O212</f>
        <v>0</v>
      </c>
      <c r="S212" s="646"/>
      <c r="U212" s="650"/>
      <c r="X212" s="650"/>
      <c r="Y212" s="646">
        <f>+O212</f>
        <v>0</v>
      </c>
      <c r="AA212" s="619"/>
    </row>
    <row r="213" spans="2:27" hidden="1" x14ac:dyDescent="0.2">
      <c r="B213" s="642" t="s">
        <v>748</v>
      </c>
      <c r="I213" s="646"/>
      <c r="J213" s="650"/>
      <c r="K213" s="650"/>
      <c r="L213" s="665"/>
      <c r="M213" s="650"/>
      <c r="N213" s="665"/>
      <c r="O213" s="646"/>
      <c r="R213" s="650"/>
      <c r="S213" s="646"/>
      <c r="U213" s="650"/>
      <c r="X213" s="650"/>
      <c r="Y213" s="646">
        <f>+O213</f>
        <v>0</v>
      </c>
      <c r="AA213" s="619"/>
    </row>
    <row r="214" spans="2:27" hidden="1" x14ac:dyDescent="0.2">
      <c r="B214" s="642" t="s">
        <v>749</v>
      </c>
      <c r="I214" s="646"/>
      <c r="J214" s="650"/>
      <c r="K214" s="650"/>
      <c r="L214" s="665"/>
      <c r="M214" s="650"/>
      <c r="N214" s="665"/>
      <c r="O214" s="646"/>
      <c r="R214" s="650"/>
      <c r="S214" s="646">
        <f>+O214</f>
        <v>0</v>
      </c>
      <c r="U214" s="650"/>
      <c r="X214" s="646">
        <f>+O214</f>
        <v>0</v>
      </c>
      <c r="AA214" s="619"/>
    </row>
    <row r="215" spans="2:27" x14ac:dyDescent="0.2">
      <c r="B215" s="642" t="s">
        <v>750</v>
      </c>
      <c r="I215" s="646"/>
      <c r="J215" s="650"/>
      <c r="K215" s="650"/>
      <c r="L215" s="665"/>
      <c r="M215" s="650">
        <v>250000</v>
      </c>
      <c r="N215" s="665"/>
      <c r="O215" s="646"/>
      <c r="R215" s="650"/>
      <c r="S215" s="646"/>
      <c r="U215" s="650"/>
      <c r="AA215" s="619"/>
    </row>
    <row r="216" spans="2:27" hidden="1" x14ac:dyDescent="0.2">
      <c r="B216" s="642" t="s">
        <v>751</v>
      </c>
      <c r="I216" s="646">
        <v>20000</v>
      </c>
      <c r="J216" s="650">
        <v>20000</v>
      </c>
      <c r="K216" s="650"/>
      <c r="L216" s="665"/>
      <c r="M216" s="650"/>
      <c r="N216" s="665"/>
      <c r="O216" s="646"/>
      <c r="R216" s="650"/>
      <c r="S216" s="650"/>
      <c r="U216" s="650"/>
      <c r="AA216" s="619"/>
    </row>
    <row r="217" spans="2:27" hidden="1" x14ac:dyDescent="0.2">
      <c r="B217" s="642" t="s">
        <v>752</v>
      </c>
      <c r="I217" s="646">
        <v>25000</v>
      </c>
      <c r="J217" s="650"/>
      <c r="K217" s="650"/>
      <c r="L217" s="665"/>
      <c r="M217" s="650"/>
      <c r="N217" s="665"/>
      <c r="O217" s="646"/>
      <c r="R217" s="650"/>
      <c r="S217" s="646"/>
      <c r="U217" s="650"/>
      <c r="AA217" s="619"/>
    </row>
    <row r="218" spans="2:27" hidden="1" x14ac:dyDescent="0.2">
      <c r="B218" s="642" t="s">
        <v>753</v>
      </c>
      <c r="I218" s="646"/>
      <c r="J218" s="650">
        <v>55000</v>
      </c>
      <c r="K218" s="650"/>
      <c r="L218" s="665"/>
      <c r="M218" s="650"/>
      <c r="N218" s="665"/>
      <c r="O218" s="646"/>
      <c r="R218" s="650"/>
      <c r="S218" s="646"/>
      <c r="U218" s="650"/>
      <c r="AA218" s="619"/>
    </row>
    <row r="219" spans="2:27" hidden="1" x14ac:dyDescent="0.2">
      <c r="B219" s="642" t="s">
        <v>754</v>
      </c>
      <c r="I219" s="646"/>
      <c r="J219" s="650">
        <v>25500</v>
      </c>
      <c r="K219" s="650"/>
      <c r="L219" s="665"/>
      <c r="M219" s="650"/>
      <c r="N219" s="665"/>
      <c r="O219" s="646"/>
      <c r="R219" s="650"/>
      <c r="S219" s="646"/>
      <c r="U219" s="650"/>
      <c r="AA219" s="619"/>
    </row>
    <row r="220" spans="2:27" hidden="1" x14ac:dyDescent="0.2">
      <c r="B220" s="642" t="s">
        <v>755</v>
      </c>
      <c r="I220" s="646"/>
      <c r="J220" s="650">
        <v>50000</v>
      </c>
      <c r="K220" s="650"/>
      <c r="L220" s="665"/>
      <c r="M220" s="650"/>
      <c r="N220" s="665"/>
      <c r="O220" s="646"/>
      <c r="R220" s="650"/>
      <c r="S220" s="646"/>
      <c r="U220" s="650"/>
      <c r="AA220" s="619"/>
    </row>
    <row r="221" spans="2:27" hidden="1" x14ac:dyDescent="0.2">
      <c r="B221" s="642" t="s">
        <v>756</v>
      </c>
      <c r="I221" s="646"/>
      <c r="J221" s="646"/>
      <c r="K221" s="646"/>
      <c r="L221" s="665"/>
      <c r="M221" s="650"/>
      <c r="N221" s="665"/>
      <c r="O221" s="646"/>
      <c r="R221" s="650"/>
      <c r="S221" s="646"/>
      <c r="T221" s="646">
        <f>+O221</f>
        <v>0</v>
      </c>
      <c r="U221" s="650"/>
      <c r="AA221" s="619"/>
    </row>
    <row r="222" spans="2:27" hidden="1" x14ac:dyDescent="0.2">
      <c r="B222" s="642" t="s">
        <v>757</v>
      </c>
      <c r="I222" s="646"/>
      <c r="J222" s="646"/>
      <c r="K222" s="646"/>
      <c r="L222" s="665"/>
      <c r="M222" s="650"/>
      <c r="N222" s="665"/>
      <c r="O222" s="646"/>
      <c r="R222" s="650"/>
      <c r="S222" s="646"/>
      <c r="T222" s="646">
        <f>+R222</f>
        <v>0</v>
      </c>
      <c r="U222" s="650"/>
      <c r="AA222" s="619"/>
    </row>
    <row r="223" spans="2:27" hidden="1" x14ac:dyDescent="0.2">
      <c r="B223" s="657" t="s">
        <v>758</v>
      </c>
      <c r="I223" s="646"/>
      <c r="J223" s="646"/>
      <c r="K223" s="646"/>
      <c r="L223" s="665"/>
      <c r="M223" s="650"/>
      <c r="N223" s="665"/>
      <c r="O223" s="646"/>
      <c r="R223" s="650"/>
      <c r="S223" s="646"/>
      <c r="U223" s="650"/>
      <c r="V223" s="646">
        <f>+R223</f>
        <v>0</v>
      </c>
      <c r="AA223" s="619"/>
    </row>
    <row r="224" spans="2:27" hidden="1" x14ac:dyDescent="0.2">
      <c r="B224" s="657" t="s">
        <v>759</v>
      </c>
      <c r="I224" s="646"/>
      <c r="J224" s="646"/>
      <c r="K224" s="646"/>
      <c r="L224" s="665"/>
      <c r="M224" s="650"/>
      <c r="N224" s="665"/>
      <c r="O224" s="646"/>
      <c r="R224" s="650">
        <f>+P224</f>
        <v>0</v>
      </c>
      <c r="S224" s="646">
        <f>+R224</f>
        <v>0</v>
      </c>
      <c r="U224" s="650"/>
      <c r="AA224" s="619"/>
    </row>
    <row r="225" spans="1:27" x14ac:dyDescent="0.2">
      <c r="B225" s="642" t="s">
        <v>760</v>
      </c>
      <c r="I225" s="646"/>
      <c r="J225" s="646"/>
      <c r="K225" s="646"/>
      <c r="L225" s="665">
        <v>700</v>
      </c>
      <c r="M225" s="650">
        <v>700</v>
      </c>
      <c r="N225" s="665"/>
      <c r="O225" s="646"/>
      <c r="R225" s="650"/>
      <c r="S225" s="646"/>
      <c r="T225" s="646">
        <f>+R225</f>
        <v>0</v>
      </c>
      <c r="U225" s="650"/>
      <c r="AA225" s="619"/>
    </row>
    <row r="226" spans="1:27" x14ac:dyDescent="0.2">
      <c r="B226" s="642" t="s">
        <v>2309</v>
      </c>
      <c r="I226" s="646"/>
      <c r="J226" s="646"/>
      <c r="K226" s="646"/>
      <c r="L226" s="665"/>
      <c r="M226" s="650"/>
      <c r="N226" s="665"/>
      <c r="O226" s="646"/>
      <c r="P226" s="646">
        <v>25000</v>
      </c>
      <c r="Q226" s="646">
        <f>+P226</f>
        <v>25000</v>
      </c>
      <c r="R226" s="650">
        <f>+P226</f>
        <v>25000</v>
      </c>
      <c r="S226" s="646"/>
      <c r="U226" s="650"/>
      <c r="Y226" s="646">
        <f>+P226</f>
        <v>25000</v>
      </c>
      <c r="AA226" s="619"/>
    </row>
    <row r="227" spans="1:27" x14ac:dyDescent="0.2">
      <c r="B227" s="642" t="s">
        <v>2310</v>
      </c>
      <c r="I227" s="646"/>
      <c r="J227" s="646"/>
      <c r="K227" s="646"/>
      <c r="L227" s="665"/>
      <c r="M227" s="650"/>
      <c r="N227" s="665"/>
      <c r="O227" s="646"/>
      <c r="P227" s="646">
        <v>264000</v>
      </c>
      <c r="Q227" s="646">
        <f>+P227</f>
        <v>264000</v>
      </c>
      <c r="R227" s="650">
        <f>+P227</f>
        <v>264000</v>
      </c>
      <c r="S227" s="646"/>
      <c r="U227" s="650"/>
      <c r="Y227" s="646">
        <f>+P227</f>
        <v>264000</v>
      </c>
      <c r="AA227" s="619"/>
    </row>
    <row r="228" spans="1:27" x14ac:dyDescent="0.2">
      <c r="B228" s="642" t="s">
        <v>761</v>
      </c>
      <c r="I228" s="646"/>
      <c r="J228" s="646"/>
      <c r="K228" s="646"/>
      <c r="L228" s="665">
        <v>10000</v>
      </c>
      <c r="M228" s="650">
        <v>10000</v>
      </c>
      <c r="N228" s="665"/>
      <c r="O228" s="646"/>
      <c r="R228" s="650"/>
      <c r="S228" s="646"/>
      <c r="U228" s="650"/>
      <c r="AA228" s="619"/>
    </row>
    <row r="229" spans="1:27" hidden="1" x14ac:dyDescent="0.2">
      <c r="B229" s="642" t="s">
        <v>762</v>
      </c>
      <c r="I229" s="646"/>
      <c r="J229" s="646"/>
      <c r="K229" s="646"/>
      <c r="L229" s="665">
        <v>60000</v>
      </c>
      <c r="M229" s="650"/>
      <c r="N229" s="665"/>
      <c r="O229" s="646"/>
      <c r="R229" s="650"/>
      <c r="S229" s="646"/>
      <c r="T229" s="646">
        <f>+O229</f>
        <v>0</v>
      </c>
      <c r="U229" s="650"/>
      <c r="AA229" s="619"/>
    </row>
    <row r="230" spans="1:27" hidden="1" x14ac:dyDescent="0.2">
      <c r="B230" s="642" t="s">
        <v>763</v>
      </c>
      <c r="I230" s="646"/>
      <c r="J230" s="646"/>
      <c r="K230" s="646"/>
      <c r="L230" s="665"/>
      <c r="M230" s="650"/>
      <c r="N230" s="665"/>
      <c r="O230" s="646"/>
      <c r="R230" s="650"/>
      <c r="S230" s="646"/>
      <c r="T230" s="646">
        <f>+O230</f>
        <v>0</v>
      </c>
      <c r="U230" s="650"/>
      <c r="AA230" s="619"/>
    </row>
    <row r="231" spans="1:27" hidden="1" x14ac:dyDescent="0.2">
      <c r="B231" s="642" t="s">
        <v>764</v>
      </c>
      <c r="I231" s="646"/>
      <c r="J231" s="646"/>
      <c r="K231" s="646"/>
      <c r="L231" s="665">
        <v>37260</v>
      </c>
      <c r="M231" s="650"/>
      <c r="N231" s="665"/>
      <c r="O231" s="646"/>
      <c r="R231" s="650"/>
      <c r="S231" s="646"/>
      <c r="T231" s="646">
        <f>+O231</f>
        <v>0</v>
      </c>
      <c r="U231" s="650"/>
      <c r="AA231" s="619"/>
    </row>
    <row r="232" spans="1:27" hidden="1" x14ac:dyDescent="0.2">
      <c r="B232" s="642" t="s">
        <v>765</v>
      </c>
      <c r="I232" s="646"/>
      <c r="J232" s="646"/>
      <c r="K232" s="646"/>
      <c r="L232" s="665"/>
      <c r="M232" s="650"/>
      <c r="N232" s="665"/>
      <c r="O232" s="646"/>
      <c r="R232" s="650">
        <f>+O232</f>
        <v>0</v>
      </c>
      <c r="S232" s="646">
        <f>+R232</f>
        <v>0</v>
      </c>
      <c r="U232" s="650"/>
      <c r="AA232" s="619"/>
    </row>
    <row r="233" spans="1:27" x14ac:dyDescent="0.2">
      <c r="B233" s="642" t="s">
        <v>766</v>
      </c>
      <c r="I233" s="646"/>
      <c r="J233" s="646"/>
      <c r="K233" s="646"/>
      <c r="L233" s="665"/>
      <c r="M233" s="650"/>
      <c r="N233" s="665"/>
      <c r="O233" s="646">
        <v>130000</v>
      </c>
      <c r="R233" s="650"/>
      <c r="S233" s="646"/>
      <c r="U233" s="650"/>
      <c r="AA233" s="619"/>
    </row>
    <row r="234" spans="1:27" x14ac:dyDescent="0.2">
      <c r="B234" s="642" t="s">
        <v>767</v>
      </c>
      <c r="I234" s="646"/>
      <c r="J234" s="646"/>
      <c r="K234" s="646"/>
      <c r="L234" s="665"/>
      <c r="M234" s="650"/>
      <c r="N234" s="665"/>
      <c r="O234" s="646">
        <v>100000</v>
      </c>
      <c r="R234" s="650"/>
      <c r="S234" s="646"/>
      <c r="U234" s="650"/>
      <c r="AA234" s="619"/>
    </row>
    <row r="235" spans="1:27" hidden="1" x14ac:dyDescent="0.2">
      <c r="B235" s="657" t="s">
        <v>768</v>
      </c>
      <c r="I235" s="646"/>
      <c r="J235" s="646"/>
      <c r="K235" s="646"/>
      <c r="L235" s="665"/>
      <c r="M235" s="650"/>
      <c r="N235" s="665"/>
      <c r="O235" s="646"/>
      <c r="R235" s="650">
        <f>+P235</f>
        <v>0</v>
      </c>
      <c r="S235" s="646"/>
      <c r="T235" s="646">
        <f>+R235</f>
        <v>0</v>
      </c>
      <c r="U235" s="650"/>
      <c r="AA235" s="619"/>
    </row>
    <row r="236" spans="1:27" hidden="1" x14ac:dyDescent="0.2">
      <c r="B236" s="642" t="s">
        <v>769</v>
      </c>
      <c r="I236" s="646"/>
      <c r="J236" s="646"/>
      <c r="K236" s="646"/>
      <c r="L236" s="665">
        <v>100000</v>
      </c>
      <c r="M236" s="650"/>
      <c r="N236" s="665"/>
      <c r="O236" s="646"/>
      <c r="R236" s="650"/>
      <c r="S236" s="646"/>
      <c r="U236" s="650"/>
      <c r="Y236" s="646">
        <f>+O236</f>
        <v>0</v>
      </c>
      <c r="AA236" s="619"/>
    </row>
    <row r="237" spans="1:27" hidden="1" x14ac:dyDescent="0.2">
      <c r="B237" s="642" t="s">
        <v>770</v>
      </c>
      <c r="I237" s="646"/>
      <c r="J237" s="646"/>
      <c r="K237" s="646"/>
      <c r="L237" s="650">
        <v>40000</v>
      </c>
      <c r="M237" s="650"/>
      <c r="N237" s="650"/>
      <c r="O237" s="646"/>
      <c r="R237" s="650"/>
      <c r="S237" s="646"/>
      <c r="U237" s="650"/>
      <c r="AA237" s="619"/>
    </row>
    <row r="238" spans="1:27" hidden="1" x14ac:dyDescent="0.2">
      <c r="B238" s="642" t="s">
        <v>771</v>
      </c>
      <c r="I238" s="646"/>
      <c r="J238" s="646"/>
      <c r="K238" s="646"/>
      <c r="L238" s="650">
        <v>51000</v>
      </c>
      <c r="M238" s="650"/>
      <c r="N238" s="650"/>
      <c r="O238" s="646"/>
      <c r="R238" s="650"/>
      <c r="S238" s="646"/>
      <c r="U238" s="650"/>
      <c r="AA238" s="619"/>
    </row>
    <row r="239" spans="1:27" x14ac:dyDescent="0.2">
      <c r="A239" s="836"/>
      <c r="B239" s="642" t="s">
        <v>2459</v>
      </c>
      <c r="I239" s="646"/>
      <c r="J239" s="646"/>
      <c r="K239" s="646"/>
      <c r="L239" s="665"/>
      <c r="M239" s="650"/>
      <c r="N239" s="665"/>
      <c r="O239" s="646"/>
      <c r="P239" s="646">
        <v>14000</v>
      </c>
      <c r="Q239" s="646">
        <f t="shared" ref="Q239:R243" si="42">+P239</f>
        <v>14000</v>
      </c>
      <c r="R239" s="650">
        <f t="shared" si="42"/>
        <v>14000</v>
      </c>
      <c r="S239" s="646"/>
      <c r="T239" s="646">
        <v>14000</v>
      </c>
      <c r="U239" s="650"/>
      <c r="AA239" s="619"/>
    </row>
    <row r="240" spans="1:27" x14ac:dyDescent="0.2">
      <c r="A240" s="836"/>
      <c r="B240" s="657" t="s">
        <v>2315</v>
      </c>
      <c r="I240" s="646"/>
      <c r="J240" s="646"/>
      <c r="K240" s="646"/>
      <c r="L240" s="665"/>
      <c r="M240" s="650"/>
      <c r="N240" s="665"/>
      <c r="O240" s="646"/>
      <c r="R240" s="650"/>
      <c r="S240" s="646"/>
      <c r="U240" s="650"/>
      <c r="AA240" s="619"/>
    </row>
    <row r="241" spans="1:27" x14ac:dyDescent="0.2">
      <c r="A241" s="836"/>
      <c r="B241" s="657" t="s">
        <v>2316</v>
      </c>
      <c r="I241" s="646"/>
      <c r="J241" s="646"/>
      <c r="K241" s="646"/>
      <c r="L241" s="665"/>
      <c r="M241" s="650"/>
      <c r="N241" s="665"/>
      <c r="O241" s="646"/>
      <c r="R241" s="650"/>
      <c r="S241" s="646"/>
      <c r="U241" s="650"/>
      <c r="AA241" s="619"/>
    </row>
    <row r="242" spans="1:27" x14ac:dyDescent="0.2">
      <c r="A242" s="836"/>
      <c r="B242" s="642" t="s">
        <v>2318</v>
      </c>
      <c r="I242" s="646"/>
      <c r="J242" s="646"/>
      <c r="K242" s="646"/>
      <c r="L242" s="665"/>
      <c r="M242" s="650"/>
      <c r="N242" s="665"/>
      <c r="O242" s="646"/>
      <c r="P242" s="646">
        <v>12000</v>
      </c>
      <c r="Q242" s="646">
        <f t="shared" si="42"/>
        <v>12000</v>
      </c>
      <c r="R242" s="650">
        <f t="shared" si="42"/>
        <v>12000</v>
      </c>
      <c r="S242" s="646"/>
      <c r="T242" s="645">
        <f>+P242</f>
        <v>12000</v>
      </c>
      <c r="U242" s="650"/>
      <c r="AA242" s="619"/>
    </row>
    <row r="243" spans="1:27" x14ac:dyDescent="0.2">
      <c r="A243" s="836"/>
      <c r="B243" s="642" t="s">
        <v>2319</v>
      </c>
      <c r="I243" s="646"/>
      <c r="J243" s="646"/>
      <c r="K243" s="646"/>
      <c r="L243" s="665"/>
      <c r="M243" s="650"/>
      <c r="N243" s="665"/>
      <c r="O243" s="646"/>
      <c r="P243" s="646">
        <v>12500</v>
      </c>
      <c r="Q243" s="646">
        <f t="shared" si="42"/>
        <v>12500</v>
      </c>
      <c r="R243" s="650">
        <f t="shared" si="42"/>
        <v>12500</v>
      </c>
      <c r="S243" s="646"/>
      <c r="T243" s="645">
        <f>+P243</f>
        <v>12500</v>
      </c>
      <c r="U243" s="650"/>
      <c r="AA243" s="619"/>
    </row>
    <row r="244" spans="1:27" hidden="1" x14ac:dyDescent="0.2">
      <c r="A244" s="836"/>
      <c r="B244" s="657" t="s">
        <v>772</v>
      </c>
      <c r="I244" s="646"/>
      <c r="J244" s="646"/>
      <c r="K244" s="646"/>
      <c r="L244" s="665"/>
      <c r="M244" s="650"/>
      <c r="N244" s="665"/>
      <c r="O244" s="646"/>
      <c r="R244" s="650"/>
      <c r="S244" s="646"/>
      <c r="U244" s="650"/>
      <c r="Y244" s="646">
        <f>+R244</f>
        <v>0</v>
      </c>
      <c r="AA244" s="619"/>
    </row>
    <row r="245" spans="1:27" x14ac:dyDescent="0.2">
      <c r="A245" s="836"/>
      <c r="B245" s="642" t="s">
        <v>2398</v>
      </c>
      <c r="I245" s="646"/>
      <c r="J245" s="646"/>
      <c r="K245" s="646"/>
      <c r="L245" s="665"/>
      <c r="M245" s="650"/>
      <c r="N245" s="665"/>
      <c r="O245" s="646">
        <v>130000</v>
      </c>
      <c r="R245" s="650"/>
      <c r="S245" s="646"/>
      <c r="U245" s="650"/>
      <c r="AA245" s="619"/>
    </row>
    <row r="246" spans="1:27" x14ac:dyDescent="0.2">
      <c r="A246" s="836"/>
      <c r="B246" s="642" t="s">
        <v>2465</v>
      </c>
      <c r="I246" s="646"/>
      <c r="J246" s="646"/>
      <c r="K246" s="646"/>
      <c r="L246" s="665"/>
      <c r="M246" s="650"/>
      <c r="N246" s="665"/>
      <c r="O246" s="646"/>
      <c r="P246" s="646">
        <v>113500</v>
      </c>
      <c r="Q246" s="646">
        <f>+P246</f>
        <v>113500</v>
      </c>
      <c r="R246" s="650">
        <f>+Q246</f>
        <v>113500</v>
      </c>
      <c r="S246" s="646"/>
      <c r="U246" s="650"/>
      <c r="Y246" s="646">
        <f>+R246</f>
        <v>113500</v>
      </c>
      <c r="AA246" s="619"/>
    </row>
    <row r="247" spans="1:27" x14ac:dyDescent="0.2">
      <c r="A247" s="836"/>
      <c r="B247" s="642" t="s">
        <v>773</v>
      </c>
      <c r="I247" s="646"/>
      <c r="J247" s="646"/>
      <c r="K247" s="646"/>
      <c r="L247" s="665"/>
      <c r="M247" s="650">
        <v>238800</v>
      </c>
      <c r="N247" s="665"/>
      <c r="O247" s="646">
        <f>86900+86900</f>
        <v>173800</v>
      </c>
      <c r="R247" s="650"/>
      <c r="S247" s="646"/>
      <c r="U247" s="650"/>
      <c r="AA247" s="619"/>
    </row>
    <row r="248" spans="1:27" ht="15.75" x14ac:dyDescent="0.25">
      <c r="B248" s="642" t="s">
        <v>774</v>
      </c>
      <c r="I248" s="646">
        <v>97375</v>
      </c>
      <c r="J248" s="646"/>
      <c r="K248" s="646"/>
      <c r="L248" s="665">
        <f>+'Colle 228 183'!K30</f>
        <v>79750</v>
      </c>
      <c r="M248" s="650">
        <v>78950</v>
      </c>
      <c r="N248" s="665"/>
      <c r="O248" s="646">
        <v>49950</v>
      </c>
      <c r="P248" s="646">
        <f>+'Colle 228 183'!Q30</f>
        <v>53250</v>
      </c>
      <c r="Q248" s="646">
        <f>+P248</f>
        <v>53250</v>
      </c>
      <c r="R248" s="650">
        <f>+Q248</f>
        <v>53250</v>
      </c>
      <c r="S248" s="650"/>
      <c r="U248" s="650">
        <f>+R248</f>
        <v>53250</v>
      </c>
      <c r="Z248" s="652"/>
      <c r="AA248" s="619"/>
    </row>
    <row r="249" spans="1:27" hidden="1" x14ac:dyDescent="0.2">
      <c r="B249" s="642" t="s">
        <v>775</v>
      </c>
      <c r="I249" s="646"/>
      <c r="J249" s="646"/>
      <c r="K249" s="646"/>
      <c r="L249" s="665"/>
      <c r="M249" s="650"/>
      <c r="N249" s="665"/>
      <c r="O249" s="646"/>
      <c r="R249" s="650"/>
      <c r="S249" s="650"/>
      <c r="U249" s="650"/>
      <c r="Z249" s="646">
        <f>+O249</f>
        <v>0</v>
      </c>
      <c r="AA249" s="619"/>
    </row>
    <row r="250" spans="1:27" hidden="1" x14ac:dyDescent="0.2">
      <c r="B250" s="642" t="s">
        <v>776</v>
      </c>
      <c r="I250" s="646"/>
      <c r="J250" s="646"/>
      <c r="K250" s="646"/>
      <c r="L250" s="665"/>
      <c r="M250" s="650"/>
      <c r="N250" s="665"/>
      <c r="O250" s="646"/>
      <c r="R250" s="650"/>
      <c r="S250" s="650"/>
      <c r="U250" s="650"/>
      <c r="AA250" s="619"/>
    </row>
    <row r="251" spans="1:27" hidden="1" x14ac:dyDescent="0.2">
      <c r="B251" s="642" t="s">
        <v>777</v>
      </c>
      <c r="I251" s="646"/>
      <c r="J251" s="646"/>
      <c r="K251" s="646"/>
      <c r="L251" s="665"/>
      <c r="M251" s="650"/>
      <c r="N251" s="665"/>
      <c r="O251" s="646"/>
      <c r="R251" s="650"/>
      <c r="S251" s="650"/>
      <c r="U251" s="650"/>
      <c r="AA251" s="619"/>
    </row>
    <row r="252" spans="1:27" hidden="1" x14ac:dyDescent="0.2">
      <c r="B252" s="642" t="s">
        <v>778</v>
      </c>
      <c r="I252" s="646"/>
      <c r="J252" s="646"/>
      <c r="K252" s="646"/>
      <c r="L252" s="665"/>
      <c r="M252" s="650"/>
      <c r="N252" s="665"/>
      <c r="O252" s="646"/>
      <c r="R252" s="650"/>
      <c r="S252" s="650"/>
      <c r="U252" s="650"/>
      <c r="AA252" s="619"/>
    </row>
    <row r="253" spans="1:27" ht="15.75" hidden="1" x14ac:dyDescent="0.25">
      <c r="A253" s="837"/>
      <c r="B253" s="642" t="s">
        <v>779</v>
      </c>
      <c r="I253" s="646"/>
      <c r="J253" s="646"/>
      <c r="K253" s="646"/>
      <c r="L253" s="665"/>
      <c r="M253" s="650"/>
      <c r="N253" s="665"/>
      <c r="O253" s="646"/>
      <c r="R253" s="650"/>
      <c r="S253" s="650"/>
      <c r="U253" s="650"/>
      <c r="Z253" s="652"/>
      <c r="AA253" s="619"/>
    </row>
    <row r="254" spans="1:27" hidden="1" x14ac:dyDescent="0.2">
      <c r="B254" s="642" t="s">
        <v>780</v>
      </c>
      <c r="I254" s="646"/>
      <c r="J254" s="646"/>
      <c r="K254" s="646"/>
      <c r="M254" s="647"/>
      <c r="O254" s="646"/>
      <c r="S254" s="647">
        <f>+O254</f>
        <v>0</v>
      </c>
      <c r="U254" s="647"/>
      <c r="AA254" s="619"/>
    </row>
    <row r="255" spans="1:27" x14ac:dyDescent="0.2">
      <c r="B255" s="642" t="s">
        <v>2540</v>
      </c>
      <c r="I255" s="646"/>
      <c r="J255" s="646"/>
      <c r="K255" s="646"/>
      <c r="M255" s="647"/>
      <c r="O255" s="646"/>
      <c r="P255" s="646">
        <v>250000</v>
      </c>
      <c r="Q255" s="646">
        <f>+P255</f>
        <v>250000</v>
      </c>
      <c r="R255" s="647">
        <f>+Q255</f>
        <v>250000</v>
      </c>
      <c r="U255" s="647">
        <v>250000</v>
      </c>
      <c r="AA255" s="619"/>
    </row>
    <row r="256" spans="1:27" ht="15.75" x14ac:dyDescent="0.25">
      <c r="I256" s="646"/>
      <c r="J256" s="646"/>
      <c r="K256" s="646"/>
      <c r="M256" s="647"/>
      <c r="O256" s="646"/>
      <c r="U256" s="647"/>
      <c r="Z256" s="652"/>
      <c r="AA256" s="619"/>
    </row>
    <row r="257" spans="2:28" x14ac:dyDescent="0.2">
      <c r="B257" s="642" t="s">
        <v>781</v>
      </c>
      <c r="I257" s="646">
        <f>SUM(I138:I256)</f>
        <v>1420206</v>
      </c>
      <c r="J257" s="646">
        <f>SUM(J138:J256)</f>
        <v>867320</v>
      </c>
      <c r="K257" s="646"/>
      <c r="L257" s="662">
        <f>SUM(L138:L256)</f>
        <v>1159915</v>
      </c>
      <c r="M257" s="646">
        <f>SUM(M141:M255)</f>
        <v>1493171</v>
      </c>
      <c r="O257" s="646">
        <f t="shared" ref="O257:Z257" si="43">SUM(O141:O255)</f>
        <v>1331498</v>
      </c>
      <c r="P257" s="646">
        <f t="shared" si="43"/>
        <v>1398085</v>
      </c>
      <c r="Q257" s="646">
        <f t="shared" si="43"/>
        <v>1398085</v>
      </c>
      <c r="R257" s="646">
        <f t="shared" si="43"/>
        <v>1398085</v>
      </c>
      <c r="S257" s="646">
        <f t="shared" si="43"/>
        <v>400735</v>
      </c>
      <c r="T257" s="646">
        <f t="shared" si="43"/>
        <v>179401</v>
      </c>
      <c r="U257" s="646">
        <f t="shared" si="43"/>
        <v>315349</v>
      </c>
      <c r="V257" s="646">
        <f t="shared" si="43"/>
        <v>100000</v>
      </c>
      <c r="W257" s="646">
        <f t="shared" si="43"/>
        <v>0</v>
      </c>
      <c r="X257" s="646">
        <f t="shared" si="43"/>
        <v>0</v>
      </c>
      <c r="Y257" s="646">
        <f t="shared" si="43"/>
        <v>402500</v>
      </c>
      <c r="Z257" s="646">
        <f t="shared" si="43"/>
        <v>0</v>
      </c>
      <c r="AA257" s="619"/>
    </row>
    <row r="258" spans="2:28" x14ac:dyDescent="0.2">
      <c r="I258" s="647"/>
      <c r="J258" s="647"/>
      <c r="K258" s="647"/>
      <c r="M258" s="647"/>
      <c r="O258" s="646"/>
      <c r="S258" s="646"/>
      <c r="U258" s="647"/>
    </row>
    <row r="259" spans="2:28" x14ac:dyDescent="0.2">
      <c r="B259" s="642" t="s">
        <v>782</v>
      </c>
      <c r="I259" s="647">
        <f>+I134+I257</f>
        <v>23311292.300000001</v>
      </c>
      <c r="J259" s="647">
        <f>+J134+J257</f>
        <v>23815844.66</v>
      </c>
      <c r="K259" s="647"/>
      <c r="L259" s="647">
        <f>+L134+L257</f>
        <v>25150809.66</v>
      </c>
      <c r="M259" s="647">
        <f>+M134+M257</f>
        <v>27229440.449999999</v>
      </c>
      <c r="N259" s="647"/>
      <c r="O259" s="647">
        <f>+O134+O257</f>
        <v>28204223</v>
      </c>
      <c r="P259" s="647">
        <f>+P134+P257</f>
        <v>29654979</v>
      </c>
      <c r="Q259" s="647">
        <f>+Q134+Q257</f>
        <v>29654979</v>
      </c>
      <c r="R259" s="647">
        <f>+R134+R257</f>
        <v>29654979</v>
      </c>
      <c r="S259" s="646">
        <f>+S134+S257</f>
        <v>25511440</v>
      </c>
      <c r="T259" s="647">
        <f>+T257+T134</f>
        <v>179401</v>
      </c>
      <c r="U259" s="646">
        <f t="shared" ref="U259:Z259" si="44">+U134+U257</f>
        <v>315349</v>
      </c>
      <c r="V259" s="646">
        <f t="shared" si="44"/>
        <v>100000</v>
      </c>
      <c r="W259" s="646">
        <f t="shared" si="44"/>
        <v>0</v>
      </c>
      <c r="X259" s="646">
        <f t="shared" si="44"/>
        <v>0</v>
      </c>
      <c r="Y259" s="646">
        <f t="shared" si="44"/>
        <v>3121724</v>
      </c>
      <c r="Z259" s="646">
        <f t="shared" si="44"/>
        <v>426965</v>
      </c>
    </row>
    <row r="260" spans="2:28" x14ac:dyDescent="0.2">
      <c r="B260" s="646"/>
      <c r="C260" s="646"/>
      <c r="D260" s="646"/>
      <c r="E260" s="646"/>
      <c r="F260" s="646"/>
      <c r="G260" s="646"/>
      <c r="H260" s="646"/>
      <c r="I260" s="646"/>
      <c r="J260" s="646"/>
      <c r="K260" s="646"/>
      <c r="O260" s="647"/>
      <c r="P260" s="647"/>
      <c r="Q260" s="647"/>
      <c r="S260" s="646"/>
      <c r="T260" s="647"/>
      <c r="U260" s="647"/>
    </row>
    <row r="261" spans="2:28" x14ac:dyDescent="0.2">
      <c r="B261" s="646"/>
      <c r="C261" s="646"/>
      <c r="D261" s="646"/>
      <c r="E261" s="646"/>
      <c r="F261" s="646"/>
      <c r="G261" s="646"/>
      <c r="H261" s="646"/>
      <c r="I261" s="646"/>
      <c r="J261" s="646"/>
      <c r="K261" s="646"/>
      <c r="O261" s="647"/>
      <c r="P261" s="647"/>
      <c r="Q261" s="647"/>
      <c r="S261" s="646"/>
      <c r="U261" s="647"/>
    </row>
    <row r="262" spans="2:28" x14ac:dyDescent="0.2">
      <c r="B262" s="642" t="s">
        <v>783</v>
      </c>
      <c r="O262" s="647"/>
      <c r="P262" s="647"/>
      <c r="Q262" s="647"/>
      <c r="S262" s="646"/>
      <c r="U262" s="647"/>
    </row>
    <row r="263" spans="2:28" x14ac:dyDescent="0.2">
      <c r="B263" s="642" t="s">
        <v>613</v>
      </c>
      <c r="I263" s="647">
        <f>+I29</f>
        <v>24541002.5</v>
      </c>
      <c r="J263" s="647">
        <f>+J29</f>
        <v>25285879</v>
      </c>
      <c r="K263" s="647"/>
      <c r="L263" s="662">
        <f>+L29</f>
        <v>26391003</v>
      </c>
      <c r="M263" s="662">
        <f>+M29</f>
        <v>26909302</v>
      </c>
      <c r="O263" s="647">
        <f t="shared" ref="O263:Z263" si="45">+O29</f>
        <v>28630554</v>
      </c>
      <c r="P263" s="647">
        <f t="shared" si="45"/>
        <v>29926838</v>
      </c>
      <c r="Q263" s="647">
        <f t="shared" si="45"/>
        <v>29926838</v>
      </c>
      <c r="R263" s="647">
        <f t="shared" si="45"/>
        <v>29976893</v>
      </c>
      <c r="S263" s="647">
        <f t="shared" si="45"/>
        <v>25512855</v>
      </c>
      <c r="T263" s="647">
        <f t="shared" si="45"/>
        <v>300000</v>
      </c>
      <c r="U263" s="647">
        <f t="shared" si="45"/>
        <v>315349</v>
      </c>
      <c r="V263" s="647">
        <f t="shared" si="45"/>
        <v>300000</v>
      </c>
      <c r="W263" s="647">
        <f t="shared" si="45"/>
        <v>0</v>
      </c>
      <c r="X263" s="647">
        <f t="shared" si="45"/>
        <v>0</v>
      </c>
      <c r="Y263" s="647">
        <f t="shared" si="45"/>
        <v>3121724</v>
      </c>
      <c r="Z263" s="647">
        <f t="shared" si="45"/>
        <v>426965</v>
      </c>
      <c r="AB263" s="2"/>
    </row>
    <row r="264" spans="2:28" x14ac:dyDescent="0.2">
      <c r="B264" s="642" t="s">
        <v>782</v>
      </c>
      <c r="I264" s="647">
        <f t="shared" ref="I264:M264" si="46">-I259</f>
        <v>-23311292.300000001</v>
      </c>
      <c r="J264" s="647">
        <f t="shared" ref="J264" si="47">-J259</f>
        <v>-23815844.66</v>
      </c>
      <c r="K264" s="647"/>
      <c r="L264" s="662">
        <f t="shared" si="46"/>
        <v>-25150809.66</v>
      </c>
      <c r="M264" s="662">
        <f t="shared" si="46"/>
        <v>-27229440.449999999</v>
      </c>
      <c r="O264" s="647">
        <f t="shared" ref="O264" si="48">-O259</f>
        <v>-28204223</v>
      </c>
      <c r="P264" s="647">
        <f t="shared" ref="P264:Z264" si="49">-P259</f>
        <v>-29654979</v>
      </c>
      <c r="Q264" s="647">
        <f t="shared" ref="Q264" si="50">-Q259</f>
        <v>-29654979</v>
      </c>
      <c r="R264" s="647">
        <f t="shared" si="49"/>
        <v>-29654979</v>
      </c>
      <c r="S264" s="647">
        <f t="shared" si="49"/>
        <v>-25511440</v>
      </c>
      <c r="T264" s="647">
        <f t="shared" si="49"/>
        <v>-179401</v>
      </c>
      <c r="U264" s="647">
        <f t="shared" si="49"/>
        <v>-315349</v>
      </c>
      <c r="V264" s="647">
        <f t="shared" si="49"/>
        <v>-100000</v>
      </c>
      <c r="W264" s="647">
        <f t="shared" si="49"/>
        <v>0</v>
      </c>
      <c r="X264" s="647">
        <f t="shared" si="49"/>
        <v>0</v>
      </c>
      <c r="Y264" s="647">
        <f t="shared" si="49"/>
        <v>-3121724</v>
      </c>
      <c r="Z264" s="647">
        <f t="shared" si="49"/>
        <v>-426965</v>
      </c>
      <c r="AB264" s="2"/>
    </row>
    <row r="265" spans="2:28" x14ac:dyDescent="0.2">
      <c r="B265" s="646"/>
      <c r="C265" s="646"/>
      <c r="D265" s="646"/>
      <c r="E265" s="646"/>
      <c r="F265" s="646"/>
      <c r="G265" s="646"/>
      <c r="H265" s="646"/>
      <c r="I265" s="648"/>
      <c r="J265" s="648"/>
      <c r="K265" s="648"/>
      <c r="L265" s="664"/>
      <c r="M265" s="664"/>
      <c r="N265" s="664"/>
      <c r="O265" s="648"/>
      <c r="P265" s="648"/>
      <c r="Q265" s="648"/>
      <c r="R265" s="648"/>
      <c r="S265" s="648"/>
      <c r="T265" s="648"/>
      <c r="U265" s="648"/>
      <c r="V265" s="648"/>
      <c r="W265" s="648"/>
      <c r="X265" s="648"/>
      <c r="Y265" s="648"/>
      <c r="Z265" s="648"/>
      <c r="AB265" s="2"/>
    </row>
    <row r="266" spans="2:28" ht="15.75" thickBot="1" x14ac:dyDescent="0.25">
      <c r="B266" s="642" t="s">
        <v>784</v>
      </c>
      <c r="I266" s="658">
        <f t="shared" ref="I266:M266" si="51">SUM(I263:I265)</f>
        <v>1229710.1999999993</v>
      </c>
      <c r="J266" s="658">
        <f t="shared" si="51"/>
        <v>1470034.3399999999</v>
      </c>
      <c r="K266" s="658"/>
      <c r="L266" s="666">
        <f t="shared" si="51"/>
        <v>1240193.3399999999</v>
      </c>
      <c r="M266" s="666">
        <f t="shared" si="51"/>
        <v>-320138.44999999925</v>
      </c>
      <c r="N266" s="666"/>
      <c r="O266" s="658">
        <f t="shared" ref="O266" si="52">SUM(O263:O265)</f>
        <v>426331</v>
      </c>
      <c r="P266" s="658">
        <f t="shared" ref="P266:Z266" si="53">SUM(P263:P265)</f>
        <v>271859</v>
      </c>
      <c r="Q266" s="658">
        <f t="shared" ref="Q266" si="54">SUM(Q263:Q265)</f>
        <v>271859</v>
      </c>
      <c r="R266" s="658">
        <f t="shared" si="53"/>
        <v>321914</v>
      </c>
      <c r="S266" s="658">
        <f t="shared" si="53"/>
        <v>1415</v>
      </c>
      <c r="T266" s="658">
        <f t="shared" si="53"/>
        <v>120599</v>
      </c>
      <c r="U266" s="658">
        <f t="shared" si="53"/>
        <v>0</v>
      </c>
      <c r="V266" s="658">
        <f t="shared" si="53"/>
        <v>200000</v>
      </c>
      <c r="W266" s="658">
        <f t="shared" si="53"/>
        <v>0</v>
      </c>
      <c r="X266" s="658">
        <f t="shared" si="53"/>
        <v>0</v>
      </c>
      <c r="Y266" s="658">
        <f t="shared" si="53"/>
        <v>0</v>
      </c>
      <c r="Z266" s="658">
        <f t="shared" si="53"/>
        <v>0</v>
      </c>
      <c r="AB266" s="2"/>
    </row>
    <row r="267" spans="2:28" ht="15.75" thickTop="1" x14ac:dyDescent="0.2">
      <c r="AB267" s="2"/>
    </row>
    <row r="268" spans="2:28" ht="17.25" x14ac:dyDescent="0.35">
      <c r="L268" s="665"/>
      <c r="M268" s="665"/>
      <c r="N268" s="665"/>
      <c r="O268" s="665"/>
      <c r="R268" s="667"/>
      <c r="S268" s="646"/>
      <c r="V268" s="935"/>
      <c r="AA268" s="639"/>
    </row>
    <row r="269" spans="2:28" x14ac:dyDescent="0.2">
      <c r="B269" s="642" t="s">
        <v>785</v>
      </c>
      <c r="J269" s="1044"/>
      <c r="K269" s="1044"/>
      <c r="L269" s="1044"/>
      <c r="M269" s="1044"/>
      <c r="N269" s="1044"/>
      <c r="O269" s="1044"/>
      <c r="P269" s="1044"/>
      <c r="Q269" s="1044"/>
      <c r="R269" s="1044"/>
      <c r="S269" s="1044"/>
      <c r="AA269" s="639"/>
    </row>
    <row r="270" spans="2:28" x14ac:dyDescent="0.2">
      <c r="J270" s="1045"/>
      <c r="K270" s="1045"/>
      <c r="L270" s="1045"/>
      <c r="M270" s="1045"/>
      <c r="N270" s="1045"/>
      <c r="O270" s="1045"/>
      <c r="P270" s="1045"/>
      <c r="Q270" s="1045"/>
      <c r="R270" s="1045"/>
      <c r="S270" s="1045"/>
      <c r="AA270" s="639"/>
    </row>
    <row r="271" spans="2:28" x14ac:dyDescent="0.2">
      <c r="J271" s="974"/>
      <c r="K271" s="974"/>
      <c r="L271" s="974"/>
      <c r="M271" s="974"/>
      <c r="N271" s="974"/>
      <c r="O271" s="974"/>
      <c r="P271" s="974"/>
      <c r="Q271" s="974"/>
      <c r="R271" s="974"/>
      <c r="S271"/>
      <c r="AA271" s="639"/>
    </row>
    <row r="272" spans="2:28" x14ac:dyDescent="0.2">
      <c r="J272" s="974"/>
      <c r="K272" s="974"/>
      <c r="L272" s="974"/>
      <c r="M272" s="974"/>
      <c r="N272" s="974"/>
      <c r="O272" s="974"/>
      <c r="P272" s="974"/>
      <c r="Q272" s="974"/>
      <c r="R272" s="975"/>
      <c r="S272"/>
      <c r="AA272" s="639"/>
    </row>
    <row r="273" spans="2:27" ht="18.75" x14ac:dyDescent="0.2">
      <c r="B273" s="1164"/>
      <c r="C273" s="1034"/>
      <c r="D273" s="1034"/>
      <c r="E273" s="1034"/>
      <c r="F273" s="1034"/>
      <c r="G273" s="1034"/>
      <c r="H273" s="1034"/>
      <c r="I273" s="1034"/>
      <c r="J273" s="1165"/>
      <c r="K273" s="1165"/>
      <c r="L273" s="1165"/>
      <c r="M273" s="1165"/>
      <c r="N273" s="1165"/>
      <c r="O273" s="1165"/>
      <c r="P273" s="1030"/>
      <c r="Q273" s="1030"/>
      <c r="R273" s="975"/>
      <c r="S273"/>
      <c r="AA273" s="639"/>
    </row>
    <row r="274" spans="2:27" ht="18.75" x14ac:dyDescent="0.2">
      <c r="B274" s="1164"/>
      <c r="C274" s="1030"/>
      <c r="D274" s="1030"/>
      <c r="E274" s="1030"/>
      <c r="F274" s="1030"/>
      <c r="G274" s="1030"/>
      <c r="H274" s="1030"/>
      <c r="I274" s="1030"/>
      <c r="J274" s="1035"/>
      <c r="K274" s="1035"/>
      <c r="L274" s="1031"/>
      <c r="M274" s="1031"/>
      <c r="N274" s="1031"/>
      <c r="O274" s="1031"/>
      <c r="P274" s="1031"/>
      <c r="Q274" s="1031"/>
      <c r="R274" s="975"/>
      <c r="S274"/>
      <c r="AA274" s="639"/>
    </row>
    <row r="275" spans="2:27" ht="18.75" x14ac:dyDescent="0.2">
      <c r="B275" s="1036"/>
      <c r="C275" s="1037"/>
      <c r="D275" s="1037"/>
      <c r="E275" s="1037"/>
      <c r="F275" s="1037"/>
      <c r="G275" s="1037"/>
      <c r="H275" s="1037"/>
      <c r="I275" s="1037"/>
      <c r="J275" s="976"/>
      <c r="K275" s="976"/>
      <c r="L275" s="976"/>
      <c r="M275" s="976"/>
      <c r="N275" s="976"/>
      <c r="O275" s="976"/>
      <c r="P275" s="976"/>
      <c r="Q275" s="976"/>
      <c r="R275" s="975"/>
      <c r="S275"/>
      <c r="AA275" s="639"/>
    </row>
    <row r="276" spans="2:27" ht="18.75" x14ac:dyDescent="0.2">
      <c r="B276" s="1036"/>
      <c r="C276" s="1037"/>
      <c r="D276" s="1037"/>
      <c r="E276" s="1037"/>
      <c r="F276" s="1037"/>
      <c r="G276" s="1037"/>
      <c r="H276" s="1037"/>
      <c r="I276" s="1037"/>
      <c r="J276" s="976"/>
      <c r="K276" s="976"/>
      <c r="L276" s="976"/>
      <c r="M276" s="976"/>
      <c r="N276" s="976"/>
      <c r="O276" s="976"/>
      <c r="P276" s="976"/>
      <c r="Q276" s="976"/>
      <c r="R276" s="975"/>
      <c r="S276"/>
      <c r="V276" s="659"/>
      <c r="X276"/>
      <c r="AA276" s="639"/>
    </row>
    <row r="277" spans="2:27" ht="18.75" x14ac:dyDescent="0.2">
      <c r="B277" s="1036"/>
      <c r="C277" s="1037"/>
      <c r="D277" s="1037"/>
      <c r="E277" s="1037"/>
      <c r="F277" s="1037"/>
      <c r="G277" s="1037"/>
      <c r="H277" s="1037"/>
      <c r="I277" s="1037"/>
      <c r="J277" s="976"/>
      <c r="K277" s="976"/>
      <c r="L277" s="976"/>
      <c r="M277" s="976"/>
      <c r="N277" s="976"/>
      <c r="O277" s="976"/>
      <c r="P277" s="976"/>
      <c r="Q277" s="976"/>
      <c r="R277" s="975"/>
      <c r="S277"/>
      <c r="V277" s="659"/>
      <c r="X277"/>
      <c r="AA277" s="639"/>
    </row>
    <row r="278" spans="2:27" ht="18.75" x14ac:dyDescent="0.2">
      <c r="B278" s="1036"/>
      <c r="C278" s="1037"/>
      <c r="D278" s="1037"/>
      <c r="E278" s="1037"/>
      <c r="F278" s="1037"/>
      <c r="G278" s="1037"/>
      <c r="H278" s="1037"/>
      <c r="I278" s="1037"/>
      <c r="J278" s="976"/>
      <c r="K278" s="976"/>
      <c r="L278" s="976"/>
      <c r="M278" s="976"/>
      <c r="N278" s="976"/>
      <c r="O278" s="976"/>
      <c r="P278" s="976"/>
      <c r="Q278" s="976"/>
      <c r="R278" s="975"/>
      <c r="S278"/>
      <c r="V278" s="659"/>
      <c r="X278"/>
      <c r="AA278" s="639"/>
    </row>
    <row r="279" spans="2:27" ht="18.75" x14ac:dyDescent="0.2">
      <c r="B279" s="1036"/>
      <c r="C279" s="1037"/>
      <c r="D279" s="1037"/>
      <c r="E279" s="1037"/>
      <c r="F279" s="1037"/>
      <c r="G279" s="1037"/>
      <c r="H279" s="1037"/>
      <c r="I279" s="1037"/>
      <c r="J279" s="976"/>
      <c r="K279" s="976"/>
      <c r="L279" s="976"/>
      <c r="M279" s="976"/>
      <c r="N279" s="976"/>
      <c r="O279" s="976"/>
      <c r="P279" s="976"/>
      <c r="Q279" s="976"/>
      <c r="R279" s="975"/>
      <c r="S279"/>
      <c r="V279" s="659"/>
      <c r="X279"/>
      <c r="AA279" s="639"/>
    </row>
    <row r="280" spans="2:27" ht="18.75" x14ac:dyDescent="0.2">
      <c r="B280" s="1036"/>
      <c r="C280" s="1037"/>
      <c r="D280" s="1037"/>
      <c r="E280" s="1037"/>
      <c r="F280" s="1037"/>
      <c r="G280" s="1037"/>
      <c r="H280" s="1037"/>
      <c r="I280" s="1037"/>
      <c r="J280" s="976"/>
      <c r="K280" s="976"/>
      <c r="L280" s="976"/>
      <c r="M280" s="976"/>
      <c r="N280" s="976"/>
      <c r="O280" s="976"/>
      <c r="P280" s="976"/>
      <c r="Q280" s="976"/>
      <c r="R280" s="975"/>
      <c r="S280"/>
      <c r="V280" s="659"/>
      <c r="AA280" s="639"/>
    </row>
    <row r="281" spans="2:27" ht="18.75" x14ac:dyDescent="0.2">
      <c r="B281" s="1036"/>
      <c r="C281" s="1037"/>
      <c r="D281" s="1037"/>
      <c r="E281" s="1037"/>
      <c r="F281" s="1037"/>
      <c r="G281" s="1037"/>
      <c r="H281" s="1037"/>
      <c r="I281" s="1037"/>
      <c r="J281" s="976"/>
      <c r="K281" s="976"/>
      <c r="L281" s="976"/>
      <c r="M281" s="976"/>
      <c r="N281" s="976"/>
      <c r="O281" s="976"/>
      <c r="P281" s="976"/>
      <c r="Q281" s="976"/>
      <c r="R281" s="975"/>
      <c r="S281"/>
      <c r="T281" s="964"/>
      <c r="U281" s="965"/>
      <c r="AA281" s="639"/>
    </row>
    <row r="282" spans="2:27" ht="18.75" x14ac:dyDescent="0.2">
      <c r="B282" s="1036"/>
      <c r="C282" s="1037"/>
      <c r="D282" s="1037"/>
      <c r="E282" s="1037"/>
      <c r="F282" s="1037"/>
      <c r="G282" s="1037"/>
      <c r="H282" s="1037"/>
      <c r="I282" s="1037"/>
      <c r="J282" s="976"/>
      <c r="K282" s="976"/>
      <c r="L282" s="976"/>
      <c r="M282" s="976"/>
      <c r="N282" s="976"/>
      <c r="O282" s="976"/>
      <c r="P282" s="976"/>
      <c r="Q282" s="976"/>
      <c r="R282" s="975"/>
      <c r="S282" s="650"/>
      <c r="T282" s="970"/>
      <c r="U282" s="971"/>
      <c r="V282" s="966"/>
      <c r="AA282" s="639"/>
    </row>
    <row r="283" spans="2:27" ht="18.75" x14ac:dyDescent="0.2">
      <c r="B283" s="1036"/>
      <c r="C283" s="1037"/>
      <c r="D283" s="1037"/>
      <c r="E283" s="1037"/>
      <c r="F283" s="1037"/>
      <c r="G283" s="1037"/>
      <c r="H283" s="1037"/>
      <c r="I283" s="1037"/>
      <c r="J283" s="976"/>
      <c r="K283" s="976"/>
      <c r="L283" s="976"/>
      <c r="M283" s="976"/>
      <c r="N283" s="976"/>
      <c r="O283" s="976"/>
      <c r="P283" s="976"/>
      <c r="Q283" s="976"/>
      <c r="R283" s="975"/>
      <c r="S283" s="650"/>
      <c r="T283" s="970"/>
      <c r="U283" s="971"/>
      <c r="V283" s="966"/>
      <c r="AA283" s="639"/>
    </row>
    <row r="284" spans="2:27" ht="18.75" x14ac:dyDescent="0.2">
      <c r="B284" s="1036"/>
      <c r="C284" s="1037"/>
      <c r="D284" s="1037"/>
      <c r="E284" s="1037"/>
      <c r="F284" s="1037"/>
      <c r="G284" s="1037"/>
      <c r="H284" s="1037"/>
      <c r="I284" s="1037"/>
      <c r="J284" s="976"/>
      <c r="K284" s="976"/>
      <c r="L284" s="976"/>
      <c r="M284" s="976"/>
      <c r="N284" s="976"/>
      <c r="O284" s="976"/>
      <c r="P284" s="976"/>
      <c r="Q284" s="976"/>
      <c r="R284" s="977"/>
      <c r="S284" s="650"/>
      <c r="T284" s="970"/>
      <c r="U284" s="971"/>
      <c r="AA284" s="639"/>
    </row>
    <row r="285" spans="2:27" ht="18.75" x14ac:dyDescent="0.2">
      <c r="B285" s="1036"/>
      <c r="C285" s="1037"/>
      <c r="D285" s="1037"/>
      <c r="E285" s="1037"/>
      <c r="F285" s="1037"/>
      <c r="G285" s="1037"/>
      <c r="H285" s="1037"/>
      <c r="I285" s="1037"/>
      <c r="J285" s="976"/>
      <c r="K285" s="976"/>
      <c r="L285" s="976"/>
      <c r="M285" s="976"/>
      <c r="N285" s="976"/>
      <c r="O285" s="976"/>
      <c r="P285" s="976"/>
      <c r="Q285" s="976"/>
      <c r="R285" s="977"/>
      <c r="S285" s="650"/>
      <c r="T285" s="970"/>
      <c r="U285" s="972"/>
      <c r="AA285" s="639"/>
    </row>
    <row r="286" spans="2:27" ht="18.75" x14ac:dyDescent="0.2">
      <c r="B286" s="1036"/>
      <c r="C286" s="1037"/>
      <c r="D286" s="1037"/>
      <c r="E286" s="1037"/>
      <c r="F286" s="1037"/>
      <c r="G286" s="1037"/>
      <c r="H286" s="1037"/>
      <c r="I286" s="1037"/>
      <c r="J286" s="976"/>
      <c r="K286" s="976"/>
      <c r="L286" s="976"/>
      <c r="M286" s="976"/>
      <c r="N286" s="976"/>
      <c r="O286" s="976"/>
      <c r="P286" s="976"/>
      <c r="Q286" s="976"/>
      <c r="R286" s="977"/>
      <c r="S286" s="650"/>
      <c r="T286" s="970"/>
      <c r="U286" s="971"/>
      <c r="V286" s="966"/>
      <c r="AA286" s="639"/>
    </row>
    <row r="287" spans="2:27" ht="12.6" customHeight="1" x14ac:dyDescent="0.2">
      <c r="B287" s="1036"/>
      <c r="C287" s="1037"/>
      <c r="D287" s="1037"/>
      <c r="E287" s="1037"/>
      <c r="F287" s="1037"/>
      <c r="G287" s="1037"/>
      <c r="H287" s="1037"/>
      <c r="I287" s="1037"/>
      <c r="J287" s="976"/>
      <c r="K287" s="976"/>
      <c r="L287" s="976"/>
      <c r="M287" s="976"/>
      <c r="N287" s="976"/>
      <c r="O287" s="976"/>
      <c r="P287" s="976"/>
      <c r="Q287" s="976"/>
      <c r="R287" s="977"/>
      <c r="S287" s="659"/>
      <c r="T287" s="970"/>
      <c r="U287" s="971"/>
      <c r="V287" s="966"/>
      <c r="AA287" s="640"/>
    </row>
    <row r="288" spans="2:27" ht="12.6" customHeight="1" x14ac:dyDescent="0.2">
      <c r="B288" s="1036"/>
      <c r="C288" s="1037"/>
      <c r="D288" s="1037"/>
      <c r="E288" s="1037"/>
      <c r="F288" s="1037"/>
      <c r="G288" s="1037"/>
      <c r="H288" s="1037"/>
      <c r="I288" s="1037"/>
      <c r="J288" s="976"/>
      <c r="K288" s="976"/>
      <c r="L288" s="976"/>
      <c r="M288" s="976"/>
      <c r="N288" s="976"/>
      <c r="O288" s="976"/>
      <c r="P288" s="976"/>
      <c r="Q288" s="976"/>
      <c r="R288" s="977"/>
      <c r="S288" s="659"/>
      <c r="T288"/>
      <c r="U288"/>
      <c r="AA288" s="640"/>
    </row>
    <row r="289" spans="2:27" ht="12.6" customHeight="1" x14ac:dyDescent="0.2">
      <c r="B289" s="1036"/>
      <c r="C289" s="1037"/>
      <c r="D289" s="1037"/>
      <c r="E289" s="1037"/>
      <c r="F289" s="1037"/>
      <c r="G289" s="1037"/>
      <c r="H289" s="1037"/>
      <c r="I289" s="1037"/>
      <c r="J289" s="976"/>
      <c r="K289" s="976"/>
      <c r="L289" s="976"/>
      <c r="M289" s="976"/>
      <c r="N289" s="976"/>
      <c r="O289" s="976"/>
      <c r="P289" s="976"/>
      <c r="Q289" s="976"/>
      <c r="R289" s="978"/>
      <c r="S289" s="659"/>
      <c r="T289" s="970"/>
      <c r="U289" s="972"/>
      <c r="AA289" s="640"/>
    </row>
    <row r="290" spans="2:27" ht="12.6" customHeight="1" x14ac:dyDescent="0.2">
      <c r="B290" s="1037"/>
      <c r="C290" s="1037"/>
      <c r="D290" s="1037"/>
      <c r="E290" s="1037"/>
      <c r="F290" s="1037"/>
      <c r="G290" s="1037"/>
      <c r="H290" s="1037"/>
      <c r="I290" s="1037"/>
      <c r="J290" s="976"/>
      <c r="K290" s="976"/>
      <c r="L290" s="976"/>
      <c r="M290" s="976"/>
      <c r="N290" s="976"/>
      <c r="O290" s="976"/>
      <c r="P290" s="976"/>
      <c r="Q290" s="976"/>
      <c r="R290" s="978"/>
      <c r="S290" s="659"/>
      <c r="T290" s="970"/>
      <c r="U290" s="971"/>
      <c r="V290" s="966"/>
      <c r="AA290" s="640"/>
    </row>
    <row r="291" spans="2:27" ht="12.6" customHeight="1" x14ac:dyDescent="0.2">
      <c r="B291" s="1037"/>
      <c r="C291" s="1037"/>
      <c r="D291" s="1037"/>
      <c r="E291" s="1037"/>
      <c r="F291" s="1037"/>
      <c r="G291" s="1037"/>
      <c r="H291" s="1037"/>
      <c r="I291" s="1037"/>
      <c r="J291" s="1037"/>
      <c r="K291" s="1037"/>
      <c r="L291" s="976"/>
      <c r="M291" s="976"/>
      <c r="N291" s="976"/>
      <c r="O291" s="976"/>
      <c r="P291" s="979"/>
      <c r="Q291" s="979"/>
      <c r="R291" s="978"/>
      <c r="S291" s="659"/>
      <c r="T291" s="970"/>
      <c r="U291" s="971"/>
      <c r="V291" s="966"/>
      <c r="AA291" s="640"/>
    </row>
    <row r="292" spans="2:27" ht="12.6" customHeight="1" x14ac:dyDescent="0.2">
      <c r="B292" s="1037"/>
      <c r="C292" s="1037"/>
      <c r="D292" s="1037"/>
      <c r="E292" s="1037"/>
      <c r="F292" s="1037"/>
      <c r="G292" s="1037"/>
      <c r="H292" s="1037"/>
      <c r="I292" s="1037"/>
      <c r="J292" s="1035"/>
      <c r="K292" s="1035"/>
      <c r="L292" s="1031"/>
      <c r="M292" s="1031"/>
      <c r="N292" s="1031"/>
      <c r="O292" s="1032"/>
      <c r="P292" s="1032"/>
      <c r="Q292" s="1032"/>
      <c r="R292" s="978"/>
      <c r="S292" s="659"/>
      <c r="T292"/>
      <c r="U292"/>
      <c r="AA292" s="640"/>
    </row>
    <row r="293" spans="2:27" ht="12.6" customHeight="1" x14ac:dyDescent="0.2">
      <c r="B293" s="1036"/>
      <c r="C293" s="1037"/>
      <c r="D293" s="1037"/>
      <c r="E293" s="1037"/>
      <c r="F293" s="1037"/>
      <c r="G293" s="1037"/>
      <c r="H293" s="1037"/>
      <c r="I293" s="1037"/>
      <c r="J293" s="976"/>
      <c r="K293" s="976"/>
      <c r="L293" s="976"/>
      <c r="M293" s="976"/>
      <c r="N293" s="976"/>
      <c r="O293" s="976"/>
      <c r="P293" s="976"/>
      <c r="Q293" s="976"/>
      <c r="R293" s="978"/>
      <c r="S293" s="659"/>
      <c r="T293" s="970"/>
      <c r="U293" s="972"/>
      <c r="AA293" s="640"/>
    </row>
    <row r="294" spans="2:27" ht="12.6" customHeight="1" x14ac:dyDescent="0.2">
      <c r="B294" s="1037"/>
      <c r="C294" s="1037"/>
      <c r="D294" s="1037"/>
      <c r="E294" s="1037"/>
      <c r="F294" s="1037"/>
      <c r="G294" s="1037"/>
      <c r="H294" s="1037"/>
      <c r="I294" s="1037"/>
      <c r="J294" s="976"/>
      <c r="K294" s="976"/>
      <c r="L294" s="976"/>
      <c r="M294" s="976"/>
      <c r="N294" s="976"/>
      <c r="O294" s="976"/>
      <c r="P294" s="976"/>
      <c r="Q294" s="976"/>
      <c r="R294" s="978"/>
      <c r="S294" s="659"/>
      <c r="T294" s="970"/>
      <c r="U294" s="971"/>
      <c r="V294" s="966"/>
      <c r="AA294" s="640"/>
    </row>
    <row r="295" spans="2:27" ht="12.6" customHeight="1" x14ac:dyDescent="0.2">
      <c r="B295" s="1036"/>
      <c r="C295" s="1037"/>
      <c r="D295" s="1037"/>
      <c r="E295" s="1037"/>
      <c r="F295" s="1037"/>
      <c r="G295" s="1037"/>
      <c r="H295" s="1037"/>
      <c r="I295" s="1037"/>
      <c r="J295" s="976"/>
      <c r="K295" s="976"/>
      <c r="L295" s="976"/>
      <c r="M295" s="976"/>
      <c r="N295" s="976"/>
      <c r="O295" s="976"/>
      <c r="P295" s="976"/>
      <c r="Q295" s="976"/>
      <c r="R295" s="978"/>
      <c r="S295" s="659"/>
      <c r="T295" s="970"/>
      <c r="U295" s="971"/>
      <c r="V295" s="966"/>
      <c r="AA295" s="640"/>
    </row>
    <row r="296" spans="2:27" ht="12.6" customHeight="1" x14ac:dyDescent="0.2">
      <c r="L296" s="667"/>
      <c r="M296" s="667"/>
      <c r="N296" s="667"/>
      <c r="O296" s="646"/>
      <c r="R296" s="659"/>
      <c r="S296" s="659"/>
      <c r="AA296" s="640"/>
    </row>
    <row r="297" spans="2:27" x14ac:dyDescent="0.2">
      <c r="L297" s="667"/>
      <c r="M297" s="667"/>
      <c r="N297" s="667"/>
      <c r="O297" s="667"/>
      <c r="P297" s="642"/>
      <c r="Q297" s="642"/>
      <c r="R297" s="642"/>
      <c r="S297" s="642"/>
      <c r="T297" s="970"/>
      <c r="U297" s="972"/>
      <c r="AA297" s="639"/>
    </row>
    <row r="298" spans="2:27" x14ac:dyDescent="0.2">
      <c r="L298" s="667"/>
      <c r="M298" s="667"/>
      <c r="N298" s="667"/>
      <c r="O298" s="646"/>
      <c r="P298" s="642"/>
      <c r="Q298" s="642"/>
      <c r="R298" s="969"/>
      <c r="S298" s="642"/>
      <c r="T298" s="970"/>
      <c r="U298" s="971"/>
      <c r="V298" s="966"/>
      <c r="AA298" s="639"/>
    </row>
    <row r="299" spans="2:27" x14ac:dyDescent="0.2">
      <c r="L299" s="667"/>
      <c r="M299" s="667"/>
      <c r="N299" s="667"/>
      <c r="O299" s="646"/>
      <c r="P299" s="642"/>
      <c r="Q299" s="642"/>
      <c r="R299" s="969"/>
      <c r="S299" s="642"/>
      <c r="T299" s="970"/>
      <c r="U299" s="971"/>
      <c r="AA299" s="639"/>
    </row>
    <row r="300" spans="2:27" x14ac:dyDescent="0.2">
      <c r="L300" s="667"/>
      <c r="M300" s="667"/>
      <c r="N300" s="667"/>
      <c r="O300" s="667"/>
      <c r="R300" s="659"/>
      <c r="S300" s="659"/>
      <c r="AA300" s="639"/>
    </row>
    <row r="301" spans="2:27" x14ac:dyDescent="0.2">
      <c r="L301" s="667"/>
      <c r="M301" s="667"/>
      <c r="N301" s="667"/>
      <c r="O301" s="667"/>
      <c r="R301" s="659"/>
      <c r="S301" s="659"/>
      <c r="AA301" s="639"/>
    </row>
    <row r="302" spans="2:27" x14ac:dyDescent="0.2">
      <c r="L302" s="667"/>
      <c r="M302" s="667"/>
      <c r="N302" s="667"/>
      <c r="O302" s="667"/>
      <c r="R302" s="659"/>
      <c r="S302" s="659"/>
      <c r="AA302" s="639"/>
    </row>
    <row r="303" spans="2:27" x14ac:dyDescent="0.2">
      <c r="L303" s="667"/>
      <c r="M303" s="667"/>
      <c r="N303" s="667"/>
      <c r="O303" s="667"/>
      <c r="R303" s="659"/>
      <c r="S303" s="659"/>
      <c r="AA303" s="639"/>
    </row>
    <row r="304" spans="2:27" ht="15.75" x14ac:dyDescent="0.25">
      <c r="B304" s="660"/>
      <c r="C304" s="660"/>
      <c r="D304" s="660"/>
      <c r="E304" s="660"/>
      <c r="F304" s="660"/>
      <c r="G304" s="660"/>
      <c r="H304" s="660"/>
      <c r="I304" s="660"/>
      <c r="J304" s="660"/>
      <c r="K304" s="660"/>
      <c r="L304" s="973"/>
      <c r="M304" s="973"/>
      <c r="N304" s="973"/>
      <c r="O304" s="973"/>
      <c r="R304" s="659"/>
      <c r="S304" s="659"/>
      <c r="AA304" s="639"/>
    </row>
    <row r="305" spans="12:27" x14ac:dyDescent="0.2">
      <c r="L305" s="667"/>
      <c r="M305" s="667"/>
      <c r="N305" s="667"/>
      <c r="O305" s="667"/>
      <c r="R305" s="659"/>
      <c r="S305" s="659"/>
      <c r="AA305" s="639"/>
    </row>
    <row r="306" spans="12:27" x14ac:dyDescent="0.2">
      <c r="L306" s="665"/>
      <c r="M306" s="665"/>
      <c r="N306" s="665"/>
      <c r="O306" s="665"/>
      <c r="R306" s="650"/>
      <c r="S306" s="650"/>
      <c r="AA306" s="639"/>
    </row>
    <row r="307" spans="12:27" x14ac:dyDescent="0.2">
      <c r="L307" s="665"/>
      <c r="M307" s="665"/>
      <c r="N307" s="665"/>
      <c r="O307" s="665"/>
      <c r="R307" s="650"/>
      <c r="S307" s="650"/>
      <c r="AA307" s="639"/>
    </row>
    <row r="308" spans="12:27" x14ac:dyDescent="0.2">
      <c r="L308" s="665"/>
      <c r="M308" s="665"/>
      <c r="N308" s="665"/>
      <c r="O308" s="665"/>
      <c r="R308" s="650"/>
      <c r="S308" s="650"/>
      <c r="AA308" s="639"/>
    </row>
    <row r="309" spans="12:27" x14ac:dyDescent="0.2">
      <c r="L309" s="665"/>
      <c r="M309" s="665"/>
      <c r="N309" s="665"/>
      <c r="O309" s="665"/>
      <c r="R309" s="650"/>
      <c r="S309" s="650"/>
      <c r="AA309" s="639"/>
    </row>
    <row r="310" spans="12:27" x14ac:dyDescent="0.2">
      <c r="L310" s="665"/>
      <c r="M310" s="665"/>
      <c r="N310" s="665"/>
      <c r="O310" s="665"/>
      <c r="R310" s="650"/>
      <c r="S310" s="650"/>
      <c r="AA310" s="639"/>
    </row>
    <row r="311" spans="12:27" x14ac:dyDescent="0.2">
      <c r="L311" s="665"/>
      <c r="M311" s="665"/>
      <c r="N311" s="665"/>
      <c r="O311" s="665"/>
      <c r="R311" s="650"/>
      <c r="S311" s="650"/>
      <c r="AA311" s="639"/>
    </row>
    <row r="312" spans="12:27" x14ac:dyDescent="0.2">
      <c r="L312" s="665"/>
      <c r="M312" s="665"/>
      <c r="N312" s="665"/>
      <c r="O312" s="665"/>
      <c r="R312" s="650"/>
      <c r="S312" s="650"/>
      <c r="AA312" s="639"/>
    </row>
    <row r="313" spans="12:27" x14ac:dyDescent="0.2">
      <c r="L313" s="665"/>
      <c r="M313" s="665"/>
      <c r="N313" s="665"/>
      <c r="O313" s="665"/>
      <c r="R313" s="650"/>
      <c r="S313" s="650"/>
      <c r="AA313" s="639"/>
    </row>
    <row r="314" spans="12:27" x14ac:dyDescent="0.2">
      <c r="L314" s="665"/>
      <c r="M314" s="665"/>
      <c r="N314" s="665"/>
      <c r="O314" s="665"/>
      <c r="R314" s="650"/>
      <c r="S314" s="650"/>
      <c r="AA314" s="639"/>
    </row>
    <row r="315" spans="12:27" x14ac:dyDescent="0.2">
      <c r="L315" s="665"/>
      <c r="M315" s="665"/>
      <c r="N315" s="665"/>
      <c r="O315" s="665"/>
      <c r="R315" s="650"/>
      <c r="S315" s="650"/>
      <c r="AA315" s="639"/>
    </row>
    <row r="316" spans="12:27" x14ac:dyDescent="0.2">
      <c r="L316" s="665"/>
      <c r="M316" s="665"/>
      <c r="N316" s="665"/>
      <c r="O316" s="665"/>
      <c r="R316" s="650"/>
      <c r="S316" s="650"/>
      <c r="AA316" s="639"/>
    </row>
    <row r="317" spans="12:27" x14ac:dyDescent="0.2">
      <c r="L317" s="665"/>
      <c r="M317" s="665"/>
      <c r="N317" s="665"/>
      <c r="O317" s="665"/>
      <c r="R317" s="650"/>
      <c r="S317" s="650"/>
      <c r="AA317" s="639"/>
    </row>
    <row r="318" spans="12:27" x14ac:dyDescent="0.2">
      <c r="L318" s="665"/>
      <c r="M318" s="665"/>
      <c r="N318" s="665"/>
      <c r="O318" s="665"/>
      <c r="R318" s="650"/>
      <c r="S318" s="650"/>
      <c r="AA318" s="639"/>
    </row>
    <row r="319" spans="12:27" x14ac:dyDescent="0.2">
      <c r="L319" s="665"/>
      <c r="M319" s="665"/>
      <c r="N319" s="665"/>
      <c r="O319" s="665"/>
      <c r="R319" s="650"/>
      <c r="S319" s="650"/>
      <c r="AA319" s="639"/>
    </row>
    <row r="320" spans="12:27" x14ac:dyDescent="0.2">
      <c r="L320" s="665"/>
      <c r="M320" s="665"/>
      <c r="N320" s="665"/>
      <c r="O320" s="665"/>
      <c r="R320" s="650"/>
      <c r="S320" s="650"/>
      <c r="AA320" s="639"/>
    </row>
    <row r="321" spans="12:27" x14ac:dyDescent="0.2">
      <c r="L321" s="665"/>
      <c r="M321" s="665"/>
      <c r="N321" s="665"/>
      <c r="O321" s="665"/>
      <c r="R321" s="650"/>
      <c r="S321" s="650"/>
      <c r="AA321" s="639"/>
    </row>
    <row r="322" spans="12:27" x14ac:dyDescent="0.2">
      <c r="L322" s="665"/>
      <c r="M322" s="665"/>
      <c r="N322" s="665"/>
      <c r="O322" s="665"/>
      <c r="R322" s="650"/>
      <c r="S322" s="650"/>
      <c r="AA322" s="639"/>
    </row>
    <row r="323" spans="12:27" x14ac:dyDescent="0.2">
      <c r="L323" s="665"/>
      <c r="M323" s="665"/>
      <c r="N323" s="665"/>
      <c r="O323" s="665"/>
      <c r="R323" s="650"/>
      <c r="S323" s="650"/>
      <c r="AA323" s="639"/>
    </row>
    <row r="324" spans="12:27" x14ac:dyDescent="0.2">
      <c r="L324" s="665"/>
      <c r="M324" s="665"/>
      <c r="N324" s="665"/>
      <c r="O324" s="665"/>
      <c r="R324" s="650"/>
      <c r="S324" s="650"/>
      <c r="AA324" s="639"/>
    </row>
    <row r="325" spans="12:27" x14ac:dyDescent="0.2">
      <c r="L325" s="665"/>
      <c r="M325" s="665"/>
      <c r="N325" s="665"/>
      <c r="O325" s="665"/>
      <c r="R325" s="650"/>
      <c r="S325" s="650"/>
      <c r="AA325" s="639"/>
    </row>
    <row r="326" spans="12:27" x14ac:dyDescent="0.2">
      <c r="L326" s="665"/>
      <c r="M326" s="665"/>
      <c r="N326" s="665"/>
      <c r="O326" s="665"/>
      <c r="R326" s="650"/>
      <c r="S326" s="650"/>
      <c r="AA326" s="639"/>
    </row>
    <row r="327" spans="12:27" x14ac:dyDescent="0.2">
      <c r="L327" s="665"/>
      <c r="M327" s="665"/>
      <c r="N327" s="665"/>
      <c r="O327" s="665"/>
      <c r="R327" s="650"/>
      <c r="S327" s="650"/>
      <c r="AA327" s="639"/>
    </row>
    <row r="328" spans="12:27" x14ac:dyDescent="0.2">
      <c r="L328" s="665"/>
      <c r="M328" s="665"/>
      <c r="N328" s="665"/>
      <c r="O328" s="665"/>
      <c r="R328" s="650"/>
      <c r="S328" s="650"/>
      <c r="AA328" s="639"/>
    </row>
    <row r="329" spans="12:27" x14ac:dyDescent="0.2">
      <c r="L329" s="665"/>
      <c r="M329" s="665"/>
      <c r="N329" s="665"/>
      <c r="O329" s="665"/>
      <c r="R329" s="650"/>
      <c r="S329" s="650"/>
      <c r="AA329" s="639"/>
    </row>
    <row r="330" spans="12:27" x14ac:dyDescent="0.2">
      <c r="L330" s="665"/>
      <c r="M330" s="665"/>
      <c r="N330" s="665"/>
      <c r="O330" s="665"/>
      <c r="R330" s="650"/>
      <c r="S330" s="650"/>
      <c r="AA330" s="639"/>
    </row>
  </sheetData>
  <mergeCells count="2">
    <mergeCell ref="B273:B274"/>
    <mergeCell ref="J273:O273"/>
  </mergeCells>
  <phoneticPr fontId="0" type="noConversion"/>
  <hyperlinks>
    <hyperlink ref="A38" location="'113 Town Mtg'!Print_Area" display="'113 Town Mtg'!Print_Area" xr:uid="{00000000-0004-0000-0800-000000000000}"/>
    <hyperlink ref="A39" location="'122 Selectboard'!Print_Area" display="'122 Selectboard'!Print_Area" xr:uid="{00000000-0004-0000-0800-000001000000}"/>
    <hyperlink ref="A40" location="'131 Fin Comm'!A1" display="'131 Fin Comm'!A1" xr:uid="{00000000-0004-0000-0800-000002000000}"/>
    <hyperlink ref="A41" location="'132 Reserve Fund'!A1" display="'132 Reserve Fund'!A1" xr:uid="{00000000-0004-0000-0800-000003000000}"/>
    <hyperlink ref="A42" location="'135 Acct'!A1" display="'135 Acct'!A1" xr:uid="{00000000-0004-0000-0800-000004000000}"/>
    <hyperlink ref="A43" location="'141 BOA'!A1" display="'141 BOA'!A1" xr:uid="{00000000-0004-0000-0800-000005000000}"/>
    <hyperlink ref="A44" location="'141 BOA'!A1" display="'141 BOA'!A1" xr:uid="{00000000-0004-0000-0800-000006000000}"/>
    <hyperlink ref="A45" location="'145 Treas'!A1" display="'145 Treas'!A1" xr:uid="{00000000-0004-0000-0800-000007000000}"/>
    <hyperlink ref="A46" location="'151 Counsel'!A1" display="'151 Counsel'!A1" xr:uid="{00000000-0004-0000-0800-000008000000}"/>
    <hyperlink ref="A47" location="'155 IT'!A1" display="'155 IT'!A1" xr:uid="{00000000-0004-0000-0800-000009000000}"/>
    <hyperlink ref="A48" location="'159 Shared Costs'!A1" display="'159 Shared Costs'!A1" xr:uid="{00000000-0004-0000-0800-00000A000000}"/>
    <hyperlink ref="A49" location="'161 Clerk'!A1" display="'161 Clerk'!A1" xr:uid="{00000000-0004-0000-0800-00000B000000}"/>
    <hyperlink ref="A50" location="'175 Planning'!A1" display="'175 Planning'!A1" xr:uid="{00000000-0004-0000-0800-00000C000000}"/>
    <hyperlink ref="A51" location="'176 ZBA'!A1" display="'176 ZBA'!A1" xr:uid="{00000000-0004-0000-0800-00000D000000}"/>
    <hyperlink ref="A53" location="'182 MEDIC'!A1" display="'182 MEDIC'!A1" xr:uid="{00000000-0004-0000-0800-00000E000000}"/>
    <hyperlink ref="A52" location="'190 Publ Bldg Utilities'!A1" display="'190 Publ Bldg Utilities'!A1" xr:uid="{00000000-0004-0000-0800-00000F000000}"/>
    <hyperlink ref="A58" location="'Working Budget with funding det'!A1" display="'Working Budget with funding det'!A1" xr:uid="{00000000-0004-0000-0800-000010000000}"/>
    <hyperlink ref="A59" location="'211 Police'!A1" display="'211 Police'!A1" xr:uid="{00000000-0004-0000-0800-000011000000}"/>
    <hyperlink ref="A60" location="'Working Budget with funding det'!A1" display="'Working Budget with funding det'!A1" xr:uid="{00000000-0004-0000-0800-000012000000}"/>
    <hyperlink ref="A61" location="'241 Bldg'!A1" display="'241 Bldg'!A1" xr:uid="{00000000-0004-0000-0800-000013000000}"/>
    <hyperlink ref="A62" location="'Working Budget with funding det'!A1" display="'Working Budget with funding det'!A1" xr:uid="{00000000-0004-0000-0800-000014000000}"/>
    <hyperlink ref="A63" location="'291 Emergency'!A1" display="'291 Emergency'!A1" xr:uid="{00000000-0004-0000-0800-000015000000}"/>
    <hyperlink ref="A64" location="'292 Animal'!A1" display="'292 Animal'!A1" xr:uid="{00000000-0004-0000-0800-000016000000}"/>
    <hyperlink ref="A66" location="'294 Forest Warden'!A1" display="'294 Forest Warden'!A1" xr:uid="{00000000-0004-0000-0800-000017000000}"/>
    <hyperlink ref="A67" location="'299 Tree Warden'!A1" display="'299 Tree Warden'!A1" xr:uid="{00000000-0004-0000-0800-000018000000}"/>
    <hyperlink ref="A72" location="'420 DPW'!A1" display="'420 DPW'!A1" xr:uid="{00000000-0004-0000-0800-000019000000}"/>
    <hyperlink ref="A74" location="'423 Snow'!A1" display="'423 Snow'!A1" xr:uid="{00000000-0004-0000-0800-00001A000000}"/>
    <hyperlink ref="A75" location="'433 Solid Waste'!A1" display="'433 Solid Waste'!A1" xr:uid="{00000000-0004-0000-0800-00001B000000}"/>
    <hyperlink ref="A77" location="'491 Cemetery'!A1" display="'491 Cemetery'!A1" xr:uid="{00000000-0004-0000-0800-00001C000000}"/>
    <hyperlink ref="A83" location="'511 BOH'!A1" display="'511 BOH'!A1" xr:uid="{00000000-0004-0000-0800-00001D000000}"/>
    <hyperlink ref="A84" location="'541 COA'!A1" display="'541 COA'!A1" xr:uid="{00000000-0004-0000-0800-00001E000000}"/>
    <hyperlink ref="A85" location="'543 Vets'!Print_Area" display="'543 Vets'!Print_Area" xr:uid="{00000000-0004-0000-0800-00001F000000}"/>
    <hyperlink ref="A90" location="'610 Library'!A1" display="'610 Library'!A1" xr:uid="{00000000-0004-0000-0800-000020000000}"/>
    <hyperlink ref="A91" location="'630 Recreation'!A1" display="'630 Recreation'!A1" xr:uid="{00000000-0004-0000-0800-000021000000}"/>
    <hyperlink ref="A92" location="'691 Historical Comm'!A1" display="'691 Historical Comm'!A1" xr:uid="{00000000-0004-0000-0800-000022000000}"/>
    <hyperlink ref="A93" location="'693 Memorials'!A1" display="'693 Memorials'!A1" xr:uid="{00000000-0004-0000-0800-000023000000}"/>
    <hyperlink ref="A98" location="'700 Debt '!A1" display="'700 Debt '!A1" xr:uid="{00000000-0004-0000-0800-000024000000}"/>
    <hyperlink ref="A101" location="'840 Intergovt'!A1" display="'840 Intergovt'!A1" xr:uid="{00000000-0004-0000-0800-000025000000}"/>
    <hyperlink ref="A104" location="'910 Benefits'!A1" display="'910 Benefits'!A1" xr:uid="{00000000-0004-0000-0800-000026000000}"/>
    <hyperlink ref="A105" location="'946 Insurance'!A1" display="'946 Insurance'!A1" xr:uid="{00000000-0004-0000-0800-000027000000}"/>
    <hyperlink ref="A112" location="'661 440 WPCF'!A1" display="'661 440 WPCF'!A1" xr:uid="{00000000-0004-0000-0800-000028000000}"/>
    <hyperlink ref="A114" location="'661 449 Hwy'!A1" display="'661 449 Hwy'!A1" xr:uid="{00000000-0004-0000-0800-000029000000}"/>
    <hyperlink ref="A116" location="'661 910 Benefits'!A1" display="'661 910 Benefits'!A1" xr:uid="{00000000-0004-0000-0800-00002A000000}"/>
    <hyperlink ref="A121" location="'600 482 Airport'!A1" display="'600 482 Airport'!A1" xr:uid="{00000000-0004-0000-0800-00002B000000}"/>
    <hyperlink ref="A127" location="'300 Schools'!A1" display="'300 Schools'!A1" xr:uid="{00000000-0004-0000-0800-00002C000000}"/>
    <hyperlink ref="B5" location="'Revenue Projections Detail'!A1" display="SOURCES" xr:uid="{00000000-0004-0000-0800-00002D000000}"/>
    <hyperlink ref="A1" location="'Table of Contents'!A1" display="TOC" xr:uid="{00000000-0004-0000-0800-00002E000000}"/>
    <hyperlink ref="A76" location="'480 Charging Stations'!A1" display="'480 Charging Stations'!A1" xr:uid="{00000000-0004-0000-0800-00002F000000}"/>
  </hyperlinks>
  <pageMargins left="0.7" right="0.7" top="0.75" bottom="0.75" header="0.3" footer="0.3"/>
  <pageSetup scale="68" fitToHeight="0" orientation="landscape" r:id="rId1"/>
  <headerFooter alignWithMargins="0">
    <oddFooter>&amp;L&amp;D  &amp;T&amp;C&amp;F&amp;R&amp;A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A1:Y54"/>
  <sheetViews>
    <sheetView zoomScale="75" zoomScaleNormal="75" workbookViewId="0">
      <pane xSplit="1" ySplit="3" topLeftCell="B21" activePane="bottomRight" state="frozen"/>
      <selection pane="topRight" activeCell="C81" activeCellId="2" sqref="A11 K81 C81"/>
      <selection pane="bottomLeft" activeCell="C81" activeCellId="2" sqref="A11 K81 C81"/>
      <selection pane="bottomRight" activeCell="I29" sqref="I29"/>
    </sheetView>
  </sheetViews>
  <sheetFormatPr defaultRowHeight="12.75" x14ac:dyDescent="0.2"/>
  <cols>
    <col min="1" max="1" width="37.33203125" style="631" customWidth="1"/>
    <col min="2" max="2" width="15.83203125" style="843" customWidth="1"/>
    <col min="3" max="3" width="15.83203125" style="843" hidden="1" customWidth="1"/>
    <col min="4" max="4" width="13" style="847" customWidth="1"/>
    <col min="5" max="5" width="15.1640625" style="847" bestFit="1" customWidth="1"/>
    <col min="6" max="6" width="12.5" style="847" bestFit="1" customWidth="1"/>
    <col min="7" max="7" width="12.1640625" style="847" bestFit="1" customWidth="1"/>
    <col min="8" max="8" width="12.1640625" style="847" customWidth="1"/>
    <col min="9" max="9" width="13.5" style="847" bestFit="1" customWidth="1"/>
    <col min="10" max="11" width="13.5" style="847" customWidth="1"/>
    <col min="12" max="12" width="12.1640625" style="847" hidden="1" customWidth="1"/>
    <col min="13" max="13" width="12.1640625" style="847" customWidth="1"/>
    <col min="14" max="14" width="10" style="847" hidden="1" customWidth="1"/>
    <col min="15" max="15" width="10.33203125" style="847" hidden="1" customWidth="1"/>
    <col min="16" max="16" width="12" style="847" customWidth="1"/>
    <col min="17" max="17" width="11.1640625" style="847" hidden="1" customWidth="1"/>
    <col min="18" max="19" width="10.83203125" style="847" hidden="1" customWidth="1"/>
    <col min="20" max="20" width="11.5" style="843" hidden="1" customWidth="1"/>
    <col min="21" max="25" width="9.33203125" style="631"/>
  </cols>
  <sheetData>
    <row r="1" spans="1:20" x14ac:dyDescent="0.2">
      <c r="A1" s="632"/>
      <c r="D1" s="844"/>
      <c r="E1" s="844"/>
      <c r="F1" s="844"/>
      <c r="G1" s="844" t="s">
        <v>129</v>
      </c>
      <c r="H1" s="844" t="s">
        <v>2477</v>
      </c>
      <c r="I1" s="845" t="s">
        <v>786</v>
      </c>
      <c r="J1" s="845" t="s">
        <v>581</v>
      </c>
      <c r="K1" s="845" t="s">
        <v>214</v>
      </c>
      <c r="L1" s="845" t="s">
        <v>788</v>
      </c>
      <c r="M1" s="845" t="s">
        <v>416</v>
      </c>
      <c r="N1" s="844" t="s">
        <v>683</v>
      </c>
      <c r="O1" s="844" t="s">
        <v>580</v>
      </c>
      <c r="P1" s="844" t="s">
        <v>2475</v>
      </c>
      <c r="Q1" s="844" t="s">
        <v>789</v>
      </c>
      <c r="R1" s="844" t="s">
        <v>131</v>
      </c>
      <c r="S1" s="844" t="s">
        <v>790</v>
      </c>
      <c r="T1" s="843" t="s">
        <v>791</v>
      </c>
    </row>
    <row r="2" spans="1:20" x14ac:dyDescent="0.2">
      <c r="B2" s="846" t="s">
        <v>193</v>
      </c>
      <c r="C2" s="846" t="s">
        <v>792</v>
      </c>
      <c r="D2" s="844" t="s">
        <v>576</v>
      </c>
      <c r="E2" s="844" t="s">
        <v>581</v>
      </c>
      <c r="F2" s="844" t="s">
        <v>131</v>
      </c>
      <c r="G2" s="844" t="s">
        <v>793</v>
      </c>
      <c r="H2" s="844" t="s">
        <v>2478</v>
      </c>
      <c r="I2" s="845" t="s">
        <v>794</v>
      </c>
      <c r="J2" s="845" t="s">
        <v>2476</v>
      </c>
      <c r="K2" s="845" t="s">
        <v>2473</v>
      </c>
      <c r="L2" s="845" t="s">
        <v>796</v>
      </c>
      <c r="M2" s="845" t="s">
        <v>2474</v>
      </c>
      <c r="N2" s="844" t="s">
        <v>796</v>
      </c>
      <c r="O2" s="844" t="s">
        <v>796</v>
      </c>
      <c r="P2" s="844" t="s">
        <v>795</v>
      </c>
      <c r="Q2" s="844" t="s">
        <v>797</v>
      </c>
      <c r="R2" s="844" t="s">
        <v>797</v>
      </c>
      <c r="S2" s="844" t="s">
        <v>798</v>
      </c>
      <c r="T2" s="843" t="s">
        <v>578</v>
      </c>
    </row>
    <row r="3" spans="1:20" x14ac:dyDescent="0.2">
      <c r="A3" s="631" t="s">
        <v>577</v>
      </c>
      <c r="B3" s="846" t="s">
        <v>799</v>
      </c>
      <c r="C3" s="846"/>
      <c r="D3" s="847">
        <f>+'Working Budget with funding det'!P6+'Working Budget with funding det'!P7+'Working Budget with funding det'!P8+'Working Budget with funding det'!R12</f>
        <v>25512855</v>
      </c>
      <c r="E3" s="847">
        <f>+'Working Budget with funding det'!R27</f>
        <v>2719305</v>
      </c>
      <c r="F3" s="847">
        <f>+'Working Budget with funding det'!R28</f>
        <v>426965</v>
      </c>
      <c r="G3" s="866">
        <v>136367</v>
      </c>
      <c r="H3" s="866">
        <v>250000</v>
      </c>
      <c r="I3" s="848">
        <f>+'Revenue Projections Detail'!M75</f>
        <v>300000</v>
      </c>
      <c r="J3" s="848">
        <v>352364</v>
      </c>
      <c r="K3" s="848">
        <v>78099</v>
      </c>
      <c r="L3" s="866">
        <v>222798</v>
      </c>
      <c r="M3" s="866">
        <v>1468948</v>
      </c>
      <c r="N3" s="848">
        <v>267765</v>
      </c>
      <c r="O3" s="848">
        <v>87924</v>
      </c>
      <c r="P3" s="866">
        <v>257749</v>
      </c>
      <c r="Q3" s="866">
        <v>39216</v>
      </c>
      <c r="R3" s="848">
        <v>0</v>
      </c>
      <c r="S3" s="1136">
        <v>502446</v>
      </c>
      <c r="T3" s="848">
        <v>1146940</v>
      </c>
    </row>
    <row r="4" spans="1:20" x14ac:dyDescent="0.2">
      <c r="B4" s="846"/>
      <c r="C4" s="846"/>
      <c r="I4" s="848"/>
      <c r="J4" s="848"/>
      <c r="K4" s="848"/>
      <c r="L4" s="848"/>
      <c r="M4" s="848"/>
      <c r="N4" s="848"/>
      <c r="O4" s="848"/>
      <c r="P4" s="848"/>
      <c r="Q4" s="848"/>
      <c r="R4" s="848"/>
      <c r="S4" s="848"/>
    </row>
    <row r="5" spans="1:20" x14ac:dyDescent="0.2">
      <c r="A5" s="631" t="s">
        <v>800</v>
      </c>
      <c r="B5" s="843">
        <f>+'Working Budget with funding det'!R109</f>
        <v>11961596</v>
      </c>
      <c r="C5" s="1058">
        <f t="shared" ref="C5:C10" si="0">ROUND((+B5/$B$46),4)</f>
        <v>0.40820000000000001</v>
      </c>
      <c r="D5" s="847">
        <f t="shared" ref="D5:D10" si="1">+B5-SUM(E5:R5)</f>
        <v>11961596</v>
      </c>
      <c r="T5" s="843">
        <f t="shared" ref="T5:T10" si="2">SUM(D5:R5)-B5</f>
        <v>0</v>
      </c>
    </row>
    <row r="6" spans="1:20" x14ac:dyDescent="0.2">
      <c r="A6" s="631" t="s">
        <v>801</v>
      </c>
      <c r="B6" s="843">
        <f>+'Working Budget with funding det'!R118</f>
        <v>3006124</v>
      </c>
      <c r="C6" s="1058">
        <f t="shared" si="0"/>
        <v>0.1026</v>
      </c>
      <c r="D6" s="847">
        <f t="shared" si="1"/>
        <v>286900</v>
      </c>
      <c r="E6" s="847">
        <f>+'Working Budget with funding det'!Y118</f>
        <v>2719224</v>
      </c>
      <c r="T6" s="843">
        <f t="shared" si="2"/>
        <v>0</v>
      </c>
    </row>
    <row r="7" spans="1:20" x14ac:dyDescent="0.2">
      <c r="A7" s="631" t="s">
        <v>802</v>
      </c>
      <c r="B7" s="843">
        <f>+'Working Budget with funding det'!R248</f>
        <v>53250</v>
      </c>
      <c r="C7" s="1058">
        <f t="shared" si="0"/>
        <v>1.8E-3</v>
      </c>
      <c r="D7" s="847">
        <f t="shared" si="1"/>
        <v>0</v>
      </c>
      <c r="G7" s="847">
        <f>+'Working Budget with funding det'!U15</f>
        <v>53250</v>
      </c>
      <c r="T7" s="843">
        <f t="shared" si="2"/>
        <v>0</v>
      </c>
    </row>
    <row r="8" spans="1:20" x14ac:dyDescent="0.2">
      <c r="A8" s="631" t="s">
        <v>803</v>
      </c>
      <c r="B8" s="843">
        <f>+'Working Budget with funding det'!R125</f>
        <v>426965</v>
      </c>
      <c r="C8" s="1058">
        <f t="shared" si="0"/>
        <v>1.46E-2</v>
      </c>
      <c r="D8" s="847">
        <f t="shared" si="1"/>
        <v>0</v>
      </c>
      <c r="F8" s="847">
        <f>+'Working Budget with funding det'!Z125</f>
        <v>426965</v>
      </c>
      <c r="T8" s="843">
        <f t="shared" si="2"/>
        <v>0</v>
      </c>
    </row>
    <row r="9" spans="1:20" x14ac:dyDescent="0.2">
      <c r="A9" s="631" t="s">
        <v>804</v>
      </c>
      <c r="B9" s="843">
        <f>+'Working Budget with funding det'!R128</f>
        <v>1053018</v>
      </c>
      <c r="C9" s="1058">
        <f t="shared" si="0"/>
        <v>3.5900000000000001E-2</v>
      </c>
      <c r="D9" s="847">
        <f t="shared" si="1"/>
        <v>1053018</v>
      </c>
      <c r="N9" s="849"/>
      <c r="T9" s="843">
        <f t="shared" si="2"/>
        <v>0</v>
      </c>
    </row>
    <row r="10" spans="1:20" x14ac:dyDescent="0.2">
      <c r="A10" s="631" t="s">
        <v>805</v>
      </c>
      <c r="B10" s="843">
        <f>+'Working Budget with funding det'!R129</f>
        <v>11809191</v>
      </c>
      <c r="C10" s="1058">
        <f t="shared" si="0"/>
        <v>0.40300000000000002</v>
      </c>
      <c r="D10" s="847">
        <f t="shared" si="1"/>
        <v>11809191</v>
      </c>
      <c r="T10" s="843">
        <f t="shared" si="2"/>
        <v>0</v>
      </c>
    </row>
    <row r="12" spans="1:20" x14ac:dyDescent="0.2">
      <c r="A12" s="631" t="s">
        <v>806</v>
      </c>
      <c r="B12" s="850">
        <f t="shared" ref="B12:R12" si="3">SUM(B5:B11)</f>
        <v>28310144</v>
      </c>
      <c r="C12" s="850"/>
      <c r="D12" s="850">
        <f t="shared" si="3"/>
        <v>25110705</v>
      </c>
      <c r="E12" s="850">
        <f t="shared" si="3"/>
        <v>2719224</v>
      </c>
      <c r="F12" s="850">
        <f t="shared" si="3"/>
        <v>426965</v>
      </c>
      <c r="G12" s="850">
        <f t="shared" si="3"/>
        <v>53250</v>
      </c>
      <c r="H12" s="850">
        <f t="shared" ref="H12" si="4">SUM(H5:H11)</f>
        <v>0</v>
      </c>
      <c r="I12" s="850">
        <f t="shared" si="3"/>
        <v>0</v>
      </c>
      <c r="J12" s="850">
        <f t="shared" ref="J12" si="5">SUM(J5:J11)</f>
        <v>0</v>
      </c>
      <c r="K12" s="850">
        <f t="shared" ref="K12" si="6">SUM(K5:K11)</f>
        <v>0</v>
      </c>
      <c r="L12" s="850">
        <f t="shared" ref="L12:M12" si="7">SUM(L5:L11)</f>
        <v>0</v>
      </c>
      <c r="M12" s="850">
        <f t="shared" si="7"/>
        <v>0</v>
      </c>
      <c r="N12" s="850">
        <f t="shared" si="3"/>
        <v>0</v>
      </c>
      <c r="O12" s="850">
        <f t="shared" si="3"/>
        <v>0</v>
      </c>
      <c r="P12" s="850">
        <f t="shared" si="3"/>
        <v>0</v>
      </c>
      <c r="Q12" s="850">
        <f t="shared" si="3"/>
        <v>0</v>
      </c>
      <c r="R12" s="850">
        <f t="shared" si="3"/>
        <v>0</v>
      </c>
      <c r="S12" s="850">
        <f t="shared" ref="S12" si="8">SUM(S5:S11)</f>
        <v>0</v>
      </c>
      <c r="T12" s="850">
        <f t="shared" ref="T12" si="9">SUM(T5:T11)</f>
        <v>0</v>
      </c>
    </row>
    <row r="13" spans="1:20" x14ac:dyDescent="0.2">
      <c r="A13" s="631" t="s">
        <v>807</v>
      </c>
      <c r="D13" s="847">
        <f t="shared" ref="D13:T13" si="10">+D3-D12</f>
        <v>402150</v>
      </c>
      <c r="E13" s="847">
        <f t="shared" si="10"/>
        <v>81</v>
      </c>
      <c r="F13" s="847">
        <f t="shared" si="10"/>
        <v>0</v>
      </c>
      <c r="G13" s="847">
        <f t="shared" si="10"/>
        <v>83117</v>
      </c>
      <c r="H13" s="847">
        <f t="shared" ref="H13" si="11">+H3-H12</f>
        <v>250000</v>
      </c>
      <c r="I13" s="847">
        <f t="shared" si="10"/>
        <v>300000</v>
      </c>
      <c r="J13" s="847">
        <f t="shared" ref="J13" si="12">+J3-J12</f>
        <v>352364</v>
      </c>
      <c r="K13" s="847">
        <f t="shared" ref="K13" si="13">+K3-K12</f>
        <v>78099</v>
      </c>
      <c r="L13" s="847">
        <f t="shared" si="10"/>
        <v>222798</v>
      </c>
      <c r="M13" s="847">
        <f t="shared" ref="M13" si="14">+M3-M12</f>
        <v>1468948</v>
      </c>
      <c r="N13" s="847">
        <f t="shared" si="10"/>
        <v>267765</v>
      </c>
      <c r="O13" s="847">
        <f t="shared" si="10"/>
        <v>87924</v>
      </c>
      <c r="P13" s="847">
        <f t="shared" si="10"/>
        <v>257749</v>
      </c>
      <c r="Q13" s="847">
        <f t="shared" si="10"/>
        <v>39216</v>
      </c>
      <c r="R13" s="847">
        <f t="shared" si="10"/>
        <v>0</v>
      </c>
      <c r="S13" s="847">
        <f t="shared" ref="S13" si="15">+S3-S12</f>
        <v>502446</v>
      </c>
      <c r="T13" s="847">
        <f t="shared" si="10"/>
        <v>1146940</v>
      </c>
    </row>
    <row r="14" spans="1:20" x14ac:dyDescent="0.2">
      <c r="T14" s="847"/>
    </row>
    <row r="15" spans="1:20" x14ac:dyDescent="0.2">
      <c r="A15" s="631" t="s">
        <v>808</v>
      </c>
      <c r="B15" s="843">
        <f>+'Working Budget with funding det'!R148</f>
        <v>41339</v>
      </c>
      <c r="C15" s="1058">
        <f>ROUND((+B15/$B$46),4)</f>
        <v>1.4E-3</v>
      </c>
      <c r="D15" s="847">
        <f>+B15</f>
        <v>41339</v>
      </c>
      <c r="T15" s="847"/>
    </row>
    <row r="16" spans="1:20" x14ac:dyDescent="0.2">
      <c r="A16" s="631" t="s">
        <v>2471</v>
      </c>
      <c r="B16" s="843">
        <f>+'Working Budget with funding det'!R145</f>
        <v>37388</v>
      </c>
      <c r="C16" s="1058"/>
      <c r="D16" s="843">
        <f>+'Working Budget with funding det'!S145</f>
        <v>37388</v>
      </c>
      <c r="T16" s="847"/>
    </row>
    <row r="17" spans="1:20" x14ac:dyDescent="0.2">
      <c r="A17" s="631" t="s">
        <v>809</v>
      </c>
      <c r="B17" s="843">
        <f>+'Working Budget with funding det'!R144+'Working Budget with funding det'!R149+'Working Budget with funding det'!R150</f>
        <v>134891</v>
      </c>
      <c r="C17" s="1058">
        <f>ROUND((+B17/$B$46),4)</f>
        <v>4.5999999999999999E-3</v>
      </c>
      <c r="D17" s="847">
        <f>+B17-SUM(E17:R17)</f>
        <v>134891</v>
      </c>
      <c r="T17" s="847"/>
    </row>
    <row r="18" spans="1:20" x14ac:dyDescent="0.2">
      <c r="A18" s="631" t="s">
        <v>810</v>
      </c>
      <c r="B18" s="843">
        <f>+'Working Budget with funding det'!R142</f>
        <v>50000</v>
      </c>
      <c r="C18" s="1058">
        <f>ROUND((+B18/$B$46),4)</f>
        <v>1.6999999999999999E-3</v>
      </c>
      <c r="D18" s="847">
        <f>+B18-SUM(E18:R18)</f>
        <v>50000</v>
      </c>
      <c r="I18" s="849">
        <v>0</v>
      </c>
      <c r="J18" s="849"/>
      <c r="K18" s="849"/>
      <c r="T18" s="847"/>
    </row>
    <row r="19" spans="1:20" x14ac:dyDescent="0.2">
      <c r="A19" s="631" t="s">
        <v>811</v>
      </c>
      <c r="B19" s="843">
        <f>+'Working Budget with funding det'!Q147</f>
        <v>21940</v>
      </c>
      <c r="C19" s="1058">
        <f>ROUND((+B19/$B$46),4)</f>
        <v>6.9999999999999999E-4</v>
      </c>
      <c r="D19" s="849">
        <f>+B19-SUM(E19:R19)</f>
        <v>21940</v>
      </c>
      <c r="E19" s="849"/>
      <c r="F19" s="849"/>
      <c r="G19" s="849"/>
      <c r="H19" s="849"/>
      <c r="I19" s="849"/>
      <c r="J19" s="849"/>
      <c r="K19" s="849"/>
      <c r="L19" s="849"/>
      <c r="M19" s="849"/>
      <c r="N19" s="849"/>
      <c r="O19" s="849"/>
      <c r="P19" s="849"/>
      <c r="Q19" s="849"/>
      <c r="R19" s="849"/>
      <c r="S19" s="849"/>
      <c r="T19" s="849"/>
    </row>
    <row r="20" spans="1:20" x14ac:dyDescent="0.2">
      <c r="T20" s="847"/>
    </row>
    <row r="21" spans="1:20" x14ac:dyDescent="0.2">
      <c r="A21" s="631" t="s">
        <v>812</v>
      </c>
      <c r="B21" s="850">
        <f>SUM(B12:B20)</f>
        <v>28595702</v>
      </c>
      <c r="C21" s="850"/>
      <c r="D21" s="850">
        <f t="shared" ref="D21:T21" si="16">SUM(D15:D20)+D12</f>
        <v>25396263</v>
      </c>
      <c r="E21" s="850">
        <f t="shared" si="16"/>
        <v>2719224</v>
      </c>
      <c r="F21" s="850">
        <f t="shared" si="16"/>
        <v>426965</v>
      </c>
      <c r="G21" s="850">
        <f t="shared" si="16"/>
        <v>53250</v>
      </c>
      <c r="H21" s="850">
        <f t="shared" ref="H21" si="17">SUM(H15:H20)+H12</f>
        <v>0</v>
      </c>
      <c r="I21" s="850">
        <f t="shared" si="16"/>
        <v>0</v>
      </c>
      <c r="J21" s="850">
        <f t="shared" ref="J21" si="18">SUM(J15:J20)+J12</f>
        <v>0</v>
      </c>
      <c r="K21" s="850">
        <f t="shared" ref="K21" si="19">SUM(K15:K20)+K12</f>
        <v>0</v>
      </c>
      <c r="L21" s="850">
        <f t="shared" si="16"/>
        <v>0</v>
      </c>
      <c r="M21" s="850">
        <f t="shared" ref="M21" si="20">SUM(M15:M20)+M12</f>
        <v>0</v>
      </c>
      <c r="N21" s="850">
        <f t="shared" si="16"/>
        <v>0</v>
      </c>
      <c r="O21" s="850">
        <f t="shared" si="16"/>
        <v>0</v>
      </c>
      <c r="P21" s="850">
        <f t="shared" si="16"/>
        <v>0</v>
      </c>
      <c r="Q21" s="850">
        <f t="shared" si="16"/>
        <v>0</v>
      </c>
      <c r="R21" s="850">
        <f t="shared" si="16"/>
        <v>0</v>
      </c>
      <c r="S21" s="850">
        <f t="shared" si="16"/>
        <v>0</v>
      </c>
      <c r="T21" s="850">
        <f t="shared" si="16"/>
        <v>0</v>
      </c>
    </row>
    <row r="22" spans="1:20" x14ac:dyDescent="0.2">
      <c r="A22" s="631" t="s">
        <v>807</v>
      </c>
      <c r="D22" s="847">
        <f t="shared" ref="D22:T22" si="21">+D3-D21</f>
        <v>116592</v>
      </c>
      <c r="E22" s="847">
        <f t="shared" si="21"/>
        <v>81</v>
      </c>
      <c r="F22" s="847">
        <f t="shared" si="21"/>
        <v>0</v>
      </c>
      <c r="G22" s="847">
        <f t="shared" si="21"/>
        <v>83117</v>
      </c>
      <c r="H22" s="847">
        <f t="shared" ref="H22" si="22">+H3-H21</f>
        <v>250000</v>
      </c>
      <c r="I22" s="847">
        <f t="shared" si="21"/>
        <v>300000</v>
      </c>
      <c r="J22" s="847">
        <f t="shared" ref="J22" si="23">+J3-J21</f>
        <v>352364</v>
      </c>
      <c r="K22" s="847">
        <f t="shared" ref="K22" si="24">+K3-K21</f>
        <v>78099</v>
      </c>
      <c r="L22" s="847">
        <f t="shared" si="21"/>
        <v>222798</v>
      </c>
      <c r="M22" s="847">
        <f t="shared" ref="M22" si="25">+M3-M21</f>
        <v>1468948</v>
      </c>
      <c r="N22" s="847">
        <f t="shared" si="21"/>
        <v>267765</v>
      </c>
      <c r="O22" s="847">
        <f t="shared" si="21"/>
        <v>87924</v>
      </c>
      <c r="P22" s="847">
        <f t="shared" si="21"/>
        <v>257749</v>
      </c>
      <c r="Q22" s="847">
        <f t="shared" si="21"/>
        <v>39216</v>
      </c>
      <c r="R22" s="847">
        <f t="shared" si="21"/>
        <v>0</v>
      </c>
      <c r="S22" s="847">
        <f t="shared" si="21"/>
        <v>502446</v>
      </c>
      <c r="T22" s="847">
        <f t="shared" si="21"/>
        <v>1146940</v>
      </c>
    </row>
    <row r="23" spans="1:20" x14ac:dyDescent="0.2">
      <c r="T23" s="847"/>
    </row>
    <row r="24" spans="1:20" x14ac:dyDescent="0.2">
      <c r="A24" s="631" t="s">
        <v>2472</v>
      </c>
      <c r="B24" s="843">
        <f>+'Working Budget with funding det'!R162</f>
        <v>11585</v>
      </c>
      <c r="C24" s="1058">
        <f>ROUND((+B24/$B$46),4)</f>
        <v>4.0000000000000002E-4</v>
      </c>
      <c r="D24" s="849">
        <f t="shared" ref="D24:D35" si="26">+B24-SUM(E24:R24)</f>
        <v>11585</v>
      </c>
      <c r="E24" s="849"/>
      <c r="F24" s="849"/>
      <c r="G24" s="849"/>
      <c r="H24" s="849"/>
      <c r="I24" s="849"/>
      <c r="J24" s="849"/>
      <c r="K24" s="849"/>
      <c r="L24" s="849"/>
      <c r="M24" s="849"/>
      <c r="N24" s="849"/>
      <c r="O24" s="849"/>
      <c r="T24" s="847"/>
    </row>
    <row r="25" spans="1:20" x14ac:dyDescent="0.2">
      <c r="A25" s="631" t="str">
        <f>+'Working Budget with funding det'!B167</f>
        <v>Town Hall Flooring</v>
      </c>
      <c r="B25" s="843">
        <f>+'Working Budget with funding det'!R167</f>
        <v>25000</v>
      </c>
      <c r="C25" s="1058"/>
      <c r="D25" s="849">
        <f t="shared" si="26"/>
        <v>0</v>
      </c>
      <c r="E25" s="849"/>
      <c r="F25" s="849"/>
      <c r="G25" s="849"/>
      <c r="H25" s="849"/>
      <c r="I25" s="849">
        <v>25000</v>
      </c>
      <c r="J25" s="849"/>
      <c r="K25" s="849"/>
      <c r="L25" s="849"/>
      <c r="M25" s="849"/>
      <c r="N25" s="849"/>
      <c r="O25" s="849"/>
      <c r="T25" s="847"/>
    </row>
    <row r="26" spans="1:20" x14ac:dyDescent="0.2">
      <c r="A26" s="631" t="str">
        <f>+'Working Budget with funding det'!B168</f>
        <v>Clerk Fireproof Locking Storage</v>
      </c>
      <c r="B26" s="843">
        <f>+'Working Budget with funding det'!R168</f>
        <v>25000</v>
      </c>
      <c r="C26" s="1058">
        <f>ROUND((+B26/$B$46),4)</f>
        <v>8.9999999999999998E-4</v>
      </c>
      <c r="D26" s="849">
        <f t="shared" si="26"/>
        <v>0</v>
      </c>
      <c r="E26" s="849"/>
      <c r="F26" s="849"/>
      <c r="G26" s="849"/>
      <c r="H26" s="849"/>
      <c r="I26" s="849">
        <v>25000</v>
      </c>
      <c r="J26" s="849"/>
      <c r="K26" s="849"/>
      <c r="L26" s="849"/>
      <c r="M26" s="849"/>
      <c r="N26" s="849"/>
      <c r="O26" s="849"/>
      <c r="T26" s="847"/>
    </row>
    <row r="27" spans="1:20" x14ac:dyDescent="0.2">
      <c r="A27" s="631" t="str">
        <f>+'Working Budget with funding det'!B171</f>
        <v>Add to Conservation Fund</v>
      </c>
      <c r="B27" s="843">
        <f>+'Working Budget with funding det'!R171</f>
        <v>10000</v>
      </c>
      <c r="C27" s="1058">
        <f>ROUND((+B27/$B$46),4)</f>
        <v>2.9999999999999997E-4</v>
      </c>
      <c r="D27" s="849">
        <f t="shared" si="26"/>
        <v>10000</v>
      </c>
      <c r="E27" s="849"/>
      <c r="F27" s="849"/>
      <c r="G27" s="849"/>
      <c r="H27" s="849"/>
      <c r="I27" s="849"/>
      <c r="J27" s="849"/>
      <c r="K27" s="849"/>
      <c r="L27" s="849"/>
      <c r="M27" s="849"/>
      <c r="N27" s="849"/>
      <c r="O27" s="849"/>
      <c r="T27" s="847"/>
    </row>
    <row r="28" spans="1:20" x14ac:dyDescent="0.2">
      <c r="A28" s="631" t="str">
        <f>+'Working Budget with funding det'!B178</f>
        <v>Grant match</v>
      </c>
      <c r="B28" s="843">
        <f>+'Working Budget with funding det'!R178</f>
        <v>13100</v>
      </c>
      <c r="C28" s="1058"/>
      <c r="D28" s="849">
        <f t="shared" si="26"/>
        <v>0</v>
      </c>
      <c r="E28" s="849"/>
      <c r="F28" s="849"/>
      <c r="G28" s="849"/>
      <c r="H28" s="849"/>
      <c r="I28" s="849">
        <v>13100</v>
      </c>
      <c r="J28" s="849"/>
      <c r="K28" s="849"/>
      <c r="L28" s="849"/>
      <c r="M28" s="849"/>
      <c r="N28" s="849"/>
      <c r="O28" s="849"/>
      <c r="T28" s="847"/>
    </row>
    <row r="29" spans="1:20" x14ac:dyDescent="0.2">
      <c r="A29" s="631" t="str">
        <f>+'Working Budget with funding det'!B170</f>
        <v>Demolish 38 Ave A</v>
      </c>
      <c r="B29" s="843">
        <f>+'Working Budget with funding det'!R170</f>
        <v>50000</v>
      </c>
      <c r="C29" s="1058">
        <f t="shared" ref="C29:C36" si="27">ROUND((+B29/$B$46),4)</f>
        <v>1.6999999999999999E-3</v>
      </c>
      <c r="D29" s="849">
        <f t="shared" si="26"/>
        <v>0</v>
      </c>
      <c r="E29" s="849"/>
      <c r="F29" s="849"/>
      <c r="G29" s="849"/>
      <c r="H29" s="849"/>
      <c r="I29" s="849">
        <f>+B29-K29</f>
        <v>37901</v>
      </c>
      <c r="J29" s="849"/>
      <c r="K29" s="849">
        <v>12099</v>
      </c>
      <c r="L29" s="849"/>
      <c r="M29" s="849"/>
      <c r="N29" s="849"/>
      <c r="O29" s="849"/>
      <c r="T29" s="847"/>
    </row>
    <row r="30" spans="1:20" x14ac:dyDescent="0.2">
      <c r="A30" s="631" t="str">
        <f>+'Working Budget with funding det'!B189</f>
        <v>Smith Votech Tuition/Trans (FY22-FY24)</v>
      </c>
      <c r="B30" s="843">
        <f>+'Working Budget with funding det'!R189</f>
        <v>23000</v>
      </c>
      <c r="C30" s="1058">
        <f t="shared" si="27"/>
        <v>8.0000000000000004E-4</v>
      </c>
      <c r="D30" s="849">
        <f t="shared" si="26"/>
        <v>23000</v>
      </c>
      <c r="E30" s="849"/>
      <c r="F30" s="849"/>
      <c r="G30" s="849"/>
      <c r="H30" s="849"/>
      <c r="I30" s="849"/>
      <c r="J30" s="849"/>
      <c r="K30" s="849"/>
      <c r="L30" s="849"/>
      <c r="M30" s="849"/>
      <c r="N30" s="849"/>
      <c r="O30" s="849"/>
      <c r="T30" s="847"/>
    </row>
    <row r="31" spans="1:20" x14ac:dyDescent="0.2">
      <c r="A31" s="631" t="str">
        <f>+'Working Budget with funding det'!B187</f>
        <v>Sheffield Gym Roof Repair</v>
      </c>
      <c r="B31" s="843">
        <f>+'Working Budget with funding det'!R187</f>
        <v>20000</v>
      </c>
      <c r="C31" s="1058">
        <f t="shared" si="27"/>
        <v>6.9999999999999999E-4</v>
      </c>
      <c r="D31" s="849">
        <f t="shared" si="26"/>
        <v>0</v>
      </c>
      <c r="E31" s="849"/>
      <c r="F31" s="849"/>
      <c r="G31" s="849"/>
      <c r="H31" s="849"/>
      <c r="I31" s="849">
        <v>20000</v>
      </c>
      <c r="J31" s="849"/>
      <c r="K31" s="849"/>
      <c r="L31" s="849"/>
      <c r="M31" s="849"/>
      <c r="N31" s="849"/>
      <c r="O31" s="849"/>
      <c r="T31" s="847"/>
    </row>
    <row r="32" spans="1:20" x14ac:dyDescent="0.2">
      <c r="A32" s="631" t="str">
        <f>+'Working Budget with funding det'!B188</f>
        <v>Sheffield Admin Security Door</v>
      </c>
      <c r="B32" s="843">
        <f>+'Working Budget with funding det'!R188</f>
        <v>20000</v>
      </c>
      <c r="C32" s="1058">
        <f t="shared" si="27"/>
        <v>6.9999999999999999E-4</v>
      </c>
      <c r="D32" s="849">
        <f t="shared" si="26"/>
        <v>0</v>
      </c>
      <c r="E32" s="849"/>
      <c r="F32" s="849"/>
      <c r="G32" s="849"/>
      <c r="H32" s="849"/>
      <c r="I32" s="849">
        <v>20000</v>
      </c>
      <c r="J32" s="849"/>
      <c r="K32" s="849"/>
      <c r="L32" s="849"/>
      <c r="M32" s="849"/>
      <c r="N32" s="849"/>
      <c r="O32" s="849"/>
      <c r="T32" s="847"/>
    </row>
    <row r="33" spans="1:20" x14ac:dyDescent="0.2">
      <c r="A33" s="631" t="str">
        <f>+'Working Budget with funding det'!B209</f>
        <v xml:space="preserve">DPW Discretionary </v>
      </c>
      <c r="B33" s="843">
        <f>+'Working Budget with funding det'!R209</f>
        <v>70592</v>
      </c>
      <c r="C33" s="1058">
        <f t="shared" si="27"/>
        <v>2.3999999999999998E-3</v>
      </c>
      <c r="D33" s="849">
        <f t="shared" si="26"/>
        <v>70592</v>
      </c>
      <c r="E33" s="849"/>
      <c r="F33" s="849"/>
      <c r="G33" s="849"/>
      <c r="H33" s="849"/>
      <c r="I33" s="849"/>
      <c r="J33" s="849"/>
      <c r="K33" s="849"/>
      <c r="L33" s="849"/>
      <c r="M33" s="849"/>
      <c r="N33" s="849"/>
      <c r="O33" s="849"/>
      <c r="T33" s="847"/>
    </row>
    <row r="34" spans="1:20" x14ac:dyDescent="0.2">
      <c r="A34" s="631" t="str">
        <f>+'Working Budget with funding det'!B226</f>
        <v>CWF RTV with plow &amp; sander</v>
      </c>
      <c r="B34" s="843">
        <f>+'Working Budget with funding det'!R226</f>
        <v>25000</v>
      </c>
      <c r="C34" s="1058">
        <f t="shared" si="27"/>
        <v>8.9999999999999998E-4</v>
      </c>
      <c r="D34" s="849">
        <f t="shared" si="26"/>
        <v>0</v>
      </c>
      <c r="E34" s="849"/>
      <c r="F34" s="849"/>
      <c r="G34" s="849"/>
      <c r="H34" s="849"/>
      <c r="I34" s="849"/>
      <c r="J34" s="849">
        <v>25000</v>
      </c>
      <c r="K34" s="849"/>
      <c r="L34" s="849"/>
      <c r="M34" s="849"/>
      <c r="N34" s="849"/>
      <c r="O34" s="849"/>
      <c r="P34" s="847">
        <f>+'Working Budget with funding det'!Y245</f>
        <v>0</v>
      </c>
      <c r="T34" s="847"/>
    </row>
    <row r="35" spans="1:20" x14ac:dyDescent="0.2">
      <c r="A35" s="631" t="str">
        <f>+'Working Budget with funding det'!B227</f>
        <v>CWF Septage Station Upgrade</v>
      </c>
      <c r="B35" s="843">
        <f>+'Working Budget with funding det'!R227</f>
        <v>264000</v>
      </c>
      <c r="C35" s="1058">
        <f t="shared" si="27"/>
        <v>8.9999999999999993E-3</v>
      </c>
      <c r="D35" s="849">
        <f t="shared" si="26"/>
        <v>0</v>
      </c>
      <c r="E35" s="849"/>
      <c r="F35" s="849"/>
      <c r="G35" s="849"/>
      <c r="H35" s="849"/>
      <c r="I35" s="849"/>
      <c r="J35" s="849">
        <v>264000</v>
      </c>
      <c r="K35" s="849"/>
      <c r="L35" s="849"/>
      <c r="M35" s="849"/>
      <c r="N35" s="849"/>
      <c r="O35" s="849"/>
      <c r="T35" s="847"/>
    </row>
    <row r="36" spans="1:20" x14ac:dyDescent="0.2">
      <c r="A36" s="631" t="str">
        <f>+'Working Budget with funding det'!B246</f>
        <v>CWF Pellet Heat Boiler</v>
      </c>
      <c r="B36" s="843">
        <f>+'Working Budget with funding det'!R246</f>
        <v>113500</v>
      </c>
      <c r="C36" s="1058">
        <f t="shared" si="27"/>
        <v>3.8999999999999998E-3</v>
      </c>
      <c r="D36" s="849">
        <f>+B36-SUM(E36:T36)</f>
        <v>0</v>
      </c>
      <c r="E36" s="849"/>
      <c r="F36" s="849"/>
      <c r="G36" s="849"/>
      <c r="H36" s="849"/>
      <c r="I36" s="849"/>
      <c r="J36" s="849">
        <v>63364</v>
      </c>
      <c r="K36" s="849"/>
      <c r="L36" s="849"/>
      <c r="M36" s="849"/>
      <c r="N36" s="849"/>
      <c r="O36" s="849"/>
      <c r="P36" s="847">
        <f>81+50055</f>
        <v>50136</v>
      </c>
      <c r="T36" s="847"/>
    </row>
    <row r="37" spans="1:20" x14ac:dyDescent="0.2">
      <c r="A37" s="631" t="str">
        <f>+'Working Budget with funding det'!B239</f>
        <v>MF Library Window/Door Repairs</v>
      </c>
      <c r="B37" s="843">
        <f>+'Working Budget with funding det'!R239</f>
        <v>14000</v>
      </c>
      <c r="C37" s="1058"/>
      <c r="D37" s="849">
        <f>+B37-SUM(E37:R37)</f>
        <v>0</v>
      </c>
      <c r="E37" s="849"/>
      <c r="F37" s="849"/>
      <c r="G37" s="849"/>
      <c r="H37" s="849"/>
      <c r="I37" s="849">
        <v>14000</v>
      </c>
      <c r="J37" s="849"/>
      <c r="K37" s="849"/>
      <c r="L37" s="849"/>
      <c r="M37" s="849"/>
      <c r="N37" s="849"/>
      <c r="O37" s="849"/>
      <c r="T37" s="847"/>
    </row>
    <row r="38" spans="1:20" x14ac:dyDescent="0.2">
      <c r="C38" s="1058"/>
      <c r="D38" s="849"/>
      <c r="E38" s="849"/>
      <c r="F38" s="849"/>
      <c r="G38" s="849"/>
      <c r="H38" s="849"/>
      <c r="I38" s="849"/>
      <c r="J38" s="849"/>
      <c r="K38" s="849"/>
      <c r="L38" s="849"/>
      <c r="M38" s="849"/>
      <c r="N38" s="849"/>
      <c r="O38" s="849"/>
      <c r="T38" s="847"/>
    </row>
    <row r="39" spans="1:20" x14ac:dyDescent="0.2">
      <c r="C39" s="1058"/>
      <c r="D39" s="849"/>
      <c r="E39" s="849"/>
      <c r="F39" s="849"/>
      <c r="G39" s="849"/>
      <c r="H39" s="849"/>
      <c r="I39" s="849"/>
      <c r="J39" s="849"/>
      <c r="K39" s="849"/>
      <c r="L39" s="849"/>
      <c r="M39" s="849"/>
      <c r="N39" s="849"/>
      <c r="O39" s="849"/>
      <c r="T39" s="847"/>
    </row>
    <row r="40" spans="1:20" x14ac:dyDescent="0.2">
      <c r="A40" s="631" t="str">
        <f>+'Working Budget with funding det'!B242</f>
        <v>Comm Garden Well</v>
      </c>
      <c r="B40" s="843">
        <f>+'Working Budget with funding det'!R242</f>
        <v>12000</v>
      </c>
      <c r="C40" s="1058"/>
      <c r="D40" s="849">
        <f>+B40-SUM(E40:R40)</f>
        <v>0</v>
      </c>
      <c r="E40" s="849"/>
      <c r="F40" s="849"/>
      <c r="G40" s="849"/>
      <c r="H40" s="849"/>
      <c r="I40" s="849">
        <v>12000</v>
      </c>
      <c r="J40" s="849"/>
      <c r="K40" s="849"/>
      <c r="L40" s="849"/>
      <c r="M40" s="849"/>
      <c r="N40" s="849"/>
      <c r="O40" s="849"/>
      <c r="T40" s="847"/>
    </row>
    <row r="41" spans="1:20" x14ac:dyDescent="0.2">
      <c r="A41" s="631" t="str">
        <f>+'Working Budget with funding det'!B243</f>
        <v>Unity Pkg Lot Improvements</v>
      </c>
      <c r="B41" s="843">
        <f>+'Working Budget with funding det'!R243</f>
        <v>12500</v>
      </c>
      <c r="C41" s="1058"/>
      <c r="D41" s="849">
        <f>+B41-SUM(E41:R41)</f>
        <v>0</v>
      </c>
      <c r="E41" s="849"/>
      <c r="F41" s="849"/>
      <c r="G41" s="849"/>
      <c r="H41" s="849"/>
      <c r="I41" s="849">
        <v>12500</v>
      </c>
      <c r="J41" s="849"/>
      <c r="K41" s="849"/>
      <c r="L41" s="849"/>
      <c r="M41" s="849"/>
      <c r="N41" s="849"/>
      <c r="O41" s="849"/>
      <c r="T41" s="847"/>
    </row>
    <row r="42" spans="1:20" x14ac:dyDescent="0.2">
      <c r="C42" s="1058"/>
      <c r="D42" s="849"/>
      <c r="E42" s="849"/>
      <c r="F42" s="849"/>
      <c r="G42" s="849"/>
      <c r="H42" s="849"/>
      <c r="I42" s="849"/>
      <c r="J42" s="849"/>
      <c r="K42" s="849"/>
      <c r="L42" s="849"/>
      <c r="M42" s="849"/>
      <c r="N42" s="849"/>
      <c r="O42" s="849"/>
      <c r="T42" s="847"/>
    </row>
    <row r="43" spans="1:20" x14ac:dyDescent="0.2">
      <c r="A43" s="631" t="s">
        <v>2479</v>
      </c>
      <c r="C43" s="1058"/>
      <c r="D43" s="849"/>
      <c r="E43" s="849"/>
      <c r="F43" s="849"/>
      <c r="G43" s="849"/>
      <c r="H43" s="849"/>
      <c r="I43" s="849"/>
      <c r="J43" s="849"/>
      <c r="K43" s="849"/>
      <c r="L43" s="849"/>
      <c r="M43" s="849"/>
      <c r="N43" s="849"/>
      <c r="O43" s="849"/>
      <c r="T43" s="847"/>
    </row>
    <row r="44" spans="1:20" x14ac:dyDescent="0.2">
      <c r="A44" s="631" t="s">
        <v>2480</v>
      </c>
      <c r="C44" s="1058"/>
      <c r="D44" s="849"/>
      <c r="E44" s="849"/>
      <c r="F44" s="849"/>
      <c r="G44" s="849"/>
      <c r="H44" s="849"/>
      <c r="I44" s="849"/>
      <c r="J44" s="849"/>
      <c r="K44" s="849"/>
      <c r="L44" s="849"/>
      <c r="M44" s="849"/>
      <c r="N44" s="849"/>
      <c r="O44" s="849"/>
      <c r="T44" s="847"/>
    </row>
    <row r="45" spans="1:20" x14ac:dyDescent="0.2">
      <c r="T45" s="847"/>
    </row>
    <row r="46" spans="1:20" x14ac:dyDescent="0.2">
      <c r="A46" s="631" t="s">
        <v>813</v>
      </c>
      <c r="B46" s="851">
        <f>SUM(B21:B45)</f>
        <v>29304979</v>
      </c>
      <c r="C46" s="851"/>
      <c r="D46" s="851">
        <f t="shared" ref="D46:I46" si="28">SUM(D24:D45)+D21</f>
        <v>25511440</v>
      </c>
      <c r="E46" s="851">
        <f t="shared" si="28"/>
        <v>2719224</v>
      </c>
      <c r="F46" s="851">
        <f t="shared" si="28"/>
        <v>426965</v>
      </c>
      <c r="G46" s="851">
        <f t="shared" si="28"/>
        <v>53250</v>
      </c>
      <c r="H46" s="851">
        <f t="shared" si="28"/>
        <v>0</v>
      </c>
      <c r="I46" s="852">
        <f t="shared" si="28"/>
        <v>179501</v>
      </c>
      <c r="J46" s="852">
        <f t="shared" ref="J46" si="29">SUM(J24:J45)+J21</f>
        <v>352364</v>
      </c>
      <c r="K46" s="852">
        <f t="shared" ref="K46" si="30">SUM(K24:K45)+K21</f>
        <v>12099</v>
      </c>
      <c r="L46" s="851">
        <f>SUM(L24:L45)+L21</f>
        <v>0</v>
      </c>
      <c r="M46" s="851">
        <f t="shared" ref="M46" si="31">SUM(M24:M45)+M21</f>
        <v>0</v>
      </c>
      <c r="N46" s="851">
        <f t="shared" ref="N46:T46" si="32">SUM(N24:N45)+N21</f>
        <v>0</v>
      </c>
      <c r="O46" s="851">
        <f t="shared" si="32"/>
        <v>0</v>
      </c>
      <c r="P46" s="851">
        <f t="shared" si="32"/>
        <v>50136</v>
      </c>
      <c r="Q46" s="851">
        <f t="shared" si="32"/>
        <v>0</v>
      </c>
      <c r="R46" s="851">
        <f t="shared" si="32"/>
        <v>0</v>
      </c>
      <c r="S46" s="851">
        <f t="shared" si="32"/>
        <v>0</v>
      </c>
      <c r="T46" s="851">
        <f t="shared" si="32"/>
        <v>0</v>
      </c>
    </row>
    <row r="47" spans="1:20" x14ac:dyDescent="0.2">
      <c r="A47" s="631" t="s">
        <v>814</v>
      </c>
      <c r="D47" s="847">
        <f t="shared" ref="D47:I47" si="33">+D3-D46</f>
        <v>1415</v>
      </c>
      <c r="E47" s="847">
        <f t="shared" si="33"/>
        <v>81</v>
      </c>
      <c r="F47" s="847">
        <f t="shared" si="33"/>
        <v>0</v>
      </c>
      <c r="G47" s="847">
        <f t="shared" si="33"/>
        <v>83117</v>
      </c>
      <c r="H47" s="847">
        <f t="shared" si="33"/>
        <v>250000</v>
      </c>
      <c r="I47" s="849">
        <f t="shared" si="33"/>
        <v>120499</v>
      </c>
      <c r="J47" s="849">
        <f t="shared" ref="J47" si="34">+J3-J46</f>
        <v>0</v>
      </c>
      <c r="K47" s="849">
        <f t="shared" ref="K47" si="35">+K3-K46</f>
        <v>66000</v>
      </c>
      <c r="L47" s="847">
        <f>+L3-L46</f>
        <v>222798</v>
      </c>
      <c r="M47" s="847">
        <f t="shared" ref="M47" si="36">+M3-M46</f>
        <v>1468948</v>
      </c>
      <c r="N47" s="847">
        <f t="shared" ref="N47:T47" si="37">+N3-N46</f>
        <v>267765</v>
      </c>
      <c r="O47" s="847">
        <f t="shared" si="37"/>
        <v>87924</v>
      </c>
      <c r="P47" s="847">
        <f t="shared" si="37"/>
        <v>207613</v>
      </c>
      <c r="Q47" s="847">
        <f t="shared" si="37"/>
        <v>39216</v>
      </c>
      <c r="R47" s="847">
        <f t="shared" si="37"/>
        <v>0</v>
      </c>
      <c r="S47" s="847">
        <f t="shared" si="37"/>
        <v>502446</v>
      </c>
      <c r="T47" s="847">
        <f t="shared" si="37"/>
        <v>1146940</v>
      </c>
    </row>
    <row r="49" spans="1:20" x14ac:dyDescent="0.2">
      <c r="L49" s="848"/>
      <c r="M49" s="848"/>
      <c r="N49" s="848"/>
      <c r="O49" s="848"/>
      <c r="P49" s="848"/>
      <c r="T49" s="848"/>
    </row>
    <row r="52" spans="1:20" x14ac:dyDescent="0.2">
      <c r="A52" s="774"/>
    </row>
    <row r="53" spans="1:20" x14ac:dyDescent="0.2">
      <c r="A53" s="774"/>
    </row>
    <row r="54" spans="1:20" x14ac:dyDescent="0.2">
      <c r="A54" s="774"/>
    </row>
  </sheetData>
  <pageMargins left="0.7" right="0.7" top="0.75" bottom="0.75" header="0.3" footer="0.3"/>
  <pageSetup scale="75" orientation="landscape" r:id="rId1"/>
  <headerFooter>
    <oddFooter>&amp;L&amp;D &amp;T&amp;C&amp;F&amp;R&amp;A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U191"/>
  <sheetViews>
    <sheetView workbookViewId="0">
      <pane ySplit="7" topLeftCell="A8" activePane="bottomLeft" state="frozen"/>
      <selection activeCell="K1" sqref="K1:L1048576"/>
      <selection pane="bottomLeft" activeCell="P15" sqref="P15"/>
    </sheetView>
  </sheetViews>
  <sheetFormatPr defaultRowHeight="12.75" x14ac:dyDescent="0.2"/>
  <cols>
    <col min="1" max="1" width="8.83203125" style="783"/>
    <col min="2" max="2" width="36.6640625" customWidth="1"/>
    <col min="3" max="3" width="14.5" style="1" hidden="1" customWidth="1"/>
    <col min="4" max="12" width="14.5" style="106" hidden="1" customWidth="1"/>
    <col min="13" max="15" width="14.5" style="106" customWidth="1"/>
    <col min="16" max="16" width="14.5" customWidth="1"/>
    <col min="17" max="18" width="14.5" style="1" customWidth="1"/>
    <col min="19" max="19" width="14.5" customWidth="1"/>
    <col min="21" max="21" width="14.5" customWidth="1"/>
    <col min="22" max="22" width="14.6640625" customWidth="1"/>
  </cols>
  <sheetData>
    <row r="1" spans="1:21" x14ac:dyDescent="0.2">
      <c r="A1" s="772" t="s">
        <v>85</v>
      </c>
      <c r="B1" s="308" t="s">
        <v>197</v>
      </c>
      <c r="D1" s="212"/>
      <c r="E1" s="212"/>
      <c r="F1" s="212"/>
      <c r="G1" s="212"/>
      <c r="H1" s="212"/>
      <c r="I1" s="212"/>
      <c r="J1" s="212"/>
      <c r="K1" s="212"/>
      <c r="L1" s="212"/>
      <c r="M1" s="212"/>
      <c r="N1" s="212"/>
      <c r="O1" s="212"/>
    </row>
    <row r="2" spans="1:21" ht="15" x14ac:dyDescent="0.25">
      <c r="A2" s="773" t="s">
        <v>815</v>
      </c>
      <c r="B2" s="43"/>
      <c r="D2" s="212"/>
      <c r="E2" s="126"/>
      <c r="F2" s="212"/>
      <c r="G2" s="212"/>
      <c r="H2" s="212"/>
      <c r="I2" s="126" t="s">
        <v>816</v>
      </c>
      <c r="J2" s="126"/>
      <c r="K2" s="126"/>
      <c r="L2" s="126"/>
      <c r="M2" s="126"/>
      <c r="N2" s="126"/>
      <c r="O2" s="126"/>
      <c r="P2" s="58" t="s">
        <v>619</v>
      </c>
      <c r="S2" s="44" t="s">
        <v>817</v>
      </c>
    </row>
    <row r="3" spans="1:21" ht="13.5" thickBot="1" x14ac:dyDescent="0.25">
      <c r="A3" s="774"/>
      <c r="B3" s="4"/>
      <c r="C3" s="23"/>
      <c r="D3" s="23"/>
      <c r="E3" s="23"/>
      <c r="F3" s="23"/>
      <c r="G3" s="23"/>
      <c r="H3" s="23"/>
      <c r="I3" s="23"/>
      <c r="J3" s="23"/>
      <c r="K3" s="23"/>
      <c r="L3" s="23"/>
      <c r="M3" s="23"/>
      <c r="N3" s="23"/>
      <c r="O3" s="23"/>
      <c r="P3" s="4"/>
      <c r="Q3" s="23"/>
      <c r="R3" s="23"/>
      <c r="S3" s="4"/>
      <c r="U3" s="4"/>
    </row>
    <row r="4" spans="1:21" ht="13.5" thickTop="1" x14ac:dyDescent="0.2">
      <c r="A4" s="775"/>
      <c r="B4" s="542"/>
      <c r="C4" s="114" t="s">
        <v>280</v>
      </c>
      <c r="D4" s="230" t="s">
        <v>280</v>
      </c>
      <c r="E4" s="230" t="s">
        <v>280</v>
      </c>
      <c r="F4" s="230" t="s">
        <v>280</v>
      </c>
      <c r="G4" s="230" t="s">
        <v>280</v>
      </c>
      <c r="H4" s="230" t="s">
        <v>280</v>
      </c>
      <c r="I4" s="246" t="s">
        <v>280</v>
      </c>
      <c r="J4" s="246" t="s">
        <v>280</v>
      </c>
      <c r="K4" s="246" t="s">
        <v>279</v>
      </c>
      <c r="L4" s="246" t="s">
        <v>280</v>
      </c>
      <c r="M4" s="246" t="s">
        <v>279</v>
      </c>
      <c r="N4" s="246" t="s">
        <v>280</v>
      </c>
      <c r="O4" s="246" t="s">
        <v>279</v>
      </c>
      <c r="P4" s="104" t="s">
        <v>818</v>
      </c>
      <c r="Q4" s="79" t="s">
        <v>571</v>
      </c>
      <c r="R4" s="79" t="s">
        <v>571</v>
      </c>
      <c r="S4" s="7" t="s">
        <v>571</v>
      </c>
    </row>
    <row r="5" spans="1:21" x14ac:dyDescent="0.2">
      <c r="A5" s="776"/>
      <c r="B5" s="202"/>
      <c r="C5" s="113"/>
      <c r="D5" s="82"/>
      <c r="E5" s="105"/>
      <c r="F5" s="82"/>
      <c r="G5" s="82"/>
      <c r="H5" s="82"/>
      <c r="I5" s="247"/>
      <c r="J5" s="247"/>
      <c r="K5" s="247"/>
      <c r="L5" s="247"/>
      <c r="M5" s="247"/>
      <c r="N5" s="247"/>
      <c r="O5" s="247"/>
      <c r="P5" s="105" t="s">
        <v>819</v>
      </c>
      <c r="Q5" s="83" t="s">
        <v>820</v>
      </c>
      <c r="R5" s="83" t="s">
        <v>821</v>
      </c>
      <c r="S5" s="196" t="s">
        <v>822</v>
      </c>
    </row>
    <row r="6" spans="1:21" x14ac:dyDescent="0.2">
      <c r="A6" s="776"/>
      <c r="B6" s="202"/>
      <c r="C6" s="113"/>
      <c r="D6" s="113"/>
      <c r="E6" s="113"/>
      <c r="F6" s="113"/>
      <c r="G6" s="113"/>
      <c r="H6" s="113"/>
      <c r="I6" s="83"/>
      <c r="J6" s="83"/>
      <c r="K6" s="83"/>
      <c r="L6" s="83"/>
      <c r="M6" s="83"/>
      <c r="N6" s="83"/>
      <c r="O6" s="83"/>
      <c r="P6" s="113"/>
      <c r="Q6" s="83" t="s">
        <v>823</v>
      </c>
      <c r="R6" s="83" t="s">
        <v>585</v>
      </c>
      <c r="S6" s="45" t="s">
        <v>824</v>
      </c>
    </row>
    <row r="7" spans="1:21"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1" ht="13.5" thickTop="1" x14ac:dyDescent="0.2">
      <c r="A8" s="786"/>
      <c r="B8" s="46"/>
      <c r="C8" s="275"/>
      <c r="D8" s="92"/>
      <c r="E8" s="92"/>
      <c r="F8" s="92"/>
      <c r="G8" s="92"/>
      <c r="H8" s="92"/>
      <c r="I8" s="92"/>
      <c r="J8" s="92"/>
      <c r="K8" s="47"/>
      <c r="L8" s="92"/>
      <c r="M8" s="92"/>
      <c r="N8" s="92"/>
      <c r="O8" s="47"/>
      <c r="P8" s="92"/>
      <c r="Q8" s="47"/>
      <c r="R8" s="47"/>
      <c r="S8" s="47"/>
    </row>
    <row r="9" spans="1:21" ht="13.5" thickBot="1" x14ac:dyDescent="0.25">
      <c r="A9" s="787">
        <v>5115</v>
      </c>
      <c r="B9" s="48" t="s">
        <v>827</v>
      </c>
      <c r="C9" s="117">
        <v>327</v>
      </c>
      <c r="D9" s="15">
        <v>340</v>
      </c>
      <c r="E9" s="15">
        <v>340</v>
      </c>
      <c r="F9" s="15">
        <v>340</v>
      </c>
      <c r="G9" s="15">
        <v>340</v>
      </c>
      <c r="H9" s="15">
        <v>350</v>
      </c>
      <c r="I9" s="15">
        <v>350</v>
      </c>
      <c r="J9" s="15">
        <v>370</v>
      </c>
      <c r="K9" s="16">
        <v>370</v>
      </c>
      <c r="L9" s="15">
        <v>370</v>
      </c>
      <c r="M9" s="16">
        <v>370</v>
      </c>
      <c r="N9" s="15">
        <v>370</v>
      </c>
      <c r="O9" s="16">
        <v>370</v>
      </c>
      <c r="P9" s="15"/>
      <c r="Q9" s="1107">
        <v>500</v>
      </c>
      <c r="R9" s="16"/>
      <c r="S9" s="16"/>
    </row>
    <row r="10" spans="1:21" x14ac:dyDescent="0.2">
      <c r="A10" s="787"/>
      <c r="B10" s="49" t="s">
        <v>828</v>
      </c>
      <c r="C10" s="118">
        <f t="shared" ref="C10:Q10" si="0">+C9</f>
        <v>327</v>
      </c>
      <c r="D10" s="18">
        <f t="shared" si="0"/>
        <v>340</v>
      </c>
      <c r="E10" s="18">
        <f t="shared" si="0"/>
        <v>340</v>
      </c>
      <c r="F10" s="18">
        <f>+F9</f>
        <v>340</v>
      </c>
      <c r="G10" s="18">
        <f>+G9</f>
        <v>340</v>
      </c>
      <c r="H10" s="18">
        <f>+H9</f>
        <v>350</v>
      </c>
      <c r="I10" s="18">
        <f>+I9</f>
        <v>350</v>
      </c>
      <c r="J10" s="18">
        <f>+J9</f>
        <v>370</v>
      </c>
      <c r="K10" s="34">
        <f t="shared" ref="K10:O10" si="1">+K9</f>
        <v>370</v>
      </c>
      <c r="L10" s="18">
        <f t="shared" si="1"/>
        <v>370</v>
      </c>
      <c r="M10" s="34">
        <f t="shared" si="1"/>
        <v>370</v>
      </c>
      <c r="N10" s="18">
        <f t="shared" si="1"/>
        <v>370</v>
      </c>
      <c r="O10" s="34">
        <f t="shared" si="1"/>
        <v>370</v>
      </c>
      <c r="P10" s="18">
        <f t="shared" si="0"/>
        <v>0</v>
      </c>
      <c r="Q10" s="34">
        <f t="shared" si="0"/>
        <v>500</v>
      </c>
      <c r="R10" s="34"/>
      <c r="S10" s="34"/>
    </row>
    <row r="11" spans="1:21" x14ac:dyDescent="0.2">
      <c r="A11" s="787"/>
      <c r="B11" s="48"/>
      <c r="C11" s="116"/>
      <c r="D11" s="13"/>
      <c r="E11" s="13"/>
      <c r="F11" s="13"/>
      <c r="G11" s="13"/>
      <c r="H11" s="13"/>
      <c r="I11" s="13"/>
      <c r="J11" s="13"/>
      <c r="K11" s="14"/>
      <c r="L11" s="13"/>
      <c r="M11" s="14"/>
      <c r="N11" s="13"/>
      <c r="O11" s="14"/>
      <c r="P11" s="13"/>
      <c r="Q11" s="14"/>
      <c r="R11" s="14"/>
      <c r="S11" s="14"/>
    </row>
    <row r="12" spans="1:21" x14ac:dyDescent="0.2">
      <c r="A12" s="787">
        <v>5279</v>
      </c>
      <c r="B12" s="48" t="s">
        <v>829</v>
      </c>
      <c r="C12" s="116"/>
      <c r="D12" s="13">
        <v>0</v>
      </c>
      <c r="E12" s="13"/>
      <c r="F12" s="13"/>
      <c r="G12" s="13"/>
      <c r="H12" s="13"/>
      <c r="I12" s="128"/>
      <c r="J12" s="128"/>
      <c r="K12" s="14"/>
      <c r="L12" s="128"/>
      <c r="M12" s="14"/>
      <c r="N12" s="128"/>
      <c r="O12" s="14"/>
      <c r="P12" s="13"/>
      <c r="Q12" s="14"/>
      <c r="R12" s="14"/>
      <c r="S12" s="14"/>
    </row>
    <row r="13" spans="1:21" x14ac:dyDescent="0.2">
      <c r="A13" s="787">
        <v>5314</v>
      </c>
      <c r="B13" s="48" t="s">
        <v>830</v>
      </c>
      <c r="C13" s="228"/>
      <c r="D13" s="35"/>
      <c r="E13" s="35"/>
      <c r="F13" s="35"/>
      <c r="G13" s="35">
        <v>37</v>
      </c>
      <c r="H13" s="35"/>
      <c r="I13" s="218"/>
      <c r="J13" s="218"/>
      <c r="K13" s="36"/>
      <c r="L13" s="218"/>
      <c r="M13" s="36"/>
      <c r="N13" s="218"/>
      <c r="O13" s="36"/>
      <c r="P13" s="35"/>
      <c r="Q13" s="36">
        <v>150</v>
      </c>
      <c r="R13" s="36"/>
      <c r="S13" s="36"/>
    </row>
    <row r="14" spans="1:21" x14ac:dyDescent="0.2">
      <c r="A14" s="787">
        <v>5315</v>
      </c>
      <c r="B14" s="48" t="s">
        <v>831</v>
      </c>
      <c r="C14" s="228">
        <v>300</v>
      </c>
      <c r="D14" s="35">
        <v>105</v>
      </c>
      <c r="E14" s="35">
        <v>165</v>
      </c>
      <c r="F14" s="35">
        <v>165</v>
      </c>
      <c r="G14" s="35">
        <v>120</v>
      </c>
      <c r="H14" s="35">
        <v>165</v>
      </c>
      <c r="I14" s="35">
        <v>185</v>
      </c>
      <c r="J14" s="35">
        <v>740</v>
      </c>
      <c r="K14" s="36">
        <v>200</v>
      </c>
      <c r="L14" s="35">
        <v>150</v>
      </c>
      <c r="M14" s="36">
        <v>200</v>
      </c>
      <c r="N14" s="35">
        <v>175</v>
      </c>
      <c r="O14" s="36">
        <v>200</v>
      </c>
      <c r="P14" s="35">
        <v>175</v>
      </c>
      <c r="Q14" s="36">
        <v>200</v>
      </c>
      <c r="R14" s="36"/>
      <c r="S14" s="36"/>
    </row>
    <row r="15" spans="1:21" x14ac:dyDescent="0.2">
      <c r="A15" s="787">
        <v>5344</v>
      </c>
      <c r="B15" s="48" t="s">
        <v>832</v>
      </c>
      <c r="C15" s="116">
        <v>403.4</v>
      </c>
      <c r="D15" s="13">
        <v>452.78</v>
      </c>
      <c r="E15" s="13">
        <v>550.83000000000004</v>
      </c>
      <c r="F15" s="13">
        <v>253.05</v>
      </c>
      <c r="G15" s="13">
        <v>487.99</v>
      </c>
      <c r="H15" s="13">
        <v>600.05999999999995</v>
      </c>
      <c r="I15" s="13">
        <v>621.99</v>
      </c>
      <c r="J15" s="13">
        <v>614.79999999999995</v>
      </c>
      <c r="K15" s="14">
        <v>700</v>
      </c>
      <c r="L15" s="13">
        <v>873.7</v>
      </c>
      <c r="M15" s="14">
        <v>750</v>
      </c>
      <c r="N15" s="13">
        <v>731.57</v>
      </c>
      <c r="O15" s="14">
        <v>1000</v>
      </c>
      <c r="P15" s="13"/>
      <c r="Q15" s="14">
        <v>1000</v>
      </c>
      <c r="R15" s="14"/>
      <c r="S15" s="14"/>
    </row>
    <row r="16" spans="1:21" x14ac:dyDescent="0.2">
      <c r="A16" s="787">
        <v>5420</v>
      </c>
      <c r="B16" s="48" t="s">
        <v>833</v>
      </c>
      <c r="C16" s="116"/>
      <c r="D16" s="13"/>
      <c r="E16" s="13"/>
      <c r="F16" s="13"/>
      <c r="G16" s="13"/>
      <c r="H16" s="13"/>
      <c r="I16" s="112">
        <v>0</v>
      </c>
      <c r="J16" s="112">
        <v>74.040000000000006</v>
      </c>
      <c r="K16" s="19">
        <v>150</v>
      </c>
      <c r="L16" s="112"/>
      <c r="M16" s="19">
        <v>150</v>
      </c>
      <c r="N16" s="112">
        <v>132.72</v>
      </c>
      <c r="O16" s="19">
        <v>150</v>
      </c>
      <c r="P16" s="13"/>
      <c r="Q16" s="19">
        <v>200</v>
      </c>
      <c r="R16" s="19"/>
      <c r="S16" s="14"/>
    </row>
    <row r="17" spans="1:21" x14ac:dyDescent="0.2">
      <c r="A17" s="787">
        <v>5490</v>
      </c>
      <c r="B17" s="48" t="s">
        <v>834</v>
      </c>
      <c r="C17" s="116">
        <v>511.33</v>
      </c>
      <c r="D17" s="13">
        <v>505.6</v>
      </c>
      <c r="E17" s="13">
        <v>538.77</v>
      </c>
      <c r="F17" s="13">
        <v>590.80999999999995</v>
      </c>
      <c r="G17" s="13">
        <v>576.74</v>
      </c>
      <c r="H17" s="13">
        <v>595.02</v>
      </c>
      <c r="I17" s="13">
        <v>618.01</v>
      </c>
      <c r="J17" s="13">
        <v>17.52</v>
      </c>
      <c r="K17" s="14">
        <v>650</v>
      </c>
      <c r="L17" s="13">
        <v>10</v>
      </c>
      <c r="M17" s="14">
        <v>650</v>
      </c>
      <c r="N17" s="13">
        <v>730.71</v>
      </c>
      <c r="O17" s="14">
        <v>650</v>
      </c>
      <c r="P17" s="13"/>
      <c r="Q17" s="14">
        <v>750</v>
      </c>
      <c r="R17" s="14"/>
      <c r="S17" s="14"/>
    </row>
    <row r="18" spans="1:21" x14ac:dyDescent="0.2">
      <c r="A18" s="787">
        <v>5586</v>
      </c>
      <c r="B18" s="48" t="s">
        <v>835</v>
      </c>
      <c r="C18" s="118"/>
      <c r="D18" s="18"/>
      <c r="E18" s="18"/>
      <c r="F18" s="18"/>
      <c r="G18" s="18"/>
      <c r="H18" s="18">
        <v>53.74</v>
      </c>
      <c r="I18" s="18"/>
      <c r="J18" s="18">
        <v>2221.27</v>
      </c>
      <c r="K18" s="19"/>
      <c r="L18" s="18"/>
      <c r="M18" s="19"/>
      <c r="N18" s="18"/>
      <c r="O18" s="19"/>
      <c r="P18" s="18"/>
      <c r="Q18" s="19"/>
      <c r="R18" s="19"/>
      <c r="S18" s="19"/>
    </row>
    <row r="19" spans="1:21" x14ac:dyDescent="0.2">
      <c r="A19" s="787">
        <v>5710</v>
      </c>
      <c r="B19" s="48" t="s">
        <v>836</v>
      </c>
      <c r="C19" s="18"/>
      <c r="D19" s="18">
        <v>0</v>
      </c>
      <c r="E19" s="18"/>
      <c r="F19" s="18"/>
      <c r="G19" s="18"/>
      <c r="H19" s="18"/>
      <c r="I19" s="18"/>
      <c r="J19" s="18"/>
      <c r="K19" s="19"/>
      <c r="L19" s="18"/>
      <c r="M19" s="19"/>
      <c r="N19" s="18"/>
      <c r="O19" s="19"/>
      <c r="P19" s="18"/>
      <c r="Q19" s="19">
        <v>150</v>
      </c>
      <c r="R19" s="19"/>
      <c r="S19" s="19"/>
    </row>
    <row r="20" spans="1:21" ht="13.5" thickBot="1" x14ac:dyDescent="0.25">
      <c r="A20" s="787">
        <v>5730</v>
      </c>
      <c r="B20" s="48" t="s">
        <v>837</v>
      </c>
      <c r="C20" s="15">
        <v>20</v>
      </c>
      <c r="D20" s="15">
        <v>20</v>
      </c>
      <c r="E20" s="15">
        <v>20</v>
      </c>
      <c r="F20" s="15">
        <v>20</v>
      </c>
      <c r="G20" s="15">
        <v>20</v>
      </c>
      <c r="H20" s="15">
        <v>20</v>
      </c>
      <c r="I20" s="15">
        <v>25</v>
      </c>
      <c r="J20" s="15">
        <v>0</v>
      </c>
      <c r="K20" s="16">
        <v>20</v>
      </c>
      <c r="L20" s="15"/>
      <c r="M20" s="16">
        <v>20</v>
      </c>
      <c r="N20" s="15"/>
      <c r="O20" s="16">
        <v>20</v>
      </c>
      <c r="P20" s="15"/>
      <c r="Q20" s="16">
        <v>30</v>
      </c>
      <c r="R20" s="16"/>
      <c r="S20" s="16"/>
    </row>
    <row r="21" spans="1:21" x14ac:dyDescent="0.2">
      <c r="A21" s="787"/>
      <c r="B21" s="49" t="s">
        <v>838</v>
      </c>
      <c r="C21" s="18">
        <f t="shared" ref="C21:P21" si="2">SUM(C12:C20)</f>
        <v>1234.73</v>
      </c>
      <c r="D21" s="18">
        <f t="shared" si="2"/>
        <v>1083.3800000000001</v>
      </c>
      <c r="E21" s="18">
        <f t="shared" si="2"/>
        <v>1274.5999999999999</v>
      </c>
      <c r="F21" s="18">
        <f>SUM(F14:F20)</f>
        <v>1028.8599999999999</v>
      </c>
      <c r="G21" s="18">
        <f>SUM(G12:G20)</f>
        <v>1241.73</v>
      </c>
      <c r="H21" s="18">
        <f>SUM(H12:H20)</f>
        <v>1433.82</v>
      </c>
      <c r="I21" s="18">
        <f>SUM(I12:I20)</f>
        <v>1450</v>
      </c>
      <c r="J21" s="18">
        <f>SUM(J12:J20)</f>
        <v>3667.63</v>
      </c>
      <c r="K21" s="19">
        <f t="shared" ref="K21:O21" si="3">SUM(K12:K20)</f>
        <v>1720</v>
      </c>
      <c r="L21" s="18">
        <f t="shared" si="3"/>
        <v>1033.7</v>
      </c>
      <c r="M21" s="19">
        <f t="shared" si="3"/>
        <v>1770</v>
      </c>
      <c r="N21" s="18">
        <f t="shared" ref="N21" si="4">SUM(N12:N20)</f>
        <v>1770</v>
      </c>
      <c r="O21" s="19">
        <f t="shared" si="3"/>
        <v>2020</v>
      </c>
      <c r="P21" s="18">
        <f t="shared" si="2"/>
        <v>175</v>
      </c>
      <c r="Q21" s="19">
        <f t="shared" ref="Q21" si="5">SUM(Q12:Q20)</f>
        <v>2480</v>
      </c>
      <c r="R21" s="19"/>
      <c r="S21" s="19">
        <f>SUM(S12:S20)</f>
        <v>0</v>
      </c>
    </row>
    <row r="22" spans="1:21" x14ac:dyDescent="0.2">
      <c r="A22" s="787"/>
      <c r="B22" s="48"/>
      <c r="C22" s="13"/>
      <c r="D22" s="13"/>
      <c r="E22" s="13"/>
      <c r="F22" s="13"/>
      <c r="G22" s="13"/>
      <c r="H22" s="13"/>
      <c r="I22" s="13"/>
      <c r="J22" s="13"/>
      <c r="K22" s="14"/>
      <c r="L22" s="13"/>
      <c r="M22" s="14"/>
      <c r="N22" s="13"/>
      <c r="O22" s="14"/>
      <c r="P22" s="13"/>
      <c r="Q22" s="14"/>
      <c r="R22" s="14"/>
      <c r="S22" s="14"/>
    </row>
    <row r="23" spans="1:21" ht="13.5" thickBot="1" x14ac:dyDescent="0.25">
      <c r="A23" s="788"/>
      <c r="B23" s="50" t="s">
        <v>839</v>
      </c>
      <c r="C23" s="21">
        <f t="shared" ref="C23:Q23" si="6">+C21+C10</f>
        <v>1561.73</v>
      </c>
      <c r="D23" s="21">
        <f t="shared" si="6"/>
        <v>1423.38</v>
      </c>
      <c r="E23" s="21">
        <f t="shared" si="6"/>
        <v>1614.6</v>
      </c>
      <c r="F23" s="21">
        <f>+F21+F10</f>
        <v>1368.86</v>
      </c>
      <c r="G23" s="21">
        <f>+G21+G10</f>
        <v>1581.73</v>
      </c>
      <c r="H23" s="21">
        <f>+H21+H10</f>
        <v>1783.82</v>
      </c>
      <c r="I23" s="21">
        <f t="shared" si="6"/>
        <v>1800</v>
      </c>
      <c r="J23" s="21">
        <f t="shared" ref="J23" si="7">+J21+J10</f>
        <v>4037.63</v>
      </c>
      <c r="K23" s="39">
        <f t="shared" ref="K23:O23" si="8">+K21+K10</f>
        <v>2090</v>
      </c>
      <c r="L23" s="21">
        <f t="shared" si="8"/>
        <v>1403.7</v>
      </c>
      <c r="M23" s="39">
        <f t="shared" si="8"/>
        <v>2140</v>
      </c>
      <c r="N23" s="21">
        <f t="shared" ref="N23" si="9">+N21+N10</f>
        <v>2140</v>
      </c>
      <c r="O23" s="39">
        <f t="shared" si="8"/>
        <v>2390</v>
      </c>
      <c r="P23" s="21">
        <f t="shared" si="6"/>
        <v>175</v>
      </c>
      <c r="Q23" s="39">
        <f t="shared" si="6"/>
        <v>2980</v>
      </c>
      <c r="R23" s="39">
        <f>+Q23</f>
        <v>2980</v>
      </c>
      <c r="S23" s="39">
        <f>+Q23</f>
        <v>2980</v>
      </c>
    </row>
    <row r="24" spans="1:21" ht="13.5" thickTop="1" x14ac:dyDescent="0.2">
      <c r="A24" s="774"/>
      <c r="B24" s="4"/>
      <c r="C24" s="23"/>
      <c r="D24" s="23"/>
      <c r="E24" s="23"/>
      <c r="F24" s="23"/>
      <c r="G24" s="23"/>
      <c r="H24" s="23"/>
      <c r="I24" s="23"/>
      <c r="J24" s="23"/>
      <c r="K24" s="23"/>
      <c r="L24" s="23"/>
      <c r="M24" s="23"/>
      <c r="N24" s="23"/>
      <c r="O24" s="23"/>
      <c r="P24" s="199" t="s">
        <v>843</v>
      </c>
      <c r="Q24" s="1116">
        <f>+Q23-O23</f>
        <v>590</v>
      </c>
      <c r="R24" s="1117">
        <f>ROUND((+Q24/O23),4)</f>
        <v>0.24690000000000001</v>
      </c>
      <c r="S24" s="25"/>
      <c r="U24" s="25"/>
    </row>
    <row r="25" spans="1:21" ht="13.5" thickBot="1" x14ac:dyDescent="0.25">
      <c r="A25" s="63"/>
      <c r="B25" s="4"/>
      <c r="C25" s="23"/>
      <c r="D25" s="23"/>
      <c r="E25" s="23"/>
      <c r="F25" s="23"/>
      <c r="G25" s="23"/>
      <c r="H25" s="23"/>
      <c r="I25" s="23"/>
      <c r="J25" s="23"/>
      <c r="K25" s="23"/>
      <c r="L25" s="23"/>
      <c r="M25" s="23"/>
      <c r="N25" s="23"/>
      <c r="O25" s="23"/>
      <c r="P25" s="25"/>
      <c r="Q25" s="23"/>
      <c r="R25" s="23"/>
      <c r="S25" s="25"/>
      <c r="U25" s="25"/>
    </row>
    <row r="26" spans="1:21" ht="13.5" thickTop="1" x14ac:dyDescent="0.2">
      <c r="A26" s="789"/>
      <c r="B26" s="367"/>
      <c r="C26" s="368" t="s">
        <v>280</v>
      </c>
      <c r="D26" s="369" t="s">
        <v>280</v>
      </c>
      <c r="E26" s="369" t="s">
        <v>280</v>
      </c>
      <c r="F26" s="212"/>
      <c r="G26" s="212"/>
      <c r="H26" s="212"/>
      <c r="I26" s="212"/>
      <c r="J26" s="212"/>
      <c r="K26" s="212"/>
      <c r="L26" s="212"/>
      <c r="M26" s="370" t="s">
        <v>279</v>
      </c>
      <c r="N26" s="371" t="s">
        <v>826</v>
      </c>
      <c r="O26" s="372" t="s">
        <v>840</v>
      </c>
      <c r="P26" s="371" t="s">
        <v>841</v>
      </c>
      <c r="Q26" s="373"/>
      <c r="R26" s="569"/>
      <c r="S26" s="372"/>
    </row>
    <row r="27" spans="1:21" ht="13.5" thickBot="1" x14ac:dyDescent="0.25">
      <c r="A27" s="790" t="s">
        <v>825</v>
      </c>
      <c r="B27" s="374"/>
      <c r="C27" s="375" t="s">
        <v>267</v>
      </c>
      <c r="D27" s="375" t="s">
        <v>268</v>
      </c>
      <c r="E27" s="376" t="s">
        <v>269</v>
      </c>
      <c r="F27" s="212"/>
      <c r="G27" s="212"/>
      <c r="H27" s="212"/>
      <c r="I27" s="212"/>
      <c r="J27" s="212"/>
      <c r="K27" s="212"/>
      <c r="L27" s="212"/>
      <c r="M27" s="377" t="s">
        <v>277</v>
      </c>
      <c r="N27" s="377" t="s">
        <v>842</v>
      </c>
      <c r="O27" s="376" t="s">
        <v>843</v>
      </c>
      <c r="P27" s="378" t="s">
        <v>843</v>
      </c>
      <c r="Q27" s="379" t="s">
        <v>844</v>
      </c>
      <c r="R27" s="570"/>
      <c r="S27" s="377"/>
      <c r="U27" s="84"/>
    </row>
    <row r="28" spans="1:21" ht="13.5" thickTop="1" x14ac:dyDescent="0.2">
      <c r="A28" s="791"/>
      <c r="B28" s="380"/>
      <c r="C28" s="381"/>
      <c r="D28" s="381"/>
      <c r="E28" s="381"/>
      <c r="F28" s="212"/>
      <c r="G28" s="212"/>
      <c r="H28" s="212"/>
      <c r="I28" s="212"/>
      <c r="J28" s="212"/>
      <c r="K28" s="212"/>
      <c r="L28" s="212"/>
      <c r="M28" s="382"/>
      <c r="N28" s="383"/>
      <c r="O28" s="384"/>
      <c r="P28" s="383"/>
      <c r="Q28" s="385"/>
      <c r="R28" s="572"/>
      <c r="S28" s="386"/>
      <c r="U28" s="25"/>
    </row>
    <row r="29" spans="1:21" ht="13.5" thickBot="1" x14ac:dyDescent="0.25">
      <c r="A29" s="792">
        <v>5115</v>
      </c>
      <c r="B29" s="388" t="s">
        <v>827</v>
      </c>
      <c r="C29" s="389">
        <v>327</v>
      </c>
      <c r="D29" s="389">
        <v>340</v>
      </c>
      <c r="E29" s="389">
        <v>340</v>
      </c>
      <c r="F29" s="212"/>
      <c r="G29" s="212"/>
      <c r="H29" s="212"/>
      <c r="I29" s="212"/>
      <c r="J29" s="212"/>
      <c r="K29" s="212"/>
      <c r="L29" s="212"/>
      <c r="M29" s="390">
        <f>+O9</f>
        <v>370</v>
      </c>
      <c r="N29" s="411">
        <f>+Q9</f>
        <v>500</v>
      </c>
      <c r="O29" s="386">
        <f t="shared" ref="O29:O38" si="10">+N29-M29</f>
        <v>130</v>
      </c>
      <c r="P29" s="392">
        <f t="shared" ref="P29:P38" si="11">IF(M29+N29&lt;&gt;0,IF(M29&lt;&gt;0,IF(O29&lt;&gt;0,ROUND((+O29/M29),4),""),1),"")</f>
        <v>0.35139999999999999</v>
      </c>
      <c r="Q29" s="1110" t="s">
        <v>2293</v>
      </c>
      <c r="R29" s="572"/>
      <c r="S29" s="386"/>
      <c r="U29" s="25"/>
    </row>
    <row r="30" spans="1:21" x14ac:dyDescent="0.2">
      <c r="A30" s="792">
        <v>5279</v>
      </c>
      <c r="B30" s="388" t="s">
        <v>829</v>
      </c>
      <c r="C30" s="391"/>
      <c r="D30" s="391">
        <v>0</v>
      </c>
      <c r="E30" s="391"/>
      <c r="F30" s="212"/>
      <c r="G30" s="212"/>
      <c r="H30" s="212"/>
      <c r="I30" s="212"/>
      <c r="J30" s="212"/>
      <c r="K30" s="212"/>
      <c r="L30" s="212"/>
      <c r="M30" s="390">
        <f t="shared" ref="M30:M38" si="12">+O12</f>
        <v>0</v>
      </c>
      <c r="N30" s="411">
        <f t="shared" ref="N30:N38" si="13">+Q12</f>
        <v>0</v>
      </c>
      <c r="O30" s="386">
        <f t="shared" si="10"/>
        <v>0</v>
      </c>
      <c r="P30" s="392" t="str">
        <f t="shared" si="11"/>
        <v/>
      </c>
      <c r="Q30" s="385"/>
      <c r="R30" s="572"/>
      <c r="S30" s="386"/>
      <c r="U30" s="25"/>
    </row>
    <row r="31" spans="1:21" x14ac:dyDescent="0.2">
      <c r="A31" s="792">
        <v>5314</v>
      </c>
      <c r="B31" s="388" t="s">
        <v>830</v>
      </c>
      <c r="C31" s="393"/>
      <c r="D31" s="393"/>
      <c r="E31" s="393"/>
      <c r="F31" s="212"/>
      <c r="G31" s="212"/>
      <c r="H31" s="212"/>
      <c r="I31" s="212"/>
      <c r="J31" s="212"/>
      <c r="K31" s="212"/>
      <c r="L31" s="212"/>
      <c r="M31" s="390">
        <f t="shared" si="12"/>
        <v>0</v>
      </c>
      <c r="N31" s="411">
        <f t="shared" si="13"/>
        <v>150</v>
      </c>
      <c r="O31" s="386">
        <f t="shared" si="10"/>
        <v>150</v>
      </c>
      <c r="P31" s="392">
        <f t="shared" si="11"/>
        <v>1</v>
      </c>
      <c r="Q31" s="1110" t="s">
        <v>2294</v>
      </c>
      <c r="R31" s="572"/>
      <c r="S31" s="386"/>
      <c r="U31" s="25"/>
    </row>
    <row r="32" spans="1:21" x14ac:dyDescent="0.2">
      <c r="A32" s="792">
        <v>5315</v>
      </c>
      <c r="B32" s="388" t="s">
        <v>831</v>
      </c>
      <c r="C32" s="393">
        <v>300</v>
      </c>
      <c r="D32" s="393">
        <v>105</v>
      </c>
      <c r="E32" s="393">
        <v>165</v>
      </c>
      <c r="F32" s="212"/>
      <c r="G32" s="212"/>
      <c r="H32" s="212"/>
      <c r="I32" s="212"/>
      <c r="J32" s="212"/>
      <c r="K32" s="212"/>
      <c r="L32" s="212"/>
      <c r="M32" s="390">
        <f t="shared" si="12"/>
        <v>200</v>
      </c>
      <c r="N32" s="411">
        <f t="shared" si="13"/>
        <v>200</v>
      </c>
      <c r="O32" s="386">
        <f t="shared" si="10"/>
        <v>0</v>
      </c>
      <c r="P32" s="392" t="str">
        <f t="shared" si="11"/>
        <v/>
      </c>
      <c r="Q32" s="385"/>
      <c r="R32" s="572"/>
      <c r="S32" s="386"/>
      <c r="U32" s="25"/>
    </row>
    <row r="33" spans="1:21" x14ac:dyDescent="0.2">
      <c r="A33" s="792">
        <v>5344</v>
      </c>
      <c r="B33" s="388" t="s">
        <v>832</v>
      </c>
      <c r="C33" s="391">
        <v>403.4</v>
      </c>
      <c r="D33" s="391">
        <v>452.78</v>
      </c>
      <c r="E33" s="391">
        <v>550.83000000000004</v>
      </c>
      <c r="F33" s="212"/>
      <c r="G33" s="212"/>
      <c r="H33" s="212"/>
      <c r="I33" s="212"/>
      <c r="J33" s="212"/>
      <c r="K33" s="212"/>
      <c r="L33" s="212"/>
      <c r="M33" s="390">
        <f t="shared" si="12"/>
        <v>1000</v>
      </c>
      <c r="N33" s="411">
        <f t="shared" si="13"/>
        <v>1000</v>
      </c>
      <c r="O33" s="386">
        <f t="shared" si="10"/>
        <v>0</v>
      </c>
      <c r="P33" s="392" t="str">
        <f t="shared" si="11"/>
        <v/>
      </c>
      <c r="Q33" s="385"/>
      <c r="R33" s="572"/>
      <c r="S33" s="386"/>
      <c r="U33" s="25"/>
    </row>
    <row r="34" spans="1:21" x14ac:dyDescent="0.2">
      <c r="A34" s="792">
        <v>5420</v>
      </c>
      <c r="B34" s="388" t="s">
        <v>845</v>
      </c>
      <c r="C34" s="391"/>
      <c r="D34" s="391"/>
      <c r="E34" s="391"/>
      <c r="F34" s="212"/>
      <c r="G34" s="212"/>
      <c r="H34" s="212"/>
      <c r="I34" s="212"/>
      <c r="J34" s="212"/>
      <c r="K34" s="212"/>
      <c r="L34" s="212"/>
      <c r="M34" s="390">
        <f t="shared" si="12"/>
        <v>150</v>
      </c>
      <c r="N34" s="411">
        <f t="shared" si="13"/>
        <v>200</v>
      </c>
      <c r="O34" s="386">
        <f t="shared" si="10"/>
        <v>50</v>
      </c>
      <c r="P34" s="392">
        <f t="shared" si="11"/>
        <v>0.33329999999999999</v>
      </c>
      <c r="Q34" s="1110" t="s">
        <v>2295</v>
      </c>
      <c r="R34" s="572"/>
      <c r="S34" s="386"/>
      <c r="U34" s="25"/>
    </row>
    <row r="35" spans="1:21" x14ac:dyDescent="0.2">
      <c r="A35" s="792">
        <v>5586</v>
      </c>
      <c r="B35" s="388" t="s">
        <v>835</v>
      </c>
      <c r="C35" s="391"/>
      <c r="D35" s="391"/>
      <c r="E35" s="391"/>
      <c r="F35" s="212"/>
      <c r="G35" s="212"/>
      <c r="H35" s="212"/>
      <c r="I35" s="212"/>
      <c r="J35" s="212"/>
      <c r="K35" s="212"/>
      <c r="L35" s="212"/>
      <c r="M35" s="390">
        <f t="shared" si="12"/>
        <v>650</v>
      </c>
      <c r="N35" s="411">
        <f t="shared" si="13"/>
        <v>750</v>
      </c>
      <c r="O35" s="386">
        <f t="shared" si="10"/>
        <v>100</v>
      </c>
      <c r="P35" s="392">
        <f t="shared" si="11"/>
        <v>0.15379999999999999</v>
      </c>
      <c r="Q35" s="1110" t="s">
        <v>2296</v>
      </c>
      <c r="R35" s="572"/>
      <c r="S35" s="386"/>
      <c r="U35" s="25"/>
    </row>
    <row r="36" spans="1:21" x14ac:dyDescent="0.2">
      <c r="A36" s="792">
        <v>5490</v>
      </c>
      <c r="B36" s="388" t="s">
        <v>834</v>
      </c>
      <c r="C36" s="391">
        <v>511.33</v>
      </c>
      <c r="D36" s="391">
        <v>505.6</v>
      </c>
      <c r="E36" s="391">
        <v>538.77</v>
      </c>
      <c r="F36" s="212"/>
      <c r="G36" s="212"/>
      <c r="H36" s="212"/>
      <c r="I36" s="212"/>
      <c r="J36" s="212"/>
      <c r="K36" s="212"/>
      <c r="L36" s="212"/>
      <c r="M36" s="390">
        <f t="shared" si="12"/>
        <v>0</v>
      </c>
      <c r="N36" s="411">
        <f t="shared" si="13"/>
        <v>0</v>
      </c>
      <c r="O36" s="386">
        <f t="shared" si="10"/>
        <v>0</v>
      </c>
      <c r="P36" s="392" t="str">
        <f t="shared" si="11"/>
        <v/>
      </c>
      <c r="Q36" s="385"/>
      <c r="R36" s="572"/>
      <c r="S36" s="386"/>
      <c r="U36" s="25"/>
    </row>
    <row r="37" spans="1:21" x14ac:dyDescent="0.2">
      <c r="A37" s="792">
        <v>5710</v>
      </c>
      <c r="B37" s="388" t="s">
        <v>836</v>
      </c>
      <c r="C37" s="383"/>
      <c r="D37" s="383">
        <v>0</v>
      </c>
      <c r="E37" s="383"/>
      <c r="F37" s="212"/>
      <c r="G37" s="212"/>
      <c r="H37" s="212"/>
      <c r="I37" s="212"/>
      <c r="J37" s="212"/>
      <c r="K37" s="212"/>
      <c r="L37" s="212"/>
      <c r="M37" s="390">
        <f t="shared" si="12"/>
        <v>0</v>
      </c>
      <c r="N37" s="411">
        <f t="shared" si="13"/>
        <v>150</v>
      </c>
      <c r="O37" s="386">
        <f t="shared" si="10"/>
        <v>150</v>
      </c>
      <c r="P37" s="392">
        <f t="shared" si="11"/>
        <v>1</v>
      </c>
      <c r="Q37" s="1110" t="s">
        <v>2297</v>
      </c>
      <c r="R37" s="572"/>
      <c r="S37" s="386"/>
      <c r="U37" s="25"/>
    </row>
    <row r="38" spans="1:21" ht="13.5" thickBot="1" x14ac:dyDescent="0.25">
      <c r="A38" s="792">
        <v>5730</v>
      </c>
      <c r="B38" s="388" t="s">
        <v>837</v>
      </c>
      <c r="C38" s="389">
        <v>20</v>
      </c>
      <c r="D38" s="389">
        <v>20</v>
      </c>
      <c r="E38" s="389">
        <v>20</v>
      </c>
      <c r="F38" s="212"/>
      <c r="G38" s="212"/>
      <c r="H38" s="212"/>
      <c r="I38" s="212"/>
      <c r="J38" s="212"/>
      <c r="K38" s="212"/>
      <c r="L38" s="212"/>
      <c r="M38" s="390">
        <f t="shared" si="12"/>
        <v>20</v>
      </c>
      <c r="N38" s="411">
        <f t="shared" si="13"/>
        <v>30</v>
      </c>
      <c r="O38" s="386">
        <f t="shared" si="10"/>
        <v>10</v>
      </c>
      <c r="P38" s="392">
        <f t="shared" si="11"/>
        <v>0.5</v>
      </c>
      <c r="Q38" s="1110" t="s">
        <v>2298</v>
      </c>
      <c r="R38" s="572"/>
      <c r="S38" s="386"/>
      <c r="U38" s="25"/>
    </row>
    <row r="39" spans="1:21" x14ac:dyDescent="0.2">
      <c r="A39" s="774"/>
      <c r="B39" s="4"/>
      <c r="C39" s="23"/>
      <c r="D39" s="23"/>
      <c r="E39" s="23"/>
      <c r="F39" s="23"/>
      <c r="G39" s="23"/>
      <c r="H39" s="212"/>
      <c r="I39" s="212"/>
      <c r="J39" s="212"/>
      <c r="K39" s="212"/>
      <c r="L39" s="212"/>
      <c r="M39" s="23"/>
      <c r="N39" s="23"/>
      <c r="O39" s="23"/>
      <c r="P39" s="25"/>
      <c r="Q39" s="23"/>
      <c r="R39" s="23"/>
      <c r="S39" s="25"/>
      <c r="U39" s="25"/>
    </row>
    <row r="40" spans="1:21" x14ac:dyDescent="0.2">
      <c r="A40" s="774"/>
      <c r="B40" s="4" t="s">
        <v>846</v>
      </c>
      <c r="C40" s="23"/>
      <c r="D40" s="23"/>
      <c r="E40" s="23"/>
      <c r="F40" s="23"/>
      <c r="G40" s="23"/>
      <c r="H40" s="212"/>
      <c r="I40" s="212"/>
      <c r="J40" s="212"/>
      <c r="K40" s="212"/>
      <c r="L40" s="212"/>
      <c r="M40" s="616">
        <f>SUM(M29:M39)</f>
        <v>2390</v>
      </c>
      <c r="N40" s="616">
        <f>SUM(N29:N39)</f>
        <v>2980</v>
      </c>
      <c r="O40" s="25">
        <f>+N40-M40</f>
        <v>590</v>
      </c>
      <c r="P40" s="617">
        <f>IF(M40+N40&lt;&gt;0,IF(M40&lt;&gt;0,IF(O40&lt;&gt;0,ROUND((+O40/M40),4),""),1),"")</f>
        <v>0.24690000000000001</v>
      </c>
      <c r="Q40" s="23"/>
      <c r="R40" s="23"/>
      <c r="S40" s="25"/>
      <c r="U40" s="25"/>
    </row>
    <row r="41" spans="1:21" x14ac:dyDescent="0.2">
      <c r="A41" s="774"/>
      <c r="B41" s="4"/>
      <c r="C41" s="23"/>
      <c r="D41" s="23"/>
      <c r="E41" s="23"/>
      <c r="F41" s="23"/>
      <c r="G41" s="23"/>
      <c r="H41" s="616"/>
      <c r="I41" s="23"/>
      <c r="J41" s="23"/>
      <c r="K41" s="23"/>
      <c r="L41" s="23"/>
      <c r="M41" s="23"/>
      <c r="N41" s="23"/>
      <c r="O41" s="23"/>
      <c r="P41" s="25"/>
      <c r="Q41" s="23"/>
      <c r="R41" s="23"/>
      <c r="S41" s="25"/>
      <c r="U41" s="25"/>
    </row>
    <row r="42" spans="1:21" x14ac:dyDescent="0.2">
      <c r="A42" s="774"/>
      <c r="B42" s="4"/>
      <c r="C42" s="23"/>
      <c r="D42" s="23"/>
      <c r="E42" s="23"/>
      <c r="F42" s="23"/>
      <c r="G42" s="23"/>
      <c r="H42" s="23"/>
      <c r="I42" s="23"/>
      <c r="J42" s="23"/>
      <c r="K42" s="23"/>
      <c r="L42" s="23"/>
      <c r="M42" s="23"/>
      <c r="N42" s="23"/>
      <c r="O42" s="23"/>
      <c r="P42" s="25"/>
      <c r="Q42" s="23"/>
      <c r="R42" s="23"/>
      <c r="S42" s="25"/>
      <c r="U42" s="25"/>
    </row>
    <row r="43" spans="1:21" x14ac:dyDescent="0.2">
      <c r="A43" s="774"/>
      <c r="B43" s="4"/>
      <c r="C43" s="23"/>
      <c r="D43" s="23"/>
      <c r="E43" s="23"/>
      <c r="F43" s="23"/>
      <c r="G43" s="23"/>
      <c r="H43" s="23"/>
      <c r="I43" s="23"/>
      <c r="J43" s="23"/>
      <c r="K43" s="23"/>
      <c r="L43" s="23"/>
      <c r="M43" s="23"/>
      <c r="N43" s="23"/>
      <c r="O43" s="23"/>
      <c r="P43" s="25"/>
      <c r="Q43" s="23"/>
      <c r="R43" s="23"/>
      <c r="S43" s="25"/>
      <c r="U43" s="25"/>
    </row>
    <row r="44" spans="1:21" x14ac:dyDescent="0.2">
      <c r="A44" s="774"/>
      <c r="B44" s="4"/>
      <c r="C44" s="23"/>
      <c r="D44" s="23"/>
      <c r="E44" s="23"/>
      <c r="F44" s="23"/>
      <c r="G44" s="23"/>
      <c r="H44" s="23"/>
      <c r="I44" s="23"/>
      <c r="J44" s="23"/>
      <c r="K44" s="23"/>
      <c r="L44" s="23"/>
      <c r="M44" s="23"/>
      <c r="N44" s="23"/>
      <c r="O44" s="23"/>
      <c r="P44" s="25"/>
      <c r="Q44" s="23"/>
      <c r="R44" s="23"/>
      <c r="S44" s="25"/>
      <c r="U44" s="25"/>
    </row>
    <row r="45" spans="1:21" x14ac:dyDescent="0.2">
      <c r="A45" s="774"/>
      <c r="B45" s="4"/>
      <c r="C45" s="23"/>
      <c r="D45" s="23"/>
      <c r="E45" s="23"/>
      <c r="F45" s="23"/>
      <c r="G45" s="23"/>
      <c r="H45" s="23"/>
      <c r="I45" s="23"/>
      <c r="J45" s="23"/>
      <c r="K45" s="23"/>
      <c r="L45" s="23"/>
      <c r="M45" s="23"/>
      <c r="N45" s="23"/>
      <c r="O45" s="23"/>
      <c r="P45" s="25"/>
      <c r="Q45" s="23"/>
      <c r="R45" s="23"/>
      <c r="S45" s="25"/>
      <c r="U45" s="25"/>
    </row>
    <row r="46" spans="1:21" x14ac:dyDescent="0.2">
      <c r="A46" s="774"/>
      <c r="B46" s="4"/>
      <c r="C46" s="23"/>
      <c r="D46" s="23"/>
      <c r="E46" s="23"/>
      <c r="F46" s="23"/>
      <c r="G46" s="23"/>
      <c r="H46" s="23"/>
      <c r="I46" s="23"/>
      <c r="J46" s="23"/>
      <c r="K46" s="23"/>
      <c r="L46" s="23"/>
      <c r="M46" s="23"/>
      <c r="N46" s="23"/>
      <c r="O46" s="23"/>
      <c r="P46" s="25"/>
      <c r="Q46" s="23"/>
      <c r="R46" s="23"/>
      <c r="S46" s="25"/>
      <c r="U46" s="25"/>
    </row>
    <row r="47" spans="1:21" x14ac:dyDescent="0.2">
      <c r="A47" s="774"/>
      <c r="B47" s="4"/>
      <c r="C47" s="23"/>
      <c r="D47" s="23"/>
      <c r="E47" s="23"/>
      <c r="F47" s="23"/>
      <c r="G47" s="23"/>
      <c r="H47" s="23"/>
      <c r="I47" s="23"/>
      <c r="J47" s="23"/>
      <c r="K47" s="23"/>
      <c r="L47" s="23"/>
      <c r="M47" s="23"/>
      <c r="N47" s="23"/>
      <c r="O47" s="23"/>
      <c r="P47" s="25"/>
      <c r="Q47" s="23"/>
      <c r="R47" s="23"/>
      <c r="S47" s="25"/>
      <c r="U47" s="25"/>
    </row>
    <row r="48" spans="1:21" x14ac:dyDescent="0.2">
      <c r="A48" s="774"/>
      <c r="B48" s="4"/>
      <c r="C48" s="23"/>
      <c r="D48" s="23"/>
      <c r="E48" s="23"/>
      <c r="F48" s="23"/>
      <c r="G48" s="23"/>
      <c r="H48" s="23"/>
      <c r="I48" s="23"/>
      <c r="J48" s="23"/>
      <c r="K48" s="23"/>
      <c r="L48" s="23"/>
      <c r="M48" s="23"/>
      <c r="N48" s="23"/>
      <c r="O48" s="23"/>
      <c r="P48" s="25"/>
      <c r="Q48" s="23"/>
      <c r="R48" s="23"/>
      <c r="S48" s="25"/>
      <c r="U48" s="25"/>
    </row>
    <row r="49" spans="1:21" x14ac:dyDescent="0.2">
      <c r="A49" s="774"/>
      <c r="B49" s="4"/>
      <c r="C49" s="23"/>
      <c r="D49" s="23"/>
      <c r="E49" s="23"/>
      <c r="F49" s="23"/>
      <c r="G49" s="23"/>
      <c r="H49" s="23"/>
      <c r="I49" s="23"/>
      <c r="J49" s="23"/>
      <c r="K49" s="23"/>
      <c r="L49" s="23"/>
      <c r="M49" s="23"/>
      <c r="N49" s="23"/>
      <c r="O49" s="23"/>
      <c r="P49" s="25"/>
      <c r="Q49" s="23"/>
      <c r="R49" s="23"/>
      <c r="S49" s="25"/>
      <c r="U49" s="25"/>
    </row>
    <row r="50" spans="1:21" x14ac:dyDescent="0.2">
      <c r="A50" s="774"/>
      <c r="B50" s="4"/>
      <c r="C50" s="23"/>
      <c r="D50" s="23"/>
      <c r="E50" s="23"/>
      <c r="F50" s="23"/>
      <c r="G50" s="23"/>
      <c r="H50" s="23"/>
      <c r="I50" s="23"/>
      <c r="J50" s="23"/>
      <c r="K50" s="23"/>
      <c r="L50" s="23"/>
      <c r="M50" s="23"/>
      <c r="N50" s="23"/>
      <c r="O50" s="23"/>
      <c r="P50" s="25"/>
      <c r="Q50" s="23"/>
      <c r="R50" s="23"/>
      <c r="S50" s="25"/>
      <c r="U50" s="25"/>
    </row>
    <row r="51" spans="1:21" x14ac:dyDescent="0.2">
      <c r="A51" s="774"/>
      <c r="B51" s="4"/>
      <c r="C51" s="23"/>
      <c r="D51" s="23"/>
      <c r="E51" s="23"/>
      <c r="F51" s="23"/>
      <c r="G51" s="23"/>
      <c r="H51" s="23"/>
      <c r="I51" s="23"/>
      <c r="J51" s="23"/>
      <c r="K51" s="23"/>
      <c r="L51" s="23"/>
      <c r="M51" s="23"/>
      <c r="N51" s="23"/>
      <c r="O51" s="23"/>
      <c r="P51" s="25"/>
      <c r="Q51" s="23"/>
      <c r="R51" s="23"/>
      <c r="S51" s="25"/>
      <c r="U51" s="25"/>
    </row>
    <row r="52" spans="1:21" x14ac:dyDescent="0.2">
      <c r="A52" s="774"/>
      <c r="B52" s="4"/>
      <c r="C52" s="23"/>
      <c r="D52" s="23"/>
      <c r="E52" s="23"/>
      <c r="F52" s="23"/>
      <c r="G52" s="23"/>
      <c r="H52" s="23"/>
      <c r="I52" s="23"/>
      <c r="J52" s="23"/>
      <c r="K52" s="23"/>
      <c r="L52" s="23"/>
      <c r="M52" s="23"/>
      <c r="N52" s="23"/>
      <c r="O52" s="23"/>
      <c r="P52" s="25"/>
      <c r="Q52" s="23"/>
      <c r="R52" s="23"/>
      <c r="S52" s="25"/>
      <c r="U52" s="25"/>
    </row>
    <row r="53" spans="1:21" x14ac:dyDescent="0.2">
      <c r="A53" s="774"/>
      <c r="B53" s="4"/>
      <c r="C53" s="23"/>
      <c r="D53" s="23"/>
      <c r="E53" s="23"/>
      <c r="F53" s="23"/>
      <c r="G53" s="23"/>
      <c r="H53" s="23"/>
      <c r="I53" s="23"/>
      <c r="J53" s="23"/>
      <c r="K53" s="23"/>
      <c r="L53" s="23"/>
      <c r="M53" s="23"/>
      <c r="N53" s="23"/>
      <c r="O53" s="23"/>
      <c r="P53" s="25"/>
      <c r="Q53" s="23"/>
      <c r="R53" s="23"/>
      <c r="S53" s="25"/>
      <c r="U53" s="25"/>
    </row>
    <row r="54" spans="1:21" x14ac:dyDescent="0.2">
      <c r="A54" s="774"/>
      <c r="B54" s="4"/>
      <c r="C54" s="23"/>
      <c r="D54" s="23"/>
      <c r="E54" s="23"/>
      <c r="F54" s="23"/>
      <c r="G54" s="23"/>
      <c r="H54" s="23"/>
      <c r="I54" s="23"/>
      <c r="J54" s="23"/>
      <c r="K54" s="23"/>
      <c r="L54" s="23"/>
      <c r="M54" s="23"/>
      <c r="N54" s="23"/>
      <c r="O54" s="23"/>
      <c r="P54" s="25"/>
      <c r="Q54" s="23"/>
      <c r="R54" s="23"/>
      <c r="S54" s="25"/>
      <c r="U54" s="25"/>
    </row>
    <row r="55" spans="1:21" x14ac:dyDescent="0.2">
      <c r="A55" s="774"/>
      <c r="B55" s="4"/>
      <c r="C55" s="23"/>
      <c r="D55" s="23"/>
      <c r="E55" s="23"/>
      <c r="F55" s="23"/>
      <c r="G55" s="23"/>
      <c r="H55" s="23"/>
      <c r="I55" s="23"/>
      <c r="J55" s="23"/>
      <c r="K55" s="23"/>
      <c r="L55" s="23"/>
      <c r="M55" s="23"/>
      <c r="N55" s="23"/>
      <c r="O55" s="23"/>
      <c r="P55" s="25"/>
      <c r="Q55" s="23"/>
      <c r="R55" s="23"/>
      <c r="S55" s="25"/>
      <c r="U55" s="25"/>
    </row>
    <row r="56" spans="1:21" x14ac:dyDescent="0.2">
      <c r="A56" s="774"/>
      <c r="B56" s="4"/>
      <c r="C56" s="23"/>
      <c r="D56" s="23"/>
      <c r="E56" s="23"/>
      <c r="F56" s="23"/>
      <c r="G56" s="23"/>
      <c r="H56" s="23"/>
      <c r="I56" s="23"/>
      <c r="J56" s="23"/>
      <c r="K56" s="23"/>
      <c r="L56" s="23"/>
      <c r="M56" s="23"/>
      <c r="N56" s="23"/>
      <c r="O56" s="23"/>
      <c r="P56" s="25"/>
      <c r="Q56" s="23"/>
      <c r="R56" s="23"/>
      <c r="S56" s="25"/>
      <c r="U56" s="25"/>
    </row>
    <row r="57" spans="1:21" x14ac:dyDescent="0.2">
      <c r="A57" s="774"/>
      <c r="B57" s="4"/>
      <c r="C57" s="23"/>
      <c r="D57" s="23"/>
      <c r="E57" s="23"/>
      <c r="F57" s="23"/>
      <c r="G57" s="23"/>
      <c r="H57" s="23"/>
      <c r="I57" s="23"/>
      <c r="J57" s="23"/>
      <c r="K57" s="23"/>
      <c r="L57" s="23"/>
      <c r="M57" s="23"/>
      <c r="N57" s="23"/>
      <c r="O57" s="23"/>
      <c r="P57" s="25"/>
      <c r="Q57" s="23"/>
      <c r="R57" s="23"/>
      <c r="S57" s="25"/>
      <c r="U57" s="25"/>
    </row>
    <row r="58" spans="1:21" x14ac:dyDescent="0.2">
      <c r="A58" s="774"/>
      <c r="B58" s="4"/>
      <c r="C58" s="23"/>
      <c r="D58" s="23"/>
      <c r="E58" s="23"/>
      <c r="F58" s="23"/>
      <c r="G58" s="23"/>
      <c r="H58" s="23"/>
      <c r="I58" s="23"/>
      <c r="J58" s="23"/>
      <c r="K58" s="23"/>
      <c r="L58" s="23"/>
      <c r="M58" s="23"/>
      <c r="N58" s="23"/>
      <c r="O58" s="23"/>
      <c r="P58" s="25"/>
      <c r="Q58" s="23"/>
      <c r="R58" s="23"/>
      <c r="S58" s="25"/>
      <c r="U58" s="25"/>
    </row>
    <row r="59" spans="1:21" x14ac:dyDescent="0.2">
      <c r="A59" s="774"/>
      <c r="B59" s="4"/>
      <c r="C59" s="23"/>
      <c r="D59" s="23"/>
      <c r="E59" s="23"/>
      <c r="F59" s="23"/>
      <c r="G59" s="23"/>
      <c r="H59" s="23"/>
      <c r="I59" s="23"/>
      <c r="J59" s="23"/>
      <c r="K59" s="23"/>
      <c r="L59" s="23"/>
      <c r="M59" s="23"/>
      <c r="N59" s="23"/>
      <c r="O59" s="23"/>
      <c r="P59" s="25"/>
      <c r="Q59" s="23"/>
      <c r="R59" s="23"/>
      <c r="S59" s="25"/>
      <c r="U59" s="25"/>
    </row>
    <row r="60" spans="1:21" x14ac:dyDescent="0.2">
      <c r="A60" s="774"/>
      <c r="B60" s="4"/>
      <c r="C60" s="23"/>
      <c r="D60" s="23"/>
      <c r="E60" s="23"/>
      <c r="F60" s="23"/>
      <c r="G60" s="23"/>
      <c r="H60" s="23"/>
      <c r="I60" s="23"/>
      <c r="J60" s="23"/>
      <c r="K60" s="23"/>
      <c r="L60" s="23"/>
      <c r="M60" s="23"/>
      <c r="N60" s="23"/>
      <c r="O60" s="23"/>
      <c r="P60" s="25"/>
      <c r="Q60" s="23"/>
      <c r="R60" s="23"/>
      <c r="S60" s="25"/>
      <c r="U60" s="25"/>
    </row>
    <row r="61" spans="1:21" x14ac:dyDescent="0.2">
      <c r="A61" s="774"/>
      <c r="B61" s="4"/>
      <c r="C61" s="23"/>
      <c r="D61" s="23"/>
      <c r="E61" s="23"/>
      <c r="F61" s="23"/>
      <c r="G61" s="23"/>
      <c r="H61" s="23"/>
      <c r="I61" s="23"/>
      <c r="J61" s="23"/>
      <c r="K61" s="23"/>
      <c r="L61" s="23"/>
      <c r="M61" s="23"/>
      <c r="N61" s="23"/>
      <c r="O61" s="23"/>
      <c r="P61" s="25"/>
      <c r="Q61" s="23"/>
      <c r="R61" s="23"/>
      <c r="S61" s="25"/>
      <c r="U61" s="25"/>
    </row>
    <row r="62" spans="1:21" x14ac:dyDescent="0.2">
      <c r="A62" s="774"/>
      <c r="B62" s="4"/>
      <c r="C62" s="23"/>
      <c r="D62" s="23"/>
      <c r="E62" s="23"/>
      <c r="F62" s="23"/>
      <c r="G62" s="23"/>
      <c r="H62" s="23"/>
      <c r="I62" s="23"/>
      <c r="J62" s="23"/>
      <c r="K62" s="23"/>
      <c r="L62" s="23"/>
      <c r="M62" s="23"/>
      <c r="N62" s="23"/>
      <c r="O62" s="23"/>
      <c r="P62" s="25"/>
      <c r="Q62" s="23"/>
      <c r="R62" s="23"/>
      <c r="S62" s="25"/>
      <c r="U62" s="25"/>
    </row>
    <row r="63" spans="1:21" x14ac:dyDescent="0.2">
      <c r="A63" s="774"/>
      <c r="B63" s="4"/>
      <c r="C63" s="23"/>
      <c r="D63" s="23"/>
      <c r="E63" s="23"/>
      <c r="F63" s="23"/>
      <c r="G63" s="23"/>
      <c r="H63" s="23"/>
      <c r="I63" s="23"/>
      <c r="J63" s="23"/>
      <c r="K63" s="23"/>
      <c r="L63" s="23"/>
      <c r="M63" s="23"/>
      <c r="N63" s="23"/>
      <c r="O63" s="23"/>
      <c r="P63" s="25"/>
      <c r="Q63" s="23"/>
      <c r="R63" s="23"/>
      <c r="S63" s="25"/>
      <c r="U63" s="25"/>
    </row>
    <row r="64" spans="1:21" x14ac:dyDescent="0.2">
      <c r="A64" s="774"/>
      <c r="B64" s="4"/>
      <c r="C64" s="23"/>
      <c r="D64" s="23"/>
      <c r="E64" s="23"/>
      <c r="F64" s="23"/>
      <c r="G64" s="23"/>
      <c r="H64" s="23"/>
      <c r="I64" s="23"/>
      <c r="J64" s="23"/>
      <c r="K64" s="23"/>
      <c r="L64" s="23"/>
      <c r="M64" s="23"/>
      <c r="N64" s="23"/>
      <c r="O64" s="23"/>
      <c r="P64" s="25"/>
      <c r="Q64" s="23"/>
      <c r="R64" s="23"/>
      <c r="S64" s="25"/>
      <c r="U64" s="25"/>
    </row>
    <row r="65" spans="1:21" x14ac:dyDescent="0.2">
      <c r="A65" s="774"/>
      <c r="B65" s="4"/>
      <c r="C65" s="23"/>
      <c r="D65" s="23"/>
      <c r="E65" s="23"/>
      <c r="F65" s="23"/>
      <c r="G65" s="23"/>
      <c r="H65" s="23"/>
      <c r="I65" s="23"/>
      <c r="J65" s="23"/>
      <c r="K65" s="23"/>
      <c r="L65" s="23"/>
      <c r="M65" s="23"/>
      <c r="N65" s="23"/>
      <c r="O65" s="23"/>
      <c r="P65" s="25"/>
      <c r="Q65" s="23"/>
      <c r="R65" s="23"/>
      <c r="S65" s="25"/>
      <c r="U65" s="25"/>
    </row>
    <row r="66" spans="1:21" x14ac:dyDescent="0.2">
      <c r="A66" s="774"/>
      <c r="B66" s="4"/>
      <c r="C66" s="23"/>
      <c r="D66" s="23"/>
      <c r="E66" s="23"/>
      <c r="F66" s="23"/>
      <c r="G66" s="23"/>
      <c r="H66" s="23"/>
      <c r="I66" s="23"/>
      <c r="J66" s="23"/>
      <c r="K66" s="23"/>
      <c r="L66" s="23"/>
      <c r="M66" s="23"/>
      <c r="N66" s="23"/>
      <c r="O66" s="23"/>
      <c r="P66" s="25"/>
      <c r="Q66" s="23"/>
      <c r="R66" s="23"/>
      <c r="S66" s="25"/>
      <c r="U66" s="25"/>
    </row>
    <row r="67" spans="1:21" x14ac:dyDescent="0.2">
      <c r="A67" s="774"/>
      <c r="B67" s="4"/>
      <c r="C67" s="23"/>
      <c r="D67" s="23"/>
      <c r="E67" s="23"/>
      <c r="F67" s="23"/>
      <c r="G67" s="23"/>
      <c r="H67" s="23"/>
      <c r="I67" s="23"/>
      <c r="J67" s="23"/>
      <c r="K67" s="23"/>
      <c r="L67" s="23"/>
      <c r="M67" s="23"/>
      <c r="N67" s="23"/>
      <c r="O67" s="23"/>
      <c r="P67" s="25"/>
      <c r="Q67" s="23"/>
      <c r="R67" s="23"/>
      <c r="S67" s="25"/>
      <c r="U67" s="25"/>
    </row>
    <row r="68" spans="1:21" x14ac:dyDescent="0.2">
      <c r="A68" s="774"/>
      <c r="B68" s="4"/>
      <c r="C68" s="23"/>
      <c r="D68" s="23"/>
      <c r="E68" s="23"/>
      <c r="F68" s="23"/>
      <c r="G68" s="23"/>
      <c r="H68" s="23"/>
      <c r="I68" s="23"/>
      <c r="J68" s="23"/>
      <c r="K68" s="23"/>
      <c r="L68" s="23"/>
      <c r="M68" s="23"/>
      <c r="N68" s="23"/>
      <c r="O68" s="23"/>
      <c r="P68" s="25"/>
      <c r="Q68" s="23"/>
      <c r="R68" s="23"/>
      <c r="S68" s="25"/>
      <c r="U68" s="25"/>
    </row>
    <row r="69" spans="1:21" x14ac:dyDescent="0.2">
      <c r="A69" s="774"/>
      <c r="B69" s="4"/>
      <c r="C69" s="23"/>
      <c r="D69" s="23"/>
      <c r="E69" s="23"/>
      <c r="F69" s="23"/>
      <c r="G69" s="23"/>
      <c r="H69" s="23"/>
      <c r="I69" s="23"/>
      <c r="J69" s="23"/>
      <c r="K69" s="23"/>
      <c r="L69" s="23"/>
      <c r="M69" s="23"/>
      <c r="N69" s="23"/>
      <c r="O69" s="23"/>
      <c r="P69" s="25"/>
      <c r="Q69" s="23"/>
      <c r="R69" s="23"/>
      <c r="S69" s="25"/>
      <c r="U69" s="25"/>
    </row>
    <row r="70" spans="1:21" x14ac:dyDescent="0.2">
      <c r="A70" s="774"/>
      <c r="B70" s="4"/>
      <c r="C70" s="23"/>
      <c r="D70" s="23"/>
      <c r="E70" s="23"/>
      <c r="F70" s="23"/>
      <c r="G70" s="23"/>
      <c r="H70" s="23"/>
      <c r="I70" s="23"/>
      <c r="J70" s="23"/>
      <c r="K70" s="23"/>
      <c r="L70" s="23"/>
      <c r="M70" s="23"/>
      <c r="N70" s="23"/>
      <c r="O70" s="23"/>
      <c r="P70" s="25"/>
      <c r="Q70" s="23"/>
      <c r="R70" s="23"/>
      <c r="S70" s="25"/>
      <c r="U70" s="25"/>
    </row>
    <row r="71" spans="1:21" x14ac:dyDescent="0.2">
      <c r="A71" s="774"/>
      <c r="B71" s="4"/>
      <c r="C71" s="23"/>
      <c r="D71" s="23"/>
      <c r="E71" s="23"/>
      <c r="F71" s="23"/>
      <c r="G71" s="23"/>
      <c r="H71" s="23"/>
      <c r="I71" s="23"/>
      <c r="J71" s="23"/>
      <c r="K71" s="23"/>
      <c r="L71" s="23"/>
      <c r="M71" s="23"/>
      <c r="N71" s="23"/>
      <c r="O71" s="23"/>
      <c r="P71" s="25"/>
      <c r="Q71" s="23"/>
      <c r="R71" s="23"/>
      <c r="S71" s="25"/>
      <c r="U71" s="25"/>
    </row>
    <row r="72" spans="1:21" x14ac:dyDescent="0.2">
      <c r="A72" s="774"/>
      <c r="B72" s="4"/>
      <c r="C72" s="23"/>
      <c r="D72" s="23"/>
      <c r="E72" s="23"/>
      <c r="F72" s="23"/>
      <c r="G72" s="23"/>
      <c r="H72" s="23"/>
      <c r="I72" s="23"/>
      <c r="J72" s="23"/>
      <c r="K72" s="23"/>
      <c r="L72" s="23"/>
      <c r="M72" s="23"/>
      <c r="N72" s="23"/>
      <c r="O72" s="23"/>
      <c r="P72" s="4"/>
      <c r="Q72" s="23"/>
      <c r="R72" s="23"/>
      <c r="S72" s="4"/>
      <c r="U72" s="4"/>
    </row>
    <row r="73" spans="1:21" x14ac:dyDescent="0.2">
      <c r="A73" s="774"/>
      <c r="B73" s="4"/>
      <c r="C73" s="23"/>
      <c r="D73" s="23"/>
      <c r="E73" s="23"/>
      <c r="F73" s="23"/>
      <c r="G73" s="23"/>
      <c r="H73" s="23"/>
      <c r="I73" s="23"/>
      <c r="J73" s="23"/>
      <c r="K73" s="23"/>
      <c r="L73" s="23"/>
      <c r="M73" s="23"/>
      <c r="N73" s="23"/>
      <c r="O73" s="23"/>
      <c r="P73" s="4"/>
      <c r="Q73" s="23"/>
      <c r="R73" s="23"/>
      <c r="S73" s="4"/>
      <c r="U73" s="4"/>
    </row>
    <row r="74" spans="1:21" x14ac:dyDescent="0.2">
      <c r="A74" s="774"/>
      <c r="B74" s="4"/>
      <c r="C74" s="23"/>
      <c r="D74" s="23"/>
      <c r="E74" s="23"/>
      <c r="F74" s="23"/>
      <c r="G74" s="23"/>
      <c r="H74" s="23"/>
      <c r="I74" s="23"/>
      <c r="J74" s="23"/>
      <c r="K74" s="23"/>
      <c r="L74" s="23"/>
      <c r="M74" s="23"/>
      <c r="N74" s="23"/>
      <c r="O74" s="23"/>
      <c r="P74" s="4"/>
      <c r="Q74" s="23"/>
      <c r="R74" s="23"/>
      <c r="S74" s="4"/>
      <c r="U74" s="4"/>
    </row>
    <row r="75" spans="1:21" x14ac:dyDescent="0.2">
      <c r="A75" s="774"/>
      <c r="B75" s="4"/>
      <c r="C75" s="23"/>
      <c r="D75" s="23"/>
      <c r="E75" s="23"/>
      <c r="F75" s="23"/>
      <c r="G75" s="23"/>
      <c r="H75" s="23"/>
      <c r="I75" s="23"/>
      <c r="J75" s="23"/>
      <c r="K75" s="23"/>
      <c r="L75" s="23"/>
      <c r="M75" s="23"/>
      <c r="N75" s="23"/>
      <c r="O75" s="23"/>
      <c r="P75" s="4"/>
      <c r="Q75" s="23"/>
      <c r="R75" s="23"/>
      <c r="S75" s="4"/>
      <c r="U75" s="4"/>
    </row>
    <row r="76" spans="1:21" x14ac:dyDescent="0.2">
      <c r="A76" s="774"/>
      <c r="B76" s="4"/>
      <c r="C76" s="23"/>
      <c r="D76" s="23"/>
      <c r="E76" s="23"/>
      <c r="F76" s="23"/>
      <c r="G76" s="23"/>
      <c r="H76" s="23"/>
      <c r="I76" s="23"/>
      <c r="J76" s="23"/>
      <c r="K76" s="23"/>
      <c r="L76" s="23"/>
      <c r="M76" s="23"/>
      <c r="N76" s="23"/>
      <c r="O76" s="23"/>
      <c r="P76" s="4"/>
      <c r="Q76" s="23"/>
      <c r="R76" s="23"/>
      <c r="S76" s="4"/>
      <c r="U76" s="4"/>
    </row>
    <row r="77" spans="1:21" x14ac:dyDescent="0.2">
      <c r="A77" s="774"/>
      <c r="B77" s="4"/>
      <c r="C77" s="23"/>
      <c r="D77" s="23"/>
      <c r="E77" s="23"/>
      <c r="F77" s="23"/>
      <c r="G77" s="23"/>
      <c r="H77" s="23"/>
      <c r="I77" s="23"/>
      <c r="J77" s="23"/>
      <c r="K77" s="23"/>
      <c r="L77" s="23"/>
      <c r="M77" s="23"/>
      <c r="N77" s="23"/>
      <c r="O77" s="23"/>
      <c r="P77" s="4"/>
      <c r="Q77" s="23"/>
      <c r="R77" s="23"/>
      <c r="S77" s="4"/>
      <c r="U77" s="4"/>
    </row>
    <row r="78" spans="1:21" x14ac:dyDescent="0.2">
      <c r="A78" s="774"/>
      <c r="B78" s="4"/>
      <c r="C78" s="23"/>
      <c r="D78" s="23"/>
      <c r="E78" s="23"/>
      <c r="F78" s="23"/>
      <c r="G78" s="23"/>
      <c r="H78" s="23"/>
      <c r="I78" s="23"/>
      <c r="J78" s="23"/>
      <c r="K78" s="23"/>
      <c r="L78" s="23"/>
      <c r="M78" s="23"/>
      <c r="N78" s="23"/>
      <c r="O78" s="23"/>
      <c r="P78" s="4"/>
      <c r="Q78" s="23"/>
      <c r="R78" s="23"/>
      <c r="S78" s="4"/>
      <c r="U78" s="4"/>
    </row>
    <row r="79" spans="1:21" x14ac:dyDescent="0.2">
      <c r="A79" s="774"/>
      <c r="B79" s="4"/>
      <c r="C79" s="23"/>
      <c r="D79" s="23"/>
      <c r="E79" s="23"/>
      <c r="F79" s="23"/>
      <c r="G79" s="23"/>
      <c r="H79" s="23"/>
      <c r="I79" s="23"/>
      <c r="J79" s="23"/>
      <c r="K79" s="23"/>
      <c r="L79" s="23"/>
      <c r="M79" s="23"/>
      <c r="N79" s="23"/>
      <c r="O79" s="23"/>
      <c r="P79" s="4"/>
      <c r="Q79" s="23"/>
      <c r="R79" s="23"/>
      <c r="S79" s="4"/>
      <c r="U79" s="4"/>
    </row>
    <row r="80" spans="1:21" x14ac:dyDescent="0.2">
      <c r="A80" s="774"/>
      <c r="B80" s="4"/>
      <c r="C80" s="23"/>
      <c r="D80" s="23"/>
      <c r="E80" s="23"/>
      <c r="F80" s="23"/>
      <c r="G80" s="23"/>
      <c r="H80" s="23"/>
      <c r="I80" s="23"/>
      <c r="J80" s="23"/>
      <c r="K80" s="23"/>
      <c r="L80" s="23"/>
      <c r="M80" s="23"/>
      <c r="N80" s="23"/>
      <c r="O80" s="23"/>
      <c r="P80" s="4"/>
      <c r="Q80" s="23"/>
      <c r="R80" s="23"/>
      <c r="S80" s="4"/>
      <c r="U80" s="4"/>
    </row>
    <row r="81" spans="1:21" x14ac:dyDescent="0.2">
      <c r="A81" s="774"/>
      <c r="B81" s="4"/>
      <c r="C81" s="23"/>
      <c r="D81" s="23"/>
      <c r="E81" s="23"/>
      <c r="F81" s="23"/>
      <c r="G81" s="23"/>
      <c r="H81" s="23"/>
      <c r="I81" s="23"/>
      <c r="J81" s="23"/>
      <c r="K81" s="23"/>
      <c r="L81" s="23"/>
      <c r="M81" s="23"/>
      <c r="N81" s="23"/>
      <c r="O81" s="23"/>
      <c r="P81" s="4"/>
      <c r="Q81" s="23"/>
      <c r="R81" s="23"/>
      <c r="S81" s="4"/>
      <c r="U81" s="4"/>
    </row>
    <row r="82" spans="1:21" x14ac:dyDescent="0.2">
      <c r="A82" s="774"/>
      <c r="B82" s="4"/>
      <c r="C82" s="23"/>
      <c r="D82" s="23"/>
      <c r="E82" s="23"/>
      <c r="F82" s="23"/>
      <c r="G82" s="23"/>
      <c r="H82" s="23"/>
      <c r="I82" s="23"/>
      <c r="J82" s="23"/>
      <c r="K82" s="23"/>
      <c r="L82" s="23"/>
      <c r="M82" s="23"/>
      <c r="N82" s="23"/>
      <c r="O82" s="23"/>
      <c r="P82" s="4"/>
      <c r="Q82" s="23"/>
      <c r="R82" s="23"/>
      <c r="S82" s="4"/>
      <c r="U82" s="4"/>
    </row>
    <row r="83" spans="1:21" x14ac:dyDescent="0.2">
      <c r="A83" s="774"/>
      <c r="B83" s="4"/>
      <c r="C83" s="23"/>
      <c r="D83" s="23"/>
      <c r="E83" s="23"/>
      <c r="F83" s="23"/>
      <c r="G83" s="23"/>
      <c r="H83" s="23"/>
      <c r="I83" s="23"/>
      <c r="J83" s="23"/>
      <c r="K83" s="23"/>
      <c r="L83" s="23"/>
      <c r="M83" s="23"/>
      <c r="N83" s="23"/>
      <c r="O83" s="23"/>
      <c r="P83" s="4"/>
      <c r="Q83" s="23"/>
      <c r="R83" s="23"/>
      <c r="S83" s="4"/>
      <c r="U83" s="4"/>
    </row>
    <row r="84" spans="1:21" x14ac:dyDescent="0.2">
      <c r="A84" s="774"/>
      <c r="B84" s="4"/>
      <c r="C84" s="23"/>
      <c r="D84" s="23"/>
      <c r="E84" s="23"/>
      <c r="F84" s="23"/>
      <c r="G84" s="23"/>
      <c r="H84" s="23"/>
      <c r="I84" s="23"/>
      <c r="J84" s="23"/>
      <c r="K84" s="23"/>
      <c r="L84" s="23"/>
      <c r="M84" s="23"/>
      <c r="N84" s="23"/>
      <c r="O84" s="23"/>
      <c r="P84" s="4"/>
      <c r="Q84" s="23"/>
      <c r="R84" s="23"/>
      <c r="S84" s="4"/>
      <c r="U84" s="4"/>
    </row>
    <row r="85" spans="1:21" x14ac:dyDescent="0.2">
      <c r="A85" s="774"/>
      <c r="B85" s="4"/>
      <c r="C85" s="23"/>
      <c r="D85" s="23"/>
      <c r="E85" s="23"/>
      <c r="F85" s="23"/>
      <c r="G85" s="23"/>
      <c r="H85" s="23"/>
      <c r="I85" s="23"/>
      <c r="J85" s="23"/>
      <c r="K85" s="23"/>
      <c r="L85" s="23"/>
      <c r="M85" s="23"/>
      <c r="N85" s="23"/>
      <c r="O85" s="23"/>
      <c r="P85" s="4"/>
      <c r="Q85" s="23"/>
      <c r="R85" s="23"/>
      <c r="S85" s="4"/>
      <c r="U85" s="4"/>
    </row>
    <row r="86" spans="1:21" x14ac:dyDescent="0.2">
      <c r="A86" s="774"/>
      <c r="B86" s="4"/>
      <c r="C86" s="23"/>
      <c r="D86" s="23"/>
      <c r="E86" s="23"/>
      <c r="F86" s="23"/>
      <c r="G86" s="23"/>
      <c r="H86" s="23"/>
      <c r="I86" s="23"/>
      <c r="J86" s="23"/>
      <c r="K86" s="23"/>
      <c r="L86" s="23"/>
      <c r="M86" s="23"/>
      <c r="N86" s="23"/>
      <c r="O86" s="23"/>
      <c r="P86" s="4"/>
      <c r="Q86" s="23"/>
      <c r="R86" s="23"/>
      <c r="S86" s="4"/>
      <c r="U86" s="4"/>
    </row>
    <row r="87" spans="1:21" x14ac:dyDescent="0.2">
      <c r="A87" s="774"/>
      <c r="B87" s="4"/>
      <c r="C87" s="23"/>
      <c r="D87" s="23"/>
      <c r="E87" s="23"/>
      <c r="F87" s="23"/>
      <c r="G87" s="23"/>
      <c r="H87" s="23"/>
      <c r="I87" s="23"/>
      <c r="J87" s="23"/>
      <c r="K87" s="23"/>
      <c r="L87" s="23"/>
      <c r="M87" s="23"/>
      <c r="N87" s="23"/>
      <c r="O87" s="23"/>
      <c r="P87" s="4"/>
      <c r="Q87" s="23"/>
      <c r="R87" s="23"/>
      <c r="S87" s="4"/>
      <c r="U87" s="4"/>
    </row>
    <row r="88" spans="1:21" x14ac:dyDescent="0.2">
      <c r="A88" s="774"/>
      <c r="B88" s="4"/>
      <c r="C88" s="23"/>
      <c r="D88" s="23"/>
      <c r="E88" s="23"/>
      <c r="F88" s="23"/>
      <c r="G88" s="23"/>
      <c r="H88" s="23"/>
      <c r="I88" s="23"/>
      <c r="J88" s="23"/>
      <c r="K88" s="23"/>
      <c r="L88" s="23"/>
      <c r="M88" s="23"/>
      <c r="N88" s="23"/>
      <c r="O88" s="23"/>
      <c r="P88" s="4"/>
      <c r="Q88" s="23"/>
      <c r="R88" s="23"/>
      <c r="S88" s="4"/>
      <c r="U88" s="4"/>
    </row>
    <row r="89" spans="1:21" x14ac:dyDescent="0.2">
      <c r="A89" s="774"/>
      <c r="B89" s="4"/>
      <c r="C89" s="23"/>
      <c r="D89" s="23"/>
      <c r="E89" s="23"/>
      <c r="F89" s="23"/>
      <c r="G89" s="23"/>
      <c r="H89" s="23"/>
      <c r="I89" s="23"/>
      <c r="J89" s="23"/>
      <c r="K89" s="23"/>
      <c r="L89" s="23"/>
      <c r="M89" s="23"/>
      <c r="N89" s="23"/>
      <c r="O89" s="23"/>
      <c r="P89" s="4"/>
      <c r="Q89" s="23"/>
      <c r="R89" s="23"/>
      <c r="S89" s="4"/>
      <c r="U89" s="4"/>
    </row>
    <row r="90" spans="1:21" x14ac:dyDescent="0.2">
      <c r="A90" s="774"/>
      <c r="B90" s="4"/>
      <c r="C90" s="23"/>
      <c r="D90" s="23"/>
      <c r="E90" s="23"/>
      <c r="F90" s="23"/>
      <c r="G90" s="23"/>
      <c r="H90" s="23"/>
      <c r="I90" s="23"/>
      <c r="J90" s="23"/>
      <c r="K90" s="23"/>
      <c r="L90" s="23"/>
      <c r="M90" s="23"/>
      <c r="N90" s="23"/>
      <c r="O90" s="23"/>
      <c r="P90" s="4"/>
      <c r="Q90" s="23"/>
      <c r="R90" s="23"/>
      <c r="S90" s="4"/>
      <c r="U90" s="4"/>
    </row>
    <row r="91" spans="1:21" x14ac:dyDescent="0.2">
      <c r="A91" s="774"/>
      <c r="B91" s="4"/>
      <c r="C91" s="23"/>
      <c r="D91" s="23"/>
      <c r="E91" s="23"/>
      <c r="F91" s="23"/>
      <c r="G91" s="23"/>
      <c r="H91" s="23"/>
      <c r="I91" s="23"/>
      <c r="J91" s="23"/>
      <c r="K91" s="23"/>
      <c r="L91" s="23"/>
      <c r="M91" s="23"/>
      <c r="N91" s="23"/>
      <c r="O91" s="23"/>
      <c r="P91" s="4"/>
      <c r="Q91" s="23"/>
      <c r="R91" s="23"/>
      <c r="S91" s="4"/>
      <c r="U91" s="4"/>
    </row>
    <row r="92" spans="1:21" x14ac:dyDescent="0.2">
      <c r="A92" s="774"/>
      <c r="B92" s="4"/>
      <c r="C92" s="23"/>
      <c r="D92" s="23"/>
      <c r="E92" s="23"/>
      <c r="F92" s="23"/>
      <c r="G92" s="23"/>
      <c r="H92" s="23"/>
      <c r="I92" s="23"/>
      <c r="J92" s="23"/>
      <c r="K92" s="23"/>
      <c r="L92" s="23"/>
      <c r="M92" s="23"/>
      <c r="N92" s="23"/>
      <c r="O92" s="23"/>
      <c r="P92" s="4"/>
      <c r="Q92" s="23"/>
      <c r="R92" s="23"/>
      <c r="S92" s="4"/>
      <c r="U92" s="4"/>
    </row>
    <row r="93" spans="1:21" x14ac:dyDescent="0.2">
      <c r="A93" s="774"/>
      <c r="B93" s="4"/>
      <c r="C93" s="23"/>
      <c r="D93" s="23"/>
      <c r="E93" s="23"/>
      <c r="F93" s="23"/>
      <c r="G93" s="23"/>
      <c r="H93" s="23"/>
      <c r="I93" s="23"/>
      <c r="J93" s="23"/>
      <c r="K93" s="23"/>
      <c r="L93" s="23"/>
      <c r="M93" s="23"/>
      <c r="N93" s="23"/>
      <c r="O93" s="23"/>
      <c r="P93" s="4"/>
      <c r="Q93" s="23"/>
      <c r="R93" s="23"/>
      <c r="S93" s="4"/>
      <c r="U93" s="4"/>
    </row>
    <row r="94" spans="1:21" x14ac:dyDescent="0.2">
      <c r="A94" s="774"/>
      <c r="B94" s="4"/>
      <c r="C94" s="23"/>
      <c r="D94" s="23"/>
      <c r="E94" s="23"/>
      <c r="F94" s="23"/>
      <c r="G94" s="23"/>
      <c r="H94" s="23"/>
      <c r="I94" s="23"/>
      <c r="J94" s="23"/>
      <c r="K94" s="23"/>
      <c r="L94" s="23"/>
      <c r="M94" s="23"/>
      <c r="N94" s="23"/>
      <c r="O94" s="23"/>
      <c r="P94" s="4"/>
      <c r="Q94" s="23"/>
      <c r="R94" s="23"/>
      <c r="S94" s="4"/>
      <c r="U94" s="4"/>
    </row>
    <row r="95" spans="1:21" x14ac:dyDescent="0.2">
      <c r="A95" s="774"/>
      <c r="B95" s="4"/>
      <c r="C95" s="23"/>
      <c r="D95" s="23"/>
      <c r="E95" s="23"/>
      <c r="F95" s="23"/>
      <c r="G95" s="23"/>
      <c r="H95" s="23"/>
      <c r="I95" s="23"/>
      <c r="J95" s="23"/>
      <c r="K95" s="23"/>
      <c r="L95" s="23"/>
      <c r="M95" s="23"/>
      <c r="N95" s="23"/>
      <c r="O95" s="23"/>
      <c r="P95" s="4"/>
      <c r="Q95" s="23"/>
      <c r="R95" s="23"/>
      <c r="S95" s="4"/>
      <c r="U95" s="4"/>
    </row>
    <row r="96" spans="1:21" x14ac:dyDescent="0.2">
      <c r="A96" s="774"/>
      <c r="B96" s="4"/>
      <c r="C96" s="23"/>
      <c r="D96" s="23"/>
      <c r="E96" s="23"/>
      <c r="F96" s="23"/>
      <c r="G96" s="23"/>
      <c r="H96" s="23"/>
      <c r="I96" s="23"/>
      <c r="J96" s="23"/>
      <c r="K96" s="23"/>
      <c r="L96" s="23"/>
      <c r="M96" s="23"/>
      <c r="N96" s="23"/>
      <c r="O96" s="23"/>
      <c r="P96" s="4"/>
      <c r="Q96" s="23"/>
      <c r="R96" s="23"/>
      <c r="S96" s="4"/>
      <c r="U96" s="4"/>
    </row>
    <row r="97" spans="1:21" x14ac:dyDescent="0.2">
      <c r="A97" s="774"/>
      <c r="B97" s="4"/>
      <c r="C97" s="23"/>
      <c r="D97" s="23"/>
      <c r="E97" s="23"/>
      <c r="F97" s="23"/>
      <c r="G97" s="23"/>
      <c r="H97" s="23"/>
      <c r="I97" s="23"/>
      <c r="J97" s="23"/>
      <c r="K97" s="23"/>
      <c r="L97" s="23"/>
      <c r="M97" s="23"/>
      <c r="N97" s="23"/>
      <c r="O97" s="23"/>
      <c r="P97" s="4"/>
      <c r="Q97" s="23"/>
      <c r="R97" s="23"/>
      <c r="S97" s="4"/>
      <c r="U97" s="4"/>
    </row>
    <row r="98" spans="1:21" x14ac:dyDescent="0.2">
      <c r="A98" s="774"/>
      <c r="B98" s="4"/>
      <c r="C98" s="23"/>
      <c r="D98" s="23"/>
      <c r="E98" s="23"/>
      <c r="F98" s="23"/>
      <c r="G98" s="23"/>
      <c r="H98" s="23"/>
      <c r="I98" s="23"/>
      <c r="J98" s="23"/>
      <c r="K98" s="23"/>
      <c r="L98" s="23"/>
      <c r="M98" s="23"/>
      <c r="N98" s="23"/>
      <c r="O98" s="23"/>
      <c r="P98" s="4"/>
      <c r="Q98" s="23"/>
      <c r="R98" s="23"/>
      <c r="S98" s="4"/>
      <c r="U98" s="4"/>
    </row>
    <row r="99" spans="1:21" x14ac:dyDescent="0.2">
      <c r="A99" s="774"/>
      <c r="B99" s="4"/>
      <c r="C99" s="23"/>
      <c r="D99" s="23"/>
      <c r="E99" s="23"/>
      <c r="F99" s="23"/>
      <c r="G99" s="23"/>
      <c r="H99" s="23"/>
      <c r="I99" s="23"/>
      <c r="J99" s="23"/>
      <c r="K99" s="23"/>
      <c r="L99" s="23"/>
      <c r="M99" s="23"/>
      <c r="N99" s="23"/>
      <c r="O99" s="23"/>
      <c r="P99" s="4"/>
      <c r="Q99" s="23"/>
      <c r="R99" s="23"/>
      <c r="S99" s="4"/>
      <c r="U99" s="4"/>
    </row>
    <row r="100" spans="1:21" x14ac:dyDescent="0.2">
      <c r="A100" s="774"/>
      <c r="B100" s="4"/>
      <c r="C100" s="23"/>
      <c r="D100" s="23"/>
      <c r="E100" s="23"/>
      <c r="F100" s="23"/>
      <c r="G100" s="23"/>
      <c r="H100" s="23"/>
      <c r="I100" s="23"/>
      <c r="J100" s="23"/>
      <c r="K100" s="23"/>
      <c r="L100" s="23"/>
      <c r="M100" s="23"/>
      <c r="N100" s="23"/>
      <c r="O100" s="23"/>
      <c r="P100" s="4"/>
      <c r="Q100" s="23"/>
      <c r="R100" s="23"/>
      <c r="S100" s="4"/>
      <c r="U100" s="4"/>
    </row>
    <row r="101" spans="1:21" x14ac:dyDescent="0.2">
      <c r="A101" s="774"/>
      <c r="B101" s="4"/>
      <c r="C101" s="23"/>
      <c r="D101" s="23"/>
      <c r="E101" s="23"/>
      <c r="F101" s="23"/>
      <c r="G101" s="23"/>
      <c r="H101" s="23"/>
      <c r="I101" s="23"/>
      <c r="J101" s="23"/>
      <c r="K101" s="23"/>
      <c r="L101" s="23"/>
      <c r="M101" s="23"/>
      <c r="N101" s="23"/>
      <c r="O101" s="23"/>
      <c r="P101" s="4"/>
      <c r="Q101" s="23"/>
      <c r="R101" s="23"/>
      <c r="S101" s="4"/>
      <c r="U101" s="4"/>
    </row>
    <row r="102" spans="1:21" x14ac:dyDescent="0.2">
      <c r="A102" s="774"/>
      <c r="B102" s="4"/>
      <c r="C102" s="23"/>
      <c r="D102" s="23"/>
      <c r="E102" s="23"/>
      <c r="F102" s="23"/>
      <c r="G102" s="23"/>
      <c r="H102" s="23"/>
      <c r="I102" s="23"/>
      <c r="J102" s="23"/>
      <c r="K102" s="23"/>
      <c r="L102" s="23"/>
      <c r="M102" s="23"/>
      <c r="N102" s="23"/>
      <c r="O102" s="23"/>
      <c r="P102" s="4"/>
      <c r="Q102" s="23"/>
      <c r="R102" s="23"/>
      <c r="S102" s="4"/>
      <c r="U102" s="4"/>
    </row>
    <row r="103" spans="1:21" x14ac:dyDescent="0.2">
      <c r="A103" s="774"/>
      <c r="B103" s="4"/>
      <c r="C103" s="23"/>
      <c r="D103" s="23"/>
      <c r="E103" s="23"/>
      <c r="F103" s="23"/>
      <c r="G103" s="23"/>
      <c r="H103" s="23"/>
      <c r="I103" s="23"/>
      <c r="J103" s="23"/>
      <c r="K103" s="23"/>
      <c r="L103" s="23"/>
      <c r="M103" s="23"/>
      <c r="N103" s="23"/>
      <c r="O103" s="23"/>
      <c r="P103" s="4"/>
      <c r="Q103" s="23"/>
      <c r="R103" s="23"/>
      <c r="S103" s="4"/>
      <c r="U103" s="4"/>
    </row>
    <row r="104" spans="1:21" x14ac:dyDescent="0.2">
      <c r="A104" s="774"/>
      <c r="B104" s="4"/>
      <c r="C104" s="23"/>
      <c r="D104" s="23"/>
      <c r="E104" s="23"/>
      <c r="F104" s="23"/>
      <c r="G104" s="23"/>
      <c r="H104" s="23"/>
      <c r="I104" s="23"/>
      <c r="J104" s="23"/>
      <c r="K104" s="23"/>
      <c r="L104" s="23"/>
      <c r="M104" s="23"/>
      <c r="N104" s="23"/>
      <c r="O104" s="23"/>
      <c r="P104" s="4"/>
      <c r="Q104" s="23"/>
      <c r="R104" s="23"/>
      <c r="S104" s="4"/>
      <c r="U104" s="4"/>
    </row>
    <row r="105" spans="1:21" x14ac:dyDescent="0.2">
      <c r="A105" s="774"/>
      <c r="B105" s="4"/>
      <c r="C105" s="23"/>
      <c r="D105" s="23"/>
      <c r="E105" s="23"/>
      <c r="F105" s="23"/>
      <c r="G105" s="23"/>
      <c r="H105" s="23"/>
      <c r="I105" s="23"/>
      <c r="J105" s="23"/>
      <c r="K105" s="23"/>
      <c r="L105" s="23"/>
      <c r="M105" s="23"/>
      <c r="N105" s="23"/>
      <c r="O105" s="23"/>
      <c r="P105" s="4"/>
      <c r="Q105" s="23"/>
      <c r="R105" s="23"/>
      <c r="S105" s="4"/>
      <c r="U105" s="4"/>
    </row>
    <row r="106" spans="1:21" x14ac:dyDescent="0.2">
      <c r="A106" s="774"/>
      <c r="B106" s="4"/>
      <c r="C106" s="23"/>
      <c r="D106" s="23"/>
      <c r="E106" s="23"/>
      <c r="F106" s="23"/>
      <c r="G106" s="23"/>
      <c r="H106" s="23"/>
      <c r="I106" s="23"/>
      <c r="J106" s="23"/>
      <c r="K106" s="23"/>
      <c r="L106" s="23"/>
      <c r="M106" s="23"/>
      <c r="N106" s="23"/>
      <c r="O106" s="23"/>
      <c r="P106" s="4"/>
      <c r="Q106" s="23"/>
      <c r="R106" s="23"/>
      <c r="S106" s="4"/>
      <c r="U106" s="4"/>
    </row>
    <row r="107" spans="1:21" x14ac:dyDescent="0.2">
      <c r="A107" s="774"/>
      <c r="B107" s="4"/>
      <c r="C107" s="23"/>
      <c r="D107" s="23"/>
      <c r="E107" s="23"/>
      <c r="F107" s="23"/>
      <c r="G107" s="23"/>
      <c r="H107" s="23"/>
      <c r="I107" s="23"/>
      <c r="J107" s="23"/>
      <c r="K107" s="23"/>
      <c r="L107" s="23"/>
      <c r="M107" s="23"/>
      <c r="N107" s="23"/>
      <c r="O107" s="23"/>
      <c r="P107" s="4"/>
      <c r="Q107" s="23"/>
      <c r="R107" s="23"/>
      <c r="S107" s="4"/>
      <c r="U107" s="4"/>
    </row>
    <row r="108" spans="1:21" x14ac:dyDescent="0.2">
      <c r="A108" s="774"/>
      <c r="B108" s="4"/>
      <c r="C108" s="23"/>
      <c r="D108" s="23"/>
      <c r="E108" s="23"/>
      <c r="F108" s="23"/>
      <c r="G108" s="23"/>
      <c r="H108" s="23"/>
      <c r="I108" s="23"/>
      <c r="J108" s="23"/>
      <c r="K108" s="23"/>
      <c r="L108" s="23"/>
      <c r="M108" s="23"/>
      <c r="N108" s="23"/>
      <c r="O108" s="23"/>
      <c r="P108" s="4"/>
      <c r="Q108" s="23"/>
      <c r="R108" s="23"/>
      <c r="S108" s="4"/>
      <c r="U108" s="4"/>
    </row>
    <row r="109" spans="1:21" x14ac:dyDescent="0.2">
      <c r="A109" s="774"/>
      <c r="B109" s="4"/>
      <c r="C109" s="23"/>
      <c r="D109" s="23"/>
      <c r="E109" s="23"/>
      <c r="F109" s="23"/>
      <c r="G109" s="23"/>
      <c r="H109" s="23"/>
      <c r="I109" s="23"/>
      <c r="J109" s="23"/>
      <c r="K109" s="23"/>
      <c r="L109" s="23"/>
      <c r="M109" s="23"/>
      <c r="N109" s="23"/>
      <c r="O109" s="23"/>
      <c r="P109" s="4"/>
      <c r="Q109" s="23"/>
      <c r="R109" s="23"/>
      <c r="S109" s="4"/>
      <c r="U109" s="4"/>
    </row>
    <row r="110" spans="1:21" x14ac:dyDescent="0.2">
      <c r="A110" s="774"/>
      <c r="B110" s="4"/>
      <c r="C110" s="23"/>
      <c r="D110" s="23"/>
      <c r="E110" s="23"/>
      <c r="F110" s="23"/>
      <c r="G110" s="23"/>
      <c r="H110" s="23"/>
      <c r="I110" s="23"/>
      <c r="J110" s="23"/>
      <c r="K110" s="23"/>
      <c r="L110" s="23"/>
      <c r="M110" s="23"/>
      <c r="N110" s="23"/>
      <c r="O110" s="23"/>
      <c r="P110" s="4"/>
      <c r="Q110" s="23"/>
      <c r="R110" s="23"/>
      <c r="S110" s="4"/>
      <c r="U110" s="4"/>
    </row>
    <row r="111" spans="1:21" x14ac:dyDescent="0.2">
      <c r="A111" s="774"/>
      <c r="B111" s="4"/>
      <c r="C111" s="23"/>
      <c r="D111" s="23"/>
      <c r="E111" s="23"/>
      <c r="F111" s="23"/>
      <c r="G111" s="23"/>
      <c r="H111" s="23"/>
      <c r="I111" s="23"/>
      <c r="J111" s="23"/>
      <c r="K111" s="23"/>
      <c r="L111" s="23"/>
      <c r="M111" s="23"/>
      <c r="N111" s="23"/>
      <c r="O111" s="23"/>
      <c r="P111" s="4"/>
      <c r="Q111" s="23"/>
      <c r="R111" s="23"/>
      <c r="S111" s="4"/>
      <c r="U111" s="4"/>
    </row>
    <row r="112" spans="1:21" x14ac:dyDescent="0.2">
      <c r="A112" s="774"/>
      <c r="B112" s="4"/>
      <c r="C112" s="23"/>
      <c r="D112" s="23"/>
      <c r="E112" s="23"/>
      <c r="F112" s="23"/>
      <c r="G112" s="23"/>
      <c r="H112" s="23"/>
      <c r="I112" s="23"/>
      <c r="J112" s="23"/>
      <c r="K112" s="23"/>
      <c r="L112" s="23"/>
      <c r="M112" s="23"/>
      <c r="N112" s="23"/>
      <c r="O112" s="23"/>
      <c r="P112" s="4"/>
      <c r="Q112" s="23"/>
      <c r="R112" s="23"/>
      <c r="S112" s="4"/>
      <c r="U112" s="4"/>
    </row>
    <row r="113" spans="1:21" x14ac:dyDescent="0.2">
      <c r="A113" s="774"/>
      <c r="B113" s="4"/>
      <c r="C113" s="23"/>
      <c r="D113" s="23"/>
      <c r="E113" s="23"/>
      <c r="F113" s="23"/>
      <c r="G113" s="23"/>
      <c r="H113" s="23"/>
      <c r="I113" s="23"/>
      <c r="J113" s="23"/>
      <c r="K113" s="23"/>
      <c r="L113" s="23"/>
      <c r="M113" s="23"/>
      <c r="N113" s="23"/>
      <c r="O113" s="23"/>
      <c r="P113" s="4"/>
      <c r="Q113" s="23"/>
      <c r="R113" s="23"/>
      <c r="S113" s="4"/>
      <c r="U113" s="4"/>
    </row>
    <row r="114" spans="1:21" x14ac:dyDescent="0.2">
      <c r="A114" s="774"/>
      <c r="B114" s="4"/>
      <c r="C114" s="23"/>
      <c r="D114" s="23"/>
      <c r="E114" s="23"/>
      <c r="F114" s="23"/>
      <c r="G114" s="23"/>
      <c r="H114" s="23"/>
      <c r="I114" s="23"/>
      <c r="J114" s="23"/>
      <c r="K114" s="23"/>
      <c r="L114" s="23"/>
      <c r="M114" s="23"/>
      <c r="N114" s="23"/>
      <c r="O114" s="23"/>
      <c r="P114" s="4"/>
      <c r="Q114" s="23"/>
      <c r="R114" s="23"/>
      <c r="S114" s="4"/>
      <c r="U114" s="4"/>
    </row>
    <row r="115" spans="1:21" x14ac:dyDescent="0.2">
      <c r="A115" s="774"/>
      <c r="B115" s="4"/>
      <c r="C115" s="23"/>
      <c r="D115" s="23"/>
      <c r="E115" s="23"/>
      <c r="F115" s="23"/>
      <c r="G115" s="23"/>
      <c r="H115" s="23"/>
      <c r="I115" s="23"/>
      <c r="J115" s="23"/>
      <c r="K115" s="23"/>
      <c r="L115" s="23"/>
      <c r="M115" s="23"/>
      <c r="N115" s="23"/>
      <c r="O115" s="23"/>
      <c r="P115" s="4"/>
      <c r="Q115" s="23"/>
      <c r="R115" s="23"/>
      <c r="S115" s="4"/>
      <c r="U115" s="4"/>
    </row>
    <row r="116" spans="1:21" x14ac:dyDescent="0.2">
      <c r="A116" s="774"/>
      <c r="B116" s="4"/>
      <c r="C116" s="23"/>
      <c r="D116" s="23"/>
      <c r="E116" s="23"/>
      <c r="F116" s="23"/>
      <c r="G116" s="23"/>
      <c r="H116" s="23"/>
      <c r="I116" s="23"/>
      <c r="J116" s="23"/>
      <c r="K116" s="23"/>
      <c r="L116" s="23"/>
      <c r="M116" s="23"/>
      <c r="N116" s="23"/>
      <c r="O116" s="23"/>
      <c r="P116" s="4"/>
      <c r="Q116" s="23"/>
      <c r="R116" s="23"/>
      <c r="S116" s="4"/>
      <c r="U116" s="4"/>
    </row>
    <row r="117" spans="1:21" x14ac:dyDescent="0.2">
      <c r="A117" s="774"/>
      <c r="B117" s="4"/>
      <c r="C117" s="23"/>
      <c r="D117" s="23"/>
      <c r="E117" s="23"/>
      <c r="F117" s="23"/>
      <c r="G117" s="23"/>
      <c r="H117" s="23"/>
      <c r="I117" s="23"/>
      <c r="J117" s="23"/>
      <c r="K117" s="23"/>
      <c r="L117" s="23"/>
      <c r="M117" s="23"/>
      <c r="N117" s="23"/>
      <c r="O117" s="23"/>
      <c r="P117" s="4"/>
      <c r="Q117" s="23"/>
      <c r="R117" s="23"/>
      <c r="S117" s="4"/>
      <c r="U117" s="4"/>
    </row>
    <row r="118" spans="1:21" x14ac:dyDescent="0.2">
      <c r="A118" s="774"/>
      <c r="B118" s="4"/>
      <c r="C118" s="23"/>
      <c r="D118" s="23"/>
      <c r="E118" s="23"/>
      <c r="F118" s="23"/>
      <c r="G118" s="23"/>
      <c r="H118" s="23"/>
      <c r="I118" s="23"/>
      <c r="J118" s="23"/>
      <c r="K118" s="23"/>
      <c r="L118" s="23"/>
      <c r="M118" s="23"/>
      <c r="N118" s="23"/>
      <c r="O118" s="23"/>
      <c r="P118" s="4"/>
      <c r="Q118" s="23"/>
      <c r="R118" s="23"/>
      <c r="S118" s="4"/>
      <c r="U118" s="4"/>
    </row>
    <row r="119" spans="1:21" x14ac:dyDescent="0.2">
      <c r="A119" s="774"/>
      <c r="B119" s="4"/>
      <c r="C119" s="23"/>
      <c r="D119" s="23"/>
      <c r="E119" s="23"/>
      <c r="F119" s="23"/>
      <c r="G119" s="23"/>
      <c r="H119" s="23"/>
      <c r="I119" s="23"/>
      <c r="J119" s="23"/>
      <c r="K119" s="23"/>
      <c r="L119" s="23"/>
      <c r="M119" s="23"/>
      <c r="N119" s="23"/>
      <c r="O119" s="23"/>
      <c r="P119" s="4"/>
      <c r="Q119" s="23"/>
      <c r="R119" s="23"/>
      <c r="S119" s="4"/>
      <c r="U119" s="4"/>
    </row>
    <row r="120" spans="1:21" x14ac:dyDescent="0.2">
      <c r="A120" s="774"/>
      <c r="B120" s="4"/>
      <c r="C120" s="23"/>
      <c r="D120" s="23"/>
      <c r="E120" s="23"/>
      <c r="F120" s="23"/>
      <c r="G120" s="23"/>
      <c r="H120" s="23"/>
      <c r="I120" s="23"/>
      <c r="J120" s="23"/>
      <c r="K120" s="23"/>
      <c r="L120" s="23"/>
      <c r="M120" s="23"/>
      <c r="N120" s="23"/>
      <c r="O120" s="23"/>
      <c r="P120" s="4"/>
      <c r="Q120" s="23"/>
      <c r="R120" s="23"/>
      <c r="S120" s="4"/>
      <c r="U120" s="4"/>
    </row>
    <row r="121" spans="1:21" x14ac:dyDescent="0.2">
      <c r="A121" s="774"/>
      <c r="B121" s="4"/>
      <c r="C121" s="23"/>
      <c r="D121" s="23"/>
      <c r="E121" s="23"/>
      <c r="F121" s="23"/>
      <c r="G121" s="23"/>
      <c r="H121" s="23"/>
      <c r="I121" s="23"/>
      <c r="J121" s="23"/>
      <c r="K121" s="23"/>
      <c r="L121" s="23"/>
      <c r="M121" s="23"/>
      <c r="N121" s="23"/>
      <c r="O121" s="23"/>
      <c r="P121" s="4"/>
      <c r="Q121" s="23"/>
      <c r="R121" s="23"/>
      <c r="S121" s="4"/>
      <c r="U121" s="4"/>
    </row>
    <row r="122" spans="1:21" x14ac:dyDescent="0.2">
      <c r="A122" s="774"/>
      <c r="B122" s="4"/>
      <c r="C122" s="23"/>
      <c r="D122" s="23"/>
      <c r="E122" s="23"/>
      <c r="F122" s="23"/>
      <c r="G122" s="23"/>
      <c r="H122" s="23"/>
      <c r="I122" s="23"/>
      <c r="J122" s="23"/>
      <c r="K122" s="23"/>
      <c r="L122" s="23"/>
      <c r="M122" s="23"/>
      <c r="N122" s="23"/>
      <c r="O122" s="23"/>
      <c r="P122" s="4"/>
      <c r="Q122" s="23"/>
      <c r="R122" s="23"/>
      <c r="S122" s="4"/>
      <c r="U122" s="4"/>
    </row>
    <row r="123" spans="1:21" x14ac:dyDescent="0.2">
      <c r="A123" s="774"/>
      <c r="B123" s="4"/>
      <c r="C123" s="23"/>
      <c r="D123" s="23"/>
      <c r="E123" s="23"/>
      <c r="F123" s="23"/>
      <c r="G123" s="23"/>
      <c r="H123" s="23"/>
      <c r="I123" s="23"/>
      <c r="J123" s="23"/>
      <c r="K123" s="23"/>
      <c r="L123" s="23"/>
      <c r="M123" s="23"/>
      <c r="N123" s="23"/>
      <c r="O123" s="23"/>
      <c r="P123" s="4"/>
      <c r="Q123" s="23"/>
      <c r="R123" s="23"/>
      <c r="S123" s="4"/>
      <c r="U123" s="4"/>
    </row>
    <row r="124" spans="1:21" x14ac:dyDescent="0.2">
      <c r="A124" s="774"/>
      <c r="B124" s="4"/>
      <c r="C124" s="23"/>
      <c r="D124" s="23"/>
      <c r="E124" s="23"/>
      <c r="F124" s="23"/>
      <c r="G124" s="23"/>
      <c r="H124" s="23"/>
      <c r="I124" s="23"/>
      <c r="J124" s="23"/>
      <c r="K124" s="23"/>
      <c r="L124" s="23"/>
      <c r="M124" s="23"/>
      <c r="N124" s="23"/>
      <c r="O124" s="23"/>
      <c r="P124" s="4"/>
      <c r="Q124" s="23"/>
      <c r="R124" s="23"/>
      <c r="S124" s="4"/>
      <c r="U124" s="4"/>
    </row>
    <row r="125" spans="1:21" x14ac:dyDescent="0.2">
      <c r="A125" s="774"/>
      <c r="B125" s="4"/>
      <c r="C125" s="23"/>
      <c r="D125" s="23"/>
      <c r="E125" s="23"/>
      <c r="F125" s="23"/>
      <c r="G125" s="23"/>
      <c r="H125" s="23"/>
      <c r="I125" s="23"/>
      <c r="J125" s="23"/>
      <c r="K125" s="23"/>
      <c r="L125" s="23"/>
      <c r="M125" s="23"/>
      <c r="N125" s="23"/>
      <c r="O125" s="23"/>
      <c r="P125" s="4"/>
      <c r="Q125" s="23"/>
      <c r="R125" s="23"/>
      <c r="S125" s="4"/>
      <c r="U125" s="4"/>
    </row>
    <row r="126" spans="1:21" x14ac:dyDescent="0.2">
      <c r="A126" s="774"/>
      <c r="B126" s="4"/>
      <c r="C126" s="23"/>
      <c r="D126" s="23"/>
      <c r="E126" s="23"/>
      <c r="F126" s="23"/>
      <c r="G126" s="23"/>
      <c r="H126" s="23"/>
      <c r="I126" s="23"/>
      <c r="J126" s="23"/>
      <c r="K126" s="23"/>
      <c r="L126" s="23"/>
      <c r="M126" s="23"/>
      <c r="N126" s="23"/>
      <c r="O126" s="23"/>
      <c r="P126" s="4"/>
      <c r="Q126" s="23"/>
      <c r="R126" s="23"/>
      <c r="S126" s="4"/>
      <c r="U126" s="4"/>
    </row>
    <row r="127" spans="1:21" x14ac:dyDescent="0.2">
      <c r="A127" s="774"/>
      <c r="B127" s="4"/>
      <c r="C127" s="23"/>
      <c r="D127" s="23"/>
      <c r="E127" s="23"/>
      <c r="F127" s="23"/>
      <c r="G127" s="23"/>
      <c r="H127" s="23"/>
      <c r="I127" s="23"/>
      <c r="J127" s="23"/>
      <c r="K127" s="23"/>
      <c r="L127" s="23"/>
      <c r="M127" s="23"/>
      <c r="N127" s="23"/>
      <c r="O127" s="23"/>
      <c r="P127" s="4"/>
      <c r="Q127" s="23"/>
      <c r="R127" s="23"/>
      <c r="S127" s="4"/>
      <c r="U127" s="4"/>
    </row>
    <row r="128" spans="1:21" x14ac:dyDescent="0.2">
      <c r="A128" s="774"/>
      <c r="B128" s="4"/>
      <c r="C128" s="23"/>
      <c r="D128" s="23"/>
      <c r="E128" s="23"/>
      <c r="F128" s="23"/>
      <c r="G128" s="23"/>
      <c r="H128" s="23"/>
      <c r="I128" s="23"/>
      <c r="J128" s="23"/>
      <c r="K128" s="23"/>
      <c r="L128" s="23"/>
      <c r="M128" s="23"/>
      <c r="N128" s="23"/>
      <c r="O128" s="23"/>
      <c r="P128" s="4"/>
      <c r="Q128" s="23"/>
      <c r="R128" s="23"/>
      <c r="S128" s="4"/>
      <c r="U128" s="4"/>
    </row>
    <row r="129" spans="1:21" x14ac:dyDescent="0.2">
      <c r="A129" s="774"/>
      <c r="B129" s="4"/>
      <c r="C129" s="23"/>
      <c r="D129" s="23"/>
      <c r="E129" s="23"/>
      <c r="F129" s="23"/>
      <c r="G129" s="23"/>
      <c r="H129" s="23"/>
      <c r="I129" s="23"/>
      <c r="J129" s="23"/>
      <c r="K129" s="23"/>
      <c r="L129" s="23"/>
      <c r="M129" s="23"/>
      <c r="N129" s="23"/>
      <c r="O129" s="23"/>
      <c r="P129" s="4"/>
      <c r="Q129" s="23"/>
      <c r="R129" s="23"/>
      <c r="S129" s="4"/>
      <c r="U129" s="4"/>
    </row>
    <row r="130" spans="1:21" x14ac:dyDescent="0.2">
      <c r="A130" s="774"/>
      <c r="B130" s="4"/>
      <c r="C130" s="23"/>
      <c r="D130" s="23"/>
      <c r="E130" s="23"/>
      <c r="F130" s="23"/>
      <c r="G130" s="23"/>
      <c r="H130" s="23"/>
      <c r="I130" s="23"/>
      <c r="J130" s="23"/>
      <c r="K130" s="23"/>
      <c r="L130" s="23"/>
      <c r="M130" s="23"/>
      <c r="N130" s="23"/>
      <c r="O130" s="23"/>
      <c r="P130" s="4"/>
      <c r="Q130" s="23"/>
      <c r="R130" s="23"/>
      <c r="S130" s="4"/>
      <c r="U130" s="4"/>
    </row>
    <row r="131" spans="1:21" x14ac:dyDescent="0.2">
      <c r="A131" s="774"/>
      <c r="B131" s="4"/>
      <c r="C131" s="23"/>
      <c r="D131" s="23"/>
      <c r="E131" s="23"/>
      <c r="F131" s="23"/>
      <c r="G131" s="23"/>
      <c r="H131" s="23"/>
      <c r="I131" s="23"/>
      <c r="J131" s="23"/>
      <c r="K131" s="23"/>
      <c r="L131" s="23"/>
      <c r="M131" s="23"/>
      <c r="N131" s="23"/>
      <c r="O131" s="23"/>
      <c r="P131" s="4"/>
      <c r="Q131" s="23"/>
      <c r="R131" s="23"/>
      <c r="S131" s="4"/>
      <c r="U131" s="4"/>
    </row>
    <row r="132" spans="1:21" x14ac:dyDescent="0.2">
      <c r="A132" s="774"/>
      <c r="B132" s="4"/>
      <c r="C132" s="23"/>
      <c r="D132" s="23"/>
      <c r="E132" s="23"/>
      <c r="F132" s="23"/>
      <c r="G132" s="23"/>
      <c r="H132" s="23"/>
      <c r="I132" s="23"/>
      <c r="J132" s="23"/>
      <c r="K132" s="23"/>
      <c r="L132" s="23"/>
      <c r="M132" s="23"/>
      <c r="N132" s="23"/>
      <c r="O132" s="23"/>
      <c r="P132" s="4"/>
      <c r="Q132" s="23"/>
      <c r="R132" s="23"/>
      <c r="S132" s="4"/>
      <c r="U132" s="4"/>
    </row>
    <row r="133" spans="1:21" x14ac:dyDescent="0.2">
      <c r="A133" s="774"/>
      <c r="B133" s="4"/>
      <c r="C133" s="23"/>
      <c r="D133" s="23"/>
      <c r="E133" s="23"/>
      <c r="F133" s="23"/>
      <c r="G133" s="23"/>
      <c r="H133" s="23"/>
      <c r="I133" s="23"/>
      <c r="J133" s="23"/>
      <c r="K133" s="23"/>
      <c r="L133" s="23"/>
      <c r="M133" s="23"/>
      <c r="N133" s="23"/>
      <c r="O133" s="23"/>
      <c r="P133" s="4"/>
      <c r="Q133" s="23"/>
      <c r="R133" s="23"/>
      <c r="S133" s="4"/>
      <c r="U133" s="4"/>
    </row>
    <row r="134" spans="1:21" x14ac:dyDescent="0.2">
      <c r="A134" s="774"/>
      <c r="B134" s="4"/>
      <c r="C134" s="23"/>
      <c r="D134" s="23"/>
      <c r="E134" s="23"/>
      <c r="F134" s="23"/>
      <c r="G134" s="23"/>
      <c r="H134" s="23"/>
      <c r="I134" s="23"/>
      <c r="J134" s="23"/>
      <c r="K134" s="23"/>
      <c r="L134" s="23"/>
      <c r="M134" s="23"/>
      <c r="N134" s="23"/>
      <c r="O134" s="23"/>
      <c r="P134" s="4"/>
      <c r="Q134" s="23"/>
      <c r="R134" s="23"/>
      <c r="S134" s="4"/>
      <c r="U134" s="4"/>
    </row>
    <row r="135" spans="1:21" x14ac:dyDescent="0.2">
      <c r="A135" s="774"/>
      <c r="B135" s="4"/>
      <c r="C135" s="23"/>
      <c r="D135" s="23"/>
      <c r="E135" s="23"/>
      <c r="F135" s="23"/>
      <c r="G135" s="23"/>
      <c r="H135" s="23"/>
      <c r="I135" s="23"/>
      <c r="J135" s="23"/>
      <c r="K135" s="23"/>
      <c r="L135" s="23"/>
      <c r="M135" s="23"/>
      <c r="N135" s="23"/>
      <c r="O135" s="23"/>
      <c r="P135" s="4"/>
      <c r="Q135" s="23"/>
      <c r="R135" s="23"/>
      <c r="S135" s="4"/>
      <c r="U135" s="4"/>
    </row>
    <row r="136" spans="1:21" x14ac:dyDescent="0.2">
      <c r="A136" s="774"/>
      <c r="B136" s="4"/>
      <c r="C136" s="23"/>
      <c r="D136" s="23"/>
      <c r="E136" s="23"/>
      <c r="F136" s="23"/>
      <c r="G136" s="23"/>
      <c r="H136" s="23"/>
      <c r="I136" s="23"/>
      <c r="J136" s="23"/>
      <c r="K136" s="23"/>
      <c r="L136" s="23"/>
      <c r="M136" s="23"/>
      <c r="N136" s="23"/>
      <c r="O136" s="23"/>
      <c r="P136" s="4"/>
      <c r="Q136" s="23"/>
      <c r="R136" s="23"/>
      <c r="S136" s="4"/>
      <c r="U136" s="4"/>
    </row>
    <row r="137" spans="1:21" x14ac:dyDescent="0.2">
      <c r="A137" s="774"/>
      <c r="B137" s="4"/>
      <c r="C137" s="23"/>
      <c r="D137" s="23"/>
      <c r="E137" s="23"/>
      <c r="F137" s="23"/>
      <c r="G137" s="23"/>
      <c r="H137" s="23"/>
      <c r="I137" s="23"/>
      <c r="J137" s="23"/>
      <c r="K137" s="23"/>
      <c r="L137" s="23"/>
      <c r="M137" s="23"/>
      <c r="N137" s="23"/>
      <c r="O137" s="23"/>
      <c r="P137" s="4"/>
      <c r="Q137" s="23"/>
      <c r="R137" s="23"/>
      <c r="S137" s="4"/>
      <c r="U137" s="4"/>
    </row>
    <row r="138" spans="1:21" x14ac:dyDescent="0.2">
      <c r="A138" s="774"/>
      <c r="B138" s="4"/>
      <c r="C138" s="23"/>
      <c r="D138" s="23"/>
      <c r="E138" s="23"/>
      <c r="F138" s="23"/>
      <c r="G138" s="23"/>
      <c r="H138" s="23"/>
      <c r="I138" s="23"/>
      <c r="J138" s="23"/>
      <c r="K138" s="23"/>
      <c r="L138" s="23"/>
      <c r="M138" s="23"/>
      <c r="N138" s="23"/>
      <c r="O138" s="23"/>
      <c r="P138" s="4"/>
      <c r="Q138" s="23"/>
      <c r="R138" s="23"/>
      <c r="S138" s="4"/>
      <c r="U138" s="4"/>
    </row>
    <row r="139" spans="1:21" x14ac:dyDescent="0.2">
      <c r="C139" s="212"/>
      <c r="D139" s="212"/>
      <c r="E139" s="212"/>
      <c r="F139" s="212"/>
      <c r="G139" s="212"/>
      <c r="H139" s="212"/>
      <c r="I139" s="212"/>
      <c r="J139" s="212"/>
      <c r="K139" s="212"/>
      <c r="L139" s="212"/>
      <c r="M139" s="212"/>
      <c r="N139" s="212"/>
      <c r="O139" s="212"/>
    </row>
    <row r="140" spans="1:21" x14ac:dyDescent="0.2">
      <c r="C140" s="212"/>
      <c r="D140" s="212"/>
      <c r="E140" s="212"/>
      <c r="F140" s="212"/>
      <c r="G140" s="212"/>
      <c r="H140" s="212"/>
      <c r="I140" s="212"/>
      <c r="J140" s="212"/>
      <c r="K140" s="212"/>
      <c r="L140" s="212"/>
      <c r="M140" s="212"/>
      <c r="N140" s="212"/>
      <c r="O140" s="212"/>
    </row>
    <row r="141" spans="1:21" x14ac:dyDescent="0.2">
      <c r="C141" s="212"/>
      <c r="D141" s="212"/>
      <c r="E141" s="212"/>
      <c r="F141" s="212"/>
      <c r="G141" s="212"/>
      <c r="H141" s="212"/>
      <c r="I141" s="212"/>
      <c r="J141" s="212"/>
      <c r="K141" s="212"/>
      <c r="L141" s="212"/>
      <c r="M141" s="212"/>
      <c r="N141" s="212"/>
      <c r="O141" s="212"/>
    </row>
    <row r="142" spans="1:21" x14ac:dyDescent="0.2">
      <c r="C142" s="212"/>
      <c r="D142" s="212"/>
      <c r="E142" s="212"/>
      <c r="F142" s="212"/>
      <c r="G142" s="212"/>
      <c r="H142" s="212"/>
      <c r="I142" s="212"/>
      <c r="J142" s="212"/>
      <c r="K142" s="212"/>
      <c r="L142" s="212"/>
      <c r="M142" s="212"/>
      <c r="N142" s="212"/>
      <c r="O142" s="212"/>
    </row>
    <row r="143" spans="1:21" x14ac:dyDescent="0.2">
      <c r="C143" s="212"/>
      <c r="D143" s="212"/>
      <c r="E143" s="212"/>
      <c r="F143" s="212"/>
      <c r="G143" s="212"/>
      <c r="H143" s="212"/>
      <c r="I143" s="212"/>
      <c r="J143" s="212"/>
      <c r="K143" s="212"/>
      <c r="L143" s="212"/>
      <c r="M143" s="212"/>
      <c r="N143" s="212"/>
      <c r="O143" s="212"/>
    </row>
    <row r="144" spans="1:21" x14ac:dyDescent="0.2">
      <c r="C144" s="212"/>
      <c r="D144" s="212"/>
      <c r="E144" s="212"/>
      <c r="F144" s="212"/>
      <c r="G144" s="212"/>
      <c r="H144" s="212"/>
      <c r="I144" s="212"/>
      <c r="J144" s="212"/>
      <c r="K144" s="212"/>
      <c r="L144" s="212"/>
      <c r="M144" s="212"/>
      <c r="N144" s="212"/>
      <c r="O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row r="160" spans="3:3" x14ac:dyDescent="0.2">
      <c r="C160" s="212"/>
    </row>
    <row r="161" spans="3:3" x14ac:dyDescent="0.2">
      <c r="C161" s="212"/>
    </row>
    <row r="162" spans="3:3" x14ac:dyDescent="0.2">
      <c r="C162" s="212"/>
    </row>
    <row r="163" spans="3:3" x14ac:dyDescent="0.2">
      <c r="C163" s="212"/>
    </row>
    <row r="164" spans="3:3" x14ac:dyDescent="0.2">
      <c r="C164" s="212"/>
    </row>
    <row r="165" spans="3:3" x14ac:dyDescent="0.2">
      <c r="C165" s="212"/>
    </row>
    <row r="166" spans="3:3" x14ac:dyDescent="0.2">
      <c r="C166" s="212"/>
    </row>
    <row r="167" spans="3:3" x14ac:dyDescent="0.2">
      <c r="C167" s="212"/>
    </row>
    <row r="168" spans="3:3" x14ac:dyDescent="0.2">
      <c r="C168" s="212"/>
    </row>
    <row r="169" spans="3:3" x14ac:dyDescent="0.2">
      <c r="C169" s="212"/>
    </row>
    <row r="170" spans="3:3" x14ac:dyDescent="0.2">
      <c r="C170" s="212"/>
    </row>
    <row r="171" spans="3:3" x14ac:dyDescent="0.2">
      <c r="C171" s="212"/>
    </row>
    <row r="172" spans="3:3" x14ac:dyDescent="0.2">
      <c r="C172" s="212"/>
    </row>
    <row r="173" spans="3:3" x14ac:dyDescent="0.2">
      <c r="C173" s="212"/>
    </row>
    <row r="174" spans="3:3" x14ac:dyDescent="0.2">
      <c r="C174" s="212"/>
    </row>
    <row r="175" spans="3:3" x14ac:dyDescent="0.2">
      <c r="C175" s="212"/>
    </row>
    <row r="176" spans="3:3" x14ac:dyDescent="0.2">
      <c r="C176" s="212"/>
    </row>
    <row r="177" spans="3:3" x14ac:dyDescent="0.2">
      <c r="C177" s="212"/>
    </row>
    <row r="178" spans="3:3" x14ac:dyDescent="0.2">
      <c r="C178" s="212"/>
    </row>
    <row r="179" spans="3:3" x14ac:dyDescent="0.2">
      <c r="C179" s="212"/>
    </row>
    <row r="180" spans="3:3" x14ac:dyDescent="0.2">
      <c r="C180" s="212"/>
    </row>
    <row r="181" spans="3:3" x14ac:dyDescent="0.2">
      <c r="C181" s="212"/>
    </row>
    <row r="182" spans="3:3" x14ac:dyDescent="0.2">
      <c r="C182" s="212"/>
    </row>
    <row r="183" spans="3:3" x14ac:dyDescent="0.2">
      <c r="C183" s="212"/>
    </row>
    <row r="184" spans="3:3" x14ac:dyDescent="0.2">
      <c r="C184" s="212"/>
    </row>
    <row r="185" spans="3:3" x14ac:dyDescent="0.2">
      <c r="C185" s="212"/>
    </row>
    <row r="186" spans="3:3" x14ac:dyDescent="0.2">
      <c r="C186" s="212"/>
    </row>
    <row r="187" spans="3:3" x14ac:dyDescent="0.2">
      <c r="C187" s="212"/>
    </row>
    <row r="188" spans="3:3" x14ac:dyDescent="0.2">
      <c r="C188" s="212"/>
    </row>
    <row r="189" spans="3:3" x14ac:dyDescent="0.2">
      <c r="C189" s="212"/>
    </row>
    <row r="190" spans="3:3" x14ac:dyDescent="0.2">
      <c r="C190" s="212"/>
    </row>
    <row r="191" spans="3:3" x14ac:dyDescent="0.2">
      <c r="C191" s="212"/>
    </row>
  </sheetData>
  <phoneticPr fontId="0" type="noConversion"/>
  <hyperlinks>
    <hyperlink ref="A1" location="'Working Budget with funding det'!A1" display="Main" xr:uid="{00000000-0004-0000-0A00-000000000000}"/>
    <hyperlink ref="B1" location="'Table of Contents'!A1" display="TOC" xr:uid="{00000000-0004-0000-0A00-000001000000}"/>
  </hyperlinks>
  <pageMargins left="0.75" right="0.75" top="1" bottom="1" header="0.5" footer="0.5"/>
  <pageSetup scale="92" orientation="landscape" r:id="rId1"/>
  <headerFooter alignWithMargins="0">
    <oddFooter xml:space="preserve">&amp;L&amp;D     &amp;T&amp;C&amp;F&amp;R&amp;A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X163"/>
  <sheetViews>
    <sheetView topLeftCell="B1" zoomScaleNormal="100" workbookViewId="0">
      <pane ySplit="7" topLeftCell="A27" activePane="bottomLeft" state="frozen"/>
      <selection activeCell="P15" sqref="P15"/>
      <selection pane="bottomLeft" activeCell="P15" sqref="P15"/>
    </sheetView>
  </sheetViews>
  <sheetFormatPr defaultRowHeight="12.75" x14ac:dyDescent="0.2"/>
  <cols>
    <col min="1" max="1" width="11.5" style="783" customWidth="1"/>
    <col min="2" max="2" width="36.6640625" customWidth="1"/>
    <col min="3" max="3" width="14.5" style="1" hidden="1" customWidth="1"/>
    <col min="4" max="12" width="14.5" style="106" hidden="1" customWidth="1"/>
    <col min="13" max="15" width="14.5" style="106" customWidth="1"/>
    <col min="16" max="16" width="14.5" customWidth="1"/>
    <col min="17" max="20" width="14.5" style="1" customWidth="1"/>
    <col min="21" max="23" width="14.5" customWidth="1"/>
    <col min="24" max="24" width="14.6640625" customWidth="1"/>
  </cols>
  <sheetData>
    <row r="1" spans="1:23" x14ac:dyDescent="0.2">
      <c r="A1" s="772" t="s">
        <v>847</v>
      </c>
      <c r="B1" s="308" t="s">
        <v>197</v>
      </c>
      <c r="D1" s="212"/>
      <c r="E1" s="212"/>
      <c r="F1" s="212"/>
      <c r="G1" s="212"/>
      <c r="H1" s="212"/>
      <c r="I1" s="212"/>
      <c r="J1" s="212"/>
      <c r="K1" s="212"/>
      <c r="L1" s="212"/>
      <c r="M1" s="212"/>
      <c r="N1" s="212"/>
      <c r="O1" s="212"/>
      <c r="T1"/>
    </row>
    <row r="2" spans="1:23" ht="15" x14ac:dyDescent="0.25">
      <c r="A2" s="773" t="s">
        <v>815</v>
      </c>
      <c r="B2" s="43"/>
      <c r="D2" s="212"/>
      <c r="E2" s="126"/>
      <c r="F2" s="212"/>
      <c r="G2" s="212"/>
      <c r="H2" s="212"/>
      <c r="I2" s="126" t="s">
        <v>816</v>
      </c>
      <c r="J2" s="126"/>
      <c r="K2" s="126"/>
      <c r="L2" s="126"/>
      <c r="M2" s="126"/>
      <c r="N2" s="126"/>
      <c r="O2" s="126"/>
      <c r="P2" s="58" t="s">
        <v>620</v>
      </c>
      <c r="S2" s="44" t="s">
        <v>848</v>
      </c>
    </row>
    <row r="3" spans="1:23" ht="13.5" thickBot="1" x14ac:dyDescent="0.25">
      <c r="A3" s="774"/>
      <c r="B3" s="4"/>
      <c r="C3" s="23"/>
      <c r="D3" s="23"/>
      <c r="E3" s="23"/>
      <c r="F3" s="23"/>
      <c r="G3" s="23"/>
      <c r="H3" s="23"/>
      <c r="I3" s="23"/>
      <c r="J3" s="23"/>
      <c r="K3" s="23"/>
      <c r="L3" s="23"/>
      <c r="M3" s="23"/>
      <c r="N3" s="23"/>
      <c r="O3" s="23"/>
      <c r="P3" s="4"/>
      <c r="Q3" s="23"/>
      <c r="R3" s="23"/>
      <c r="S3" s="4"/>
      <c r="T3" s="4"/>
      <c r="W3" s="4"/>
    </row>
    <row r="4" spans="1:23"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3"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3" x14ac:dyDescent="0.2">
      <c r="A6" s="776"/>
      <c r="B6" s="202"/>
      <c r="C6" s="113"/>
      <c r="D6" s="113"/>
      <c r="E6" s="113"/>
      <c r="F6" s="113"/>
      <c r="G6" s="113"/>
      <c r="H6" s="113"/>
      <c r="I6" s="83"/>
      <c r="J6" s="83"/>
      <c r="K6" s="83"/>
      <c r="L6" s="83"/>
      <c r="M6" s="83"/>
      <c r="N6" s="83"/>
      <c r="O6" s="83"/>
      <c r="P6" s="113"/>
      <c r="Q6" s="83" t="s">
        <v>823</v>
      </c>
      <c r="R6" s="83" t="s">
        <v>585</v>
      </c>
      <c r="S6" s="45" t="s">
        <v>824</v>
      </c>
    </row>
    <row r="7" spans="1:23"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3" ht="13.5" thickTop="1" x14ac:dyDescent="0.2">
      <c r="A8" s="796">
        <v>5111</v>
      </c>
      <c r="B8" s="203" t="s">
        <v>849</v>
      </c>
      <c r="C8" s="118">
        <v>87868.9</v>
      </c>
      <c r="D8" s="112">
        <v>95093</v>
      </c>
      <c r="E8" s="112">
        <v>98445</v>
      </c>
      <c r="F8" s="112">
        <v>101417.60000000001</v>
      </c>
      <c r="G8" s="112">
        <v>107277.06</v>
      </c>
      <c r="H8" s="112">
        <v>106047</v>
      </c>
      <c r="I8" s="112">
        <v>110332</v>
      </c>
      <c r="J8" s="112">
        <v>114221</v>
      </c>
      <c r="K8" s="19">
        <v>167169</v>
      </c>
      <c r="L8" s="112">
        <v>167000.45000000001</v>
      </c>
      <c r="M8" s="19">
        <v>169434</v>
      </c>
      <c r="N8" s="112">
        <v>169675.54</v>
      </c>
      <c r="O8" s="19">
        <v>256358</v>
      </c>
      <c r="P8" s="18">
        <v>105117.63</v>
      </c>
      <c r="Q8" s="19">
        <f>ROUND(+P42++P43+P44,0)</f>
        <v>272934</v>
      </c>
      <c r="R8" s="19"/>
      <c r="S8" s="19"/>
    </row>
    <row r="9" spans="1:23" x14ac:dyDescent="0.2">
      <c r="A9" s="796">
        <v>5113</v>
      </c>
      <c r="B9" s="102" t="s">
        <v>850</v>
      </c>
      <c r="C9" s="118">
        <v>32158</v>
      </c>
      <c r="D9" s="112">
        <v>35092.639999999999</v>
      </c>
      <c r="E9" s="112">
        <v>38122.11</v>
      </c>
      <c r="F9" s="112">
        <v>39647.11</v>
      </c>
      <c r="G9" s="112">
        <v>40514.04</v>
      </c>
      <c r="H9" s="112">
        <v>42186.49</v>
      </c>
      <c r="I9" s="112">
        <v>42825.37</v>
      </c>
      <c r="J9" s="112">
        <v>44603.96</v>
      </c>
      <c r="K9" s="19"/>
      <c r="L9" s="112"/>
      <c r="M9" s="19"/>
      <c r="N9" s="112"/>
      <c r="O9" s="19">
        <v>23829</v>
      </c>
      <c r="P9" s="18">
        <v>2558.16</v>
      </c>
      <c r="Q9" s="19">
        <f>ROUND((+P45),0)</f>
        <v>25774</v>
      </c>
      <c r="R9" s="19"/>
      <c r="S9" s="19"/>
    </row>
    <row r="10" spans="1:23" x14ac:dyDescent="0.2">
      <c r="A10" s="796">
        <v>5115</v>
      </c>
      <c r="B10" s="102" t="s">
        <v>851</v>
      </c>
      <c r="C10" s="116">
        <v>1000</v>
      </c>
      <c r="D10" s="128">
        <v>1500</v>
      </c>
      <c r="E10" s="128">
        <v>1500</v>
      </c>
      <c r="F10" s="128">
        <v>1500</v>
      </c>
      <c r="G10" s="128">
        <v>2040</v>
      </c>
      <c r="H10" s="128">
        <v>2040</v>
      </c>
      <c r="I10" s="128">
        <v>2040</v>
      </c>
      <c r="J10" s="128">
        <v>2355</v>
      </c>
      <c r="K10" s="226">
        <v>2355</v>
      </c>
      <c r="L10" s="128">
        <v>2355</v>
      </c>
      <c r="M10" s="226">
        <v>2355</v>
      </c>
      <c r="N10" s="128">
        <v>2355</v>
      </c>
      <c r="O10" s="226">
        <v>2355</v>
      </c>
      <c r="P10" s="13">
        <v>1177.54</v>
      </c>
      <c r="Q10" s="226">
        <v>2355</v>
      </c>
      <c r="R10" s="226"/>
      <c r="S10" s="14"/>
    </row>
    <row r="11" spans="1:23" x14ac:dyDescent="0.2">
      <c r="A11" s="796">
        <v>5115</v>
      </c>
      <c r="B11" s="102" t="s">
        <v>852</v>
      </c>
      <c r="C11" s="591">
        <v>1000</v>
      </c>
      <c r="D11" s="272">
        <v>1500</v>
      </c>
      <c r="E11" s="272">
        <v>1500</v>
      </c>
      <c r="F11" s="272">
        <v>1500</v>
      </c>
      <c r="G11" s="272">
        <v>2040</v>
      </c>
      <c r="H11" s="272">
        <v>2040</v>
      </c>
      <c r="I11" s="272">
        <v>2040</v>
      </c>
      <c r="J11" s="272">
        <v>2140</v>
      </c>
      <c r="K11" s="508">
        <v>2140</v>
      </c>
      <c r="L11" s="272">
        <v>2140</v>
      </c>
      <c r="M11" s="508">
        <v>2140</v>
      </c>
      <c r="N11" s="272">
        <v>2140</v>
      </c>
      <c r="O11" s="508">
        <v>2140</v>
      </c>
      <c r="P11" s="28">
        <v>1070</v>
      </c>
      <c r="Q11" s="508">
        <v>2140</v>
      </c>
      <c r="R11" s="508"/>
      <c r="S11" s="14"/>
    </row>
    <row r="12" spans="1:23" x14ac:dyDescent="0.2">
      <c r="A12" s="779">
        <v>5115</v>
      </c>
      <c r="B12" s="60" t="s">
        <v>853</v>
      </c>
      <c r="C12" s="116">
        <v>1000</v>
      </c>
      <c r="D12" s="13">
        <v>1500</v>
      </c>
      <c r="E12" s="13">
        <v>1500</v>
      </c>
      <c r="F12" s="13">
        <v>1500</v>
      </c>
      <c r="G12" s="13">
        <v>2040</v>
      </c>
      <c r="H12" s="13">
        <v>2040</v>
      </c>
      <c r="I12" s="13">
        <v>2040</v>
      </c>
      <c r="J12" s="13">
        <v>2140</v>
      </c>
      <c r="K12" s="40">
        <v>2140</v>
      </c>
      <c r="L12" s="13">
        <v>2140</v>
      </c>
      <c r="M12" s="40">
        <v>2140</v>
      </c>
      <c r="N12" s="13">
        <v>2021.07</v>
      </c>
      <c r="O12" s="40">
        <v>2140</v>
      </c>
      <c r="P12" s="13">
        <v>1070</v>
      </c>
      <c r="Q12" s="40">
        <v>2140</v>
      </c>
      <c r="R12" s="40"/>
      <c r="S12" s="14"/>
    </row>
    <row r="13" spans="1:23" x14ac:dyDescent="0.2">
      <c r="A13" s="779">
        <v>5124</v>
      </c>
      <c r="B13" s="60" t="s">
        <v>854</v>
      </c>
      <c r="C13" s="116"/>
      <c r="D13" s="13"/>
      <c r="E13" s="13"/>
      <c r="F13" s="13"/>
      <c r="G13" s="13"/>
      <c r="H13" s="13"/>
      <c r="I13" s="13">
        <v>357</v>
      </c>
      <c r="J13" s="13">
        <v>307.13</v>
      </c>
      <c r="K13" s="40">
        <v>6000</v>
      </c>
      <c r="L13" s="13"/>
      <c r="M13" s="40"/>
      <c r="N13" s="13"/>
      <c r="O13" s="40"/>
      <c r="P13" s="13">
        <v>192.38</v>
      </c>
      <c r="Q13" s="40"/>
      <c r="R13" s="40"/>
      <c r="S13" s="14"/>
    </row>
    <row r="14" spans="1:23" x14ac:dyDescent="0.2">
      <c r="A14" s="779">
        <v>5144</v>
      </c>
      <c r="B14" s="60" t="s">
        <v>27</v>
      </c>
      <c r="C14" s="116">
        <v>1050</v>
      </c>
      <c r="D14" s="13">
        <v>1100</v>
      </c>
      <c r="E14" s="13">
        <v>1100</v>
      </c>
      <c r="F14" s="13">
        <v>1100</v>
      </c>
      <c r="G14" s="13">
        <v>1700</v>
      </c>
      <c r="H14" s="13">
        <v>900</v>
      </c>
      <c r="I14" s="13">
        <v>900</v>
      </c>
      <c r="J14" s="13">
        <v>900</v>
      </c>
      <c r="K14" s="14">
        <v>900</v>
      </c>
      <c r="L14" s="13">
        <v>900</v>
      </c>
      <c r="M14" s="14">
        <v>900</v>
      </c>
      <c r="N14" s="13">
        <v>900</v>
      </c>
      <c r="O14" s="14">
        <v>1700</v>
      </c>
      <c r="P14" s="13">
        <v>1100</v>
      </c>
      <c r="Q14" s="14">
        <v>1100</v>
      </c>
      <c r="R14" s="14"/>
      <c r="S14" s="14"/>
    </row>
    <row r="15" spans="1:23" ht="13.5" thickBot="1" x14ac:dyDescent="0.25">
      <c r="A15" s="779">
        <v>5145</v>
      </c>
      <c r="B15" s="60" t="s">
        <v>855</v>
      </c>
      <c r="C15" s="228">
        <v>161.56</v>
      </c>
      <c r="D15" s="35">
        <v>300.04000000000002</v>
      </c>
      <c r="E15" s="35">
        <v>300.04000000000002</v>
      </c>
      <c r="F15" s="15">
        <v>305.81</v>
      </c>
      <c r="G15" s="15">
        <v>444.29</v>
      </c>
      <c r="H15" s="15">
        <v>600.08000000000004</v>
      </c>
      <c r="I15" s="15">
        <v>600.08000000000004</v>
      </c>
      <c r="J15" s="15">
        <v>600.08000000000004</v>
      </c>
      <c r="K15" s="16">
        <v>610</v>
      </c>
      <c r="L15" s="15">
        <v>611.62</v>
      </c>
      <c r="M15" s="16">
        <v>610</v>
      </c>
      <c r="N15" s="15">
        <v>600.08000000000004</v>
      </c>
      <c r="O15" s="16">
        <v>938</v>
      </c>
      <c r="P15" s="15">
        <v>357.74</v>
      </c>
      <c r="Q15" s="16">
        <v>938</v>
      </c>
      <c r="R15" s="16"/>
      <c r="S15" s="16"/>
    </row>
    <row r="16" spans="1:23" hidden="1" x14ac:dyDescent="0.2">
      <c r="A16" s="779">
        <v>5192</v>
      </c>
      <c r="B16" s="60" t="s">
        <v>856</v>
      </c>
      <c r="C16" s="228"/>
      <c r="D16" s="35"/>
      <c r="E16" s="35"/>
      <c r="F16" s="28"/>
      <c r="G16" s="28">
        <v>4305</v>
      </c>
      <c r="H16" s="28"/>
      <c r="I16" s="28"/>
      <c r="J16" s="28"/>
      <c r="K16" s="29"/>
      <c r="L16" s="28"/>
      <c r="M16" s="29"/>
      <c r="N16" s="28"/>
      <c r="O16" s="29"/>
      <c r="P16" s="28"/>
      <c r="Q16" s="29"/>
      <c r="R16" s="29"/>
      <c r="S16" s="19"/>
    </row>
    <row r="17" spans="1:19" hidden="1" x14ac:dyDescent="0.2">
      <c r="A17" s="779">
        <v>5193</v>
      </c>
      <c r="B17" s="60" t="s">
        <v>857</v>
      </c>
      <c r="C17" s="228"/>
      <c r="D17" s="35"/>
      <c r="E17" s="35"/>
      <c r="F17" s="35"/>
      <c r="G17" s="35">
        <v>3500</v>
      </c>
      <c r="H17" s="35"/>
      <c r="I17" s="35"/>
      <c r="J17" s="35"/>
      <c r="K17" s="36"/>
      <c r="L17" s="35"/>
      <c r="M17" s="36"/>
      <c r="N17" s="35"/>
      <c r="O17" s="36"/>
      <c r="P17" s="35"/>
      <c r="Q17" s="36"/>
      <c r="R17" s="36"/>
      <c r="S17" s="14"/>
    </row>
    <row r="18" spans="1:19" ht="13.5" hidden="1" thickBot="1" x14ac:dyDescent="0.25">
      <c r="A18" s="779">
        <v>5194</v>
      </c>
      <c r="B18" s="60" t="s">
        <v>858</v>
      </c>
      <c r="C18" s="117"/>
      <c r="D18" s="15">
        <v>0</v>
      </c>
      <c r="E18" s="15"/>
      <c r="F18" s="15"/>
      <c r="G18" s="15">
        <v>16073.84</v>
      </c>
      <c r="H18" s="15"/>
      <c r="I18" s="15"/>
      <c r="J18" s="15"/>
      <c r="K18" s="16"/>
      <c r="L18" s="15"/>
      <c r="M18" s="16"/>
      <c r="N18" s="15"/>
      <c r="O18" s="16"/>
      <c r="P18" s="15"/>
      <c r="Q18" s="16"/>
      <c r="R18" s="16"/>
      <c r="S18" s="16"/>
    </row>
    <row r="19" spans="1:19" x14ac:dyDescent="0.2">
      <c r="A19" s="779"/>
      <c r="B19" s="17" t="s">
        <v>828</v>
      </c>
      <c r="C19" s="18">
        <f t="shared" ref="C19:S19" si="0">SUM(C8:C18)</f>
        <v>124238.45999999999</v>
      </c>
      <c r="D19" s="18">
        <f t="shared" si="0"/>
        <v>136085.68000000002</v>
      </c>
      <c r="E19" s="18">
        <f t="shared" si="0"/>
        <v>142467.15</v>
      </c>
      <c r="F19" s="18">
        <f t="shared" si="0"/>
        <v>146970.52000000002</v>
      </c>
      <c r="G19" s="18">
        <f t="shared" si="0"/>
        <v>179934.23</v>
      </c>
      <c r="H19" s="18">
        <f t="shared" si="0"/>
        <v>155853.56999999998</v>
      </c>
      <c r="I19" s="18">
        <f t="shared" si="0"/>
        <v>161134.44999999998</v>
      </c>
      <c r="J19" s="18">
        <f t="shared" si="0"/>
        <v>167267.16999999998</v>
      </c>
      <c r="K19" s="19">
        <f>SUM(K8:K18)</f>
        <v>181314</v>
      </c>
      <c r="L19" s="18">
        <f t="shared" ref="L19:N19" si="1">SUM(L8:L18)</f>
        <v>175147.07</v>
      </c>
      <c r="M19" s="19">
        <f>SUM(M8:M18)</f>
        <v>177579</v>
      </c>
      <c r="N19" s="18">
        <f t="shared" si="1"/>
        <v>177691.69</v>
      </c>
      <c r="O19" s="19">
        <f>SUM(O8:O18)</f>
        <v>289460</v>
      </c>
      <c r="P19" s="18">
        <f t="shared" si="0"/>
        <v>112643.45000000001</v>
      </c>
      <c r="Q19" s="19">
        <f>SUM(Q8:Q18)</f>
        <v>307381</v>
      </c>
      <c r="R19" s="19">
        <f>SUM(R8:R18)</f>
        <v>0</v>
      </c>
      <c r="S19" s="19">
        <f t="shared" si="0"/>
        <v>0</v>
      </c>
    </row>
    <row r="20" spans="1:19" x14ac:dyDescent="0.2">
      <c r="A20" s="779"/>
      <c r="B20" s="12"/>
      <c r="C20" s="13"/>
      <c r="D20" s="13"/>
      <c r="E20" s="13"/>
      <c r="F20" s="13"/>
      <c r="G20" s="13"/>
      <c r="H20" s="13"/>
      <c r="I20" s="13"/>
      <c r="J20" s="13"/>
      <c r="K20" s="14"/>
      <c r="L20" s="13"/>
      <c r="M20" s="14"/>
      <c r="N20" s="13"/>
      <c r="O20" s="14"/>
      <c r="P20" s="13"/>
      <c r="Q20" s="14"/>
      <c r="R20" s="14"/>
      <c r="S20" s="14"/>
    </row>
    <row r="21" spans="1:19" hidden="1" x14ac:dyDescent="0.2">
      <c r="A21" s="779">
        <v>5310</v>
      </c>
      <c r="B21" s="12" t="s">
        <v>859</v>
      </c>
      <c r="C21" s="13"/>
      <c r="D21" s="13"/>
      <c r="E21" s="13"/>
      <c r="F21" s="13"/>
      <c r="G21" s="13"/>
      <c r="H21" s="13">
        <v>9814</v>
      </c>
      <c r="I21" s="13"/>
      <c r="J21" s="13"/>
      <c r="K21" s="14"/>
      <c r="L21" s="13"/>
      <c r="M21" s="14"/>
      <c r="N21" s="13"/>
      <c r="O21" s="14"/>
      <c r="P21" s="13"/>
      <c r="Q21" s="14"/>
      <c r="R21" s="14"/>
      <c r="S21" s="14"/>
    </row>
    <row r="22" spans="1:19" x14ac:dyDescent="0.2">
      <c r="A22" s="779">
        <v>5314</v>
      </c>
      <c r="B22" s="12" t="s">
        <v>860</v>
      </c>
      <c r="C22" s="13">
        <v>155</v>
      </c>
      <c r="D22" s="13">
        <v>264</v>
      </c>
      <c r="E22" s="13">
        <v>234</v>
      </c>
      <c r="F22" s="13">
        <v>339</v>
      </c>
      <c r="G22" s="13">
        <v>1640.7</v>
      </c>
      <c r="H22" s="13">
        <v>344</v>
      </c>
      <c r="I22" s="13">
        <v>1374</v>
      </c>
      <c r="J22" s="13">
        <v>1145</v>
      </c>
      <c r="K22" s="14">
        <v>1000</v>
      </c>
      <c r="L22" s="13">
        <v>496.16</v>
      </c>
      <c r="M22" s="14">
        <v>1000</v>
      </c>
      <c r="N22" s="13">
        <v>64.81</v>
      </c>
      <c r="O22" s="14">
        <v>2000</v>
      </c>
      <c r="P22" s="13">
        <v>90</v>
      </c>
      <c r="Q22" s="14">
        <v>2000</v>
      </c>
      <c r="R22" s="14"/>
      <c r="S22" s="14"/>
    </row>
    <row r="23" spans="1:19" x14ac:dyDescent="0.2">
      <c r="A23" s="779">
        <v>5315</v>
      </c>
      <c r="B23" s="12" t="s">
        <v>861</v>
      </c>
      <c r="C23" s="13">
        <v>13</v>
      </c>
      <c r="D23" s="13"/>
      <c r="E23" s="13"/>
      <c r="F23" s="13"/>
      <c r="G23" s="13">
        <v>1771</v>
      </c>
      <c r="H23" s="13">
        <v>3318</v>
      </c>
      <c r="I23" s="13">
        <v>3318</v>
      </c>
      <c r="J23" s="13">
        <v>5501</v>
      </c>
      <c r="K23" s="14">
        <v>7200</v>
      </c>
      <c r="L23" s="13">
        <v>5942.42</v>
      </c>
      <c r="M23" s="14">
        <v>7200</v>
      </c>
      <c r="N23" s="13">
        <v>5282</v>
      </c>
      <c r="O23" s="14">
        <v>7200</v>
      </c>
      <c r="P23" s="13">
        <v>2763.09</v>
      </c>
      <c r="Q23" s="14">
        <v>8000</v>
      </c>
      <c r="R23" s="14"/>
      <c r="S23" s="14"/>
    </row>
    <row r="24" spans="1:19" hidden="1" x14ac:dyDescent="0.2">
      <c r="A24" s="779">
        <v>5341</v>
      </c>
      <c r="B24" s="12" t="s">
        <v>862</v>
      </c>
      <c r="C24" s="13">
        <v>622.19000000000005</v>
      </c>
      <c r="D24" s="13">
        <v>606.08000000000004</v>
      </c>
      <c r="E24" s="13">
        <v>609.53</v>
      </c>
      <c r="F24" s="13">
        <v>625.46</v>
      </c>
      <c r="G24" s="13">
        <v>643.62</v>
      </c>
      <c r="H24" s="13"/>
      <c r="I24" s="13"/>
      <c r="J24" s="13"/>
      <c r="K24" s="14"/>
      <c r="L24" s="13"/>
      <c r="M24" s="14"/>
      <c r="N24" s="13"/>
      <c r="O24" s="14"/>
      <c r="P24" s="13"/>
      <c r="Q24" s="14"/>
      <c r="R24" s="14"/>
      <c r="S24" s="14"/>
    </row>
    <row r="25" spans="1:19" x14ac:dyDescent="0.2">
      <c r="A25" s="779">
        <v>5344</v>
      </c>
      <c r="B25" s="12" t="s">
        <v>832</v>
      </c>
      <c r="C25" s="13">
        <v>394.95</v>
      </c>
      <c r="D25" s="13">
        <v>15.26</v>
      </c>
      <c r="E25" s="13">
        <v>46.13</v>
      </c>
      <c r="F25" s="13">
        <v>313.97000000000003</v>
      </c>
      <c r="G25" s="13">
        <v>6.67</v>
      </c>
      <c r="H25" s="13">
        <v>230.52</v>
      </c>
      <c r="I25" s="13">
        <v>57.55</v>
      </c>
      <c r="J25" s="13">
        <v>291.2</v>
      </c>
      <c r="K25" s="14">
        <v>300</v>
      </c>
      <c r="L25" s="13">
        <v>181.55</v>
      </c>
      <c r="M25" s="14">
        <v>300</v>
      </c>
      <c r="N25" s="13">
        <v>226.85</v>
      </c>
      <c r="O25" s="14">
        <v>300</v>
      </c>
      <c r="P25" s="13">
        <v>260.58</v>
      </c>
      <c r="Q25" s="14">
        <v>300</v>
      </c>
      <c r="R25" s="14"/>
      <c r="S25" s="14"/>
    </row>
    <row r="26" spans="1:19" x14ac:dyDescent="0.2">
      <c r="A26" s="779">
        <v>5345</v>
      </c>
      <c r="B26" s="12" t="s">
        <v>863</v>
      </c>
      <c r="C26" s="13">
        <v>215.57</v>
      </c>
      <c r="D26" s="13">
        <v>993.7</v>
      </c>
      <c r="E26" s="13">
        <v>1101.8</v>
      </c>
      <c r="F26" s="13"/>
      <c r="G26" s="13">
        <v>766</v>
      </c>
      <c r="H26" s="13"/>
      <c r="I26" s="13">
        <v>386.33</v>
      </c>
      <c r="J26" s="13">
        <v>223.36</v>
      </c>
      <c r="K26" s="14">
        <v>1050</v>
      </c>
      <c r="L26" s="13">
        <v>2584.1</v>
      </c>
      <c r="M26" s="14">
        <v>1050</v>
      </c>
      <c r="N26" s="13">
        <v>866.1</v>
      </c>
      <c r="O26" s="14">
        <v>1050</v>
      </c>
      <c r="P26" s="13">
        <v>499</v>
      </c>
      <c r="Q26" s="14">
        <v>1200</v>
      </c>
      <c r="R26" s="14"/>
      <c r="S26" s="14"/>
    </row>
    <row r="27" spans="1:19" x14ac:dyDescent="0.2">
      <c r="A27" s="779">
        <v>5420</v>
      </c>
      <c r="B27" s="12" t="s">
        <v>864</v>
      </c>
      <c r="C27" s="18">
        <v>961.77</v>
      </c>
      <c r="D27" s="18">
        <v>902.7</v>
      </c>
      <c r="E27" s="18">
        <v>1272.0899999999999</v>
      </c>
      <c r="F27" s="18">
        <v>1250.75</v>
      </c>
      <c r="G27" s="18">
        <v>1639.92</v>
      </c>
      <c r="H27" s="18">
        <v>1984.35</v>
      </c>
      <c r="I27" s="18">
        <v>2047.5</v>
      </c>
      <c r="J27" s="18">
        <v>2678.22</v>
      </c>
      <c r="K27" s="19">
        <v>1600</v>
      </c>
      <c r="L27" s="18">
        <v>2729.07</v>
      </c>
      <c r="M27" s="19">
        <v>2350</v>
      </c>
      <c r="N27" s="18">
        <v>2926.93</v>
      </c>
      <c r="O27" s="19">
        <v>4500</v>
      </c>
      <c r="P27" s="18">
        <v>3693.78</v>
      </c>
      <c r="Q27" s="19">
        <v>4500</v>
      </c>
      <c r="R27" s="19"/>
      <c r="S27" s="19"/>
    </row>
    <row r="28" spans="1:19" x14ac:dyDescent="0.2">
      <c r="A28" s="779">
        <v>5450</v>
      </c>
      <c r="B28" s="12" t="s">
        <v>865</v>
      </c>
      <c r="C28" s="95"/>
      <c r="D28" s="95">
        <v>105.99</v>
      </c>
      <c r="E28" s="95"/>
      <c r="F28" s="95"/>
      <c r="G28" s="95"/>
      <c r="H28" s="95">
        <v>470.13</v>
      </c>
      <c r="I28" s="95">
        <v>0</v>
      </c>
      <c r="J28" s="95">
        <v>501.35</v>
      </c>
      <c r="K28" s="219">
        <v>500</v>
      </c>
      <c r="L28" s="95"/>
      <c r="M28" s="219">
        <v>500</v>
      </c>
      <c r="N28" s="95"/>
      <c r="O28" s="219">
        <v>500</v>
      </c>
      <c r="P28" s="95">
        <v>500</v>
      </c>
      <c r="Q28" s="219">
        <v>500</v>
      </c>
      <c r="R28" s="219"/>
      <c r="S28" s="14"/>
    </row>
    <row r="29" spans="1:19" x14ac:dyDescent="0.2">
      <c r="A29" s="779">
        <v>5581</v>
      </c>
      <c r="B29" s="12" t="s">
        <v>866</v>
      </c>
      <c r="C29" s="94">
        <v>69</v>
      </c>
      <c r="D29" s="94">
        <v>157.4</v>
      </c>
      <c r="E29" s="94">
        <v>88.4</v>
      </c>
      <c r="F29" s="94"/>
      <c r="G29" s="94">
        <v>167.8</v>
      </c>
      <c r="H29" s="94">
        <v>175.6</v>
      </c>
      <c r="I29" s="94">
        <v>176.55</v>
      </c>
      <c r="J29" s="94">
        <v>148.86000000000001</v>
      </c>
      <c r="K29" s="32">
        <v>200</v>
      </c>
      <c r="L29" s="94">
        <v>127.4</v>
      </c>
      <c r="M29" s="32">
        <v>200</v>
      </c>
      <c r="N29" s="94">
        <v>578.84</v>
      </c>
      <c r="O29" s="32">
        <v>200</v>
      </c>
      <c r="P29" s="94">
        <v>198.95</v>
      </c>
      <c r="Q29" s="32">
        <v>600</v>
      </c>
      <c r="R29" s="32"/>
      <c r="S29" s="14"/>
    </row>
    <row r="30" spans="1:19" x14ac:dyDescent="0.2">
      <c r="A30" s="779">
        <v>5582</v>
      </c>
      <c r="B30" s="12" t="s">
        <v>867</v>
      </c>
      <c r="C30" s="95">
        <v>10.9</v>
      </c>
      <c r="D30" s="95"/>
      <c r="E30" s="95"/>
      <c r="F30" s="95"/>
      <c r="G30" s="95">
        <v>121.44</v>
      </c>
      <c r="H30" s="95"/>
      <c r="I30" s="95">
        <v>117.69</v>
      </c>
      <c r="J30" s="95">
        <v>262.37</v>
      </c>
      <c r="K30" s="219">
        <v>600</v>
      </c>
      <c r="L30" s="95">
        <v>230.58</v>
      </c>
      <c r="M30" s="219">
        <v>300</v>
      </c>
      <c r="N30" s="95">
        <v>207.1</v>
      </c>
      <c r="O30" s="219">
        <v>300</v>
      </c>
      <c r="P30" s="95"/>
      <c r="Q30" s="219">
        <v>300</v>
      </c>
      <c r="R30" s="219"/>
      <c r="S30" s="19"/>
    </row>
    <row r="31" spans="1:19" x14ac:dyDescent="0.2">
      <c r="A31" s="779">
        <v>5590</v>
      </c>
      <c r="B31" s="12" t="s">
        <v>868</v>
      </c>
      <c r="C31" s="95"/>
      <c r="D31" s="95"/>
      <c r="E31" s="95"/>
      <c r="F31" s="95">
        <v>3247.68</v>
      </c>
      <c r="G31" s="95">
        <v>3568</v>
      </c>
      <c r="H31" s="95"/>
      <c r="I31" s="95"/>
      <c r="J31" s="95"/>
      <c r="K31" s="219"/>
      <c r="L31" s="95"/>
      <c r="M31" s="219"/>
      <c r="N31" s="95"/>
      <c r="O31" s="219">
        <v>3000</v>
      </c>
      <c r="P31" s="95"/>
      <c r="Q31" s="219">
        <v>500</v>
      </c>
      <c r="R31" s="219"/>
      <c r="S31" s="19"/>
    </row>
    <row r="32" spans="1:19" x14ac:dyDescent="0.2">
      <c r="A32" s="779">
        <v>5710</v>
      </c>
      <c r="B32" s="12" t="s">
        <v>869</v>
      </c>
      <c r="C32" s="18">
        <v>798.35</v>
      </c>
      <c r="D32" s="18">
        <v>780.84</v>
      </c>
      <c r="E32" s="18">
        <v>851.39</v>
      </c>
      <c r="F32" s="18">
        <v>839.1</v>
      </c>
      <c r="G32" s="18">
        <v>1366.82</v>
      </c>
      <c r="H32" s="18">
        <v>964.56</v>
      </c>
      <c r="I32" s="18">
        <v>1700.03</v>
      </c>
      <c r="J32" s="18">
        <v>726.14</v>
      </c>
      <c r="K32" s="19">
        <v>1750</v>
      </c>
      <c r="L32" s="18"/>
      <c r="M32" s="19">
        <v>1750</v>
      </c>
      <c r="N32" s="18">
        <v>164.64</v>
      </c>
      <c r="O32" s="19">
        <v>2500</v>
      </c>
      <c r="P32" s="18">
        <v>68.75</v>
      </c>
      <c r="Q32" s="19">
        <v>2000</v>
      </c>
      <c r="R32" s="19"/>
      <c r="S32" s="19"/>
    </row>
    <row r="33" spans="1:24" ht="13.5" thickBot="1" x14ac:dyDescent="0.25">
      <c r="A33" s="779">
        <v>5730</v>
      </c>
      <c r="B33" s="12" t="s">
        <v>870</v>
      </c>
      <c r="C33" s="15">
        <v>2157</v>
      </c>
      <c r="D33" s="15">
        <v>1952</v>
      </c>
      <c r="E33" s="15">
        <v>1997</v>
      </c>
      <c r="F33" s="15">
        <v>1966.42</v>
      </c>
      <c r="G33" s="15">
        <v>1814.8</v>
      </c>
      <c r="H33" s="15">
        <v>2011</v>
      </c>
      <c r="I33" s="15">
        <v>2178</v>
      </c>
      <c r="J33" s="15">
        <v>2401</v>
      </c>
      <c r="K33" s="16">
        <v>2500</v>
      </c>
      <c r="L33" s="15">
        <v>2346</v>
      </c>
      <c r="M33" s="16">
        <v>2500</v>
      </c>
      <c r="N33" s="15">
        <v>2321</v>
      </c>
      <c r="O33" s="16">
        <v>2500</v>
      </c>
      <c r="P33" s="15">
        <v>2082</v>
      </c>
      <c r="Q33" s="16">
        <v>2500</v>
      </c>
      <c r="R33" s="16"/>
      <c r="S33" s="16"/>
    </row>
    <row r="34" spans="1:24" x14ac:dyDescent="0.2">
      <c r="A34" s="779"/>
      <c r="B34" s="17" t="s">
        <v>838</v>
      </c>
      <c r="C34" s="13">
        <f t="shared" ref="C34:P34" si="2">SUM(C22:C33)</f>
        <v>5397.73</v>
      </c>
      <c r="D34" s="13">
        <f t="shared" si="2"/>
        <v>5777.9699999999993</v>
      </c>
      <c r="E34" s="13">
        <f t="shared" si="2"/>
        <v>6200.34</v>
      </c>
      <c r="F34" s="13">
        <f>SUM(F22:F33)</f>
        <v>8582.380000000001</v>
      </c>
      <c r="G34" s="13">
        <f>SUM(G22:G33)</f>
        <v>13506.769999999999</v>
      </c>
      <c r="H34" s="13">
        <f>SUM(H21:H33)</f>
        <v>19312.16</v>
      </c>
      <c r="I34" s="13">
        <f t="shared" si="2"/>
        <v>11355.65</v>
      </c>
      <c r="J34" s="13">
        <f t="shared" ref="J34" si="3">SUM(J22:J33)</f>
        <v>13878.5</v>
      </c>
      <c r="K34" s="14">
        <f>SUM(K22:K33)</f>
        <v>16700</v>
      </c>
      <c r="L34" s="13">
        <f t="shared" ref="L34:O34" si="4">SUM(L22:L33)</f>
        <v>14637.279999999999</v>
      </c>
      <c r="M34" s="14">
        <f t="shared" si="4"/>
        <v>17150</v>
      </c>
      <c r="N34" s="13">
        <f t="shared" ref="N34" si="5">SUM(N22:N33)</f>
        <v>12638.27</v>
      </c>
      <c r="O34" s="14">
        <f t="shared" si="4"/>
        <v>24050</v>
      </c>
      <c r="P34" s="13">
        <f t="shared" si="2"/>
        <v>10156.150000000001</v>
      </c>
      <c r="Q34" s="14">
        <f>SUM(Q22:Q33)</f>
        <v>22400</v>
      </c>
      <c r="R34" s="14">
        <v>24050</v>
      </c>
      <c r="S34" s="14">
        <f>SUM(S22:S33)</f>
        <v>0</v>
      </c>
    </row>
    <row r="35" spans="1:24" x14ac:dyDescent="0.2">
      <c r="A35" s="779"/>
      <c r="B35" s="12"/>
      <c r="C35" s="13"/>
      <c r="D35" s="13"/>
      <c r="E35" s="13"/>
      <c r="F35" s="13"/>
      <c r="G35" s="13"/>
      <c r="H35" s="13"/>
      <c r="I35" s="13"/>
      <c r="J35" s="13"/>
      <c r="K35" s="14"/>
      <c r="L35" s="13"/>
      <c r="M35" s="14"/>
      <c r="N35" s="13"/>
      <c r="O35" s="14"/>
      <c r="P35" s="13"/>
      <c r="Q35" s="14"/>
      <c r="R35" s="14"/>
      <c r="S35" s="14"/>
    </row>
    <row r="36" spans="1:24" ht="13.5" thickBot="1" x14ac:dyDescent="0.25">
      <c r="A36" s="780"/>
      <c r="B36" s="20" t="s">
        <v>871</v>
      </c>
      <c r="C36" s="21">
        <f t="shared" ref="C36:Q36" si="6">+C34+C19</f>
        <v>129636.18999999999</v>
      </c>
      <c r="D36" s="21">
        <f t="shared" si="6"/>
        <v>141863.65000000002</v>
      </c>
      <c r="E36" s="21">
        <f t="shared" si="6"/>
        <v>148667.49</v>
      </c>
      <c r="F36" s="21">
        <f t="shared" si="6"/>
        <v>155552.90000000002</v>
      </c>
      <c r="G36" s="21">
        <f t="shared" si="6"/>
        <v>193441</v>
      </c>
      <c r="H36" s="21">
        <f t="shared" si="6"/>
        <v>175165.72999999998</v>
      </c>
      <c r="I36" s="21">
        <f t="shared" si="6"/>
        <v>172490.09999999998</v>
      </c>
      <c r="J36" s="21">
        <f t="shared" ref="J36" si="7">+J34+J19</f>
        <v>181145.66999999998</v>
      </c>
      <c r="K36" s="22">
        <f t="shared" ref="K36:O36" si="8">+K34+K19</f>
        <v>198014</v>
      </c>
      <c r="L36" s="21">
        <f t="shared" si="8"/>
        <v>189784.35</v>
      </c>
      <c r="M36" s="22">
        <f t="shared" si="8"/>
        <v>194729</v>
      </c>
      <c r="N36" s="21">
        <f t="shared" ref="N36" si="9">+N34+N19</f>
        <v>190329.96</v>
      </c>
      <c r="O36" s="22">
        <f t="shared" si="8"/>
        <v>313510</v>
      </c>
      <c r="P36" s="21">
        <f t="shared" si="6"/>
        <v>122799.6</v>
      </c>
      <c r="Q36" s="22">
        <f t="shared" si="6"/>
        <v>329781</v>
      </c>
      <c r="R36" s="22">
        <f>+Q36</f>
        <v>329781</v>
      </c>
      <c r="S36" s="22">
        <f>+Q36</f>
        <v>329781</v>
      </c>
    </row>
    <row r="37" spans="1:24" ht="16.5" thickTop="1" x14ac:dyDescent="0.25">
      <c r="A37" s="774"/>
      <c r="B37" s="4"/>
      <c r="C37" s="23"/>
      <c r="D37" s="23"/>
      <c r="E37" s="23"/>
      <c r="F37" s="23"/>
      <c r="G37" s="23"/>
      <c r="H37" s="23"/>
      <c r="I37" s="23"/>
      <c r="J37" s="23"/>
      <c r="K37" s="23"/>
      <c r="L37" s="23"/>
      <c r="M37" s="23"/>
      <c r="N37" s="23"/>
      <c r="O37" s="23"/>
      <c r="P37" s="199" t="s">
        <v>843</v>
      </c>
      <c r="Q37" s="1116">
        <f>+Q36-O36</f>
        <v>16271</v>
      </c>
      <c r="R37" s="1117">
        <f>ROUND((+Q37/O36),4)</f>
        <v>5.1900000000000002E-2</v>
      </c>
      <c r="S37" s="73"/>
      <c r="T37" s="23"/>
      <c r="U37" s="25"/>
      <c r="V37" s="201"/>
      <c r="W37" s="25"/>
    </row>
    <row r="38" spans="1:24" x14ac:dyDescent="0.2">
      <c r="A38" s="774"/>
      <c r="B38" s="4"/>
      <c r="D38" s="212"/>
      <c r="E38" s="212"/>
      <c r="F38" s="212"/>
      <c r="G38" s="212"/>
      <c r="H38" s="212"/>
      <c r="I38" s="212"/>
      <c r="J38" s="212"/>
      <c r="K38" s="212"/>
      <c r="L38" s="212"/>
      <c r="M38" s="212"/>
      <c r="N38" s="212"/>
      <c r="O38" s="212"/>
      <c r="S38" s="73"/>
      <c r="T38" s="25"/>
    </row>
    <row r="39" spans="1:24" ht="13.5" thickBot="1" x14ac:dyDescent="0.25">
      <c r="A39" s="774"/>
      <c r="B39" s="4"/>
      <c r="D39" s="212"/>
      <c r="E39" s="212"/>
      <c r="F39" s="212"/>
      <c r="G39" s="212"/>
      <c r="H39" s="212"/>
      <c r="I39" s="212"/>
      <c r="J39" s="212"/>
      <c r="K39" s="212"/>
      <c r="L39" s="212"/>
      <c r="M39" s="212"/>
      <c r="N39" s="212"/>
      <c r="O39" s="212"/>
    </row>
    <row r="40" spans="1:24" ht="13.5" thickTop="1" x14ac:dyDescent="0.2">
      <c r="A40" s="824" t="s">
        <v>872</v>
      </c>
      <c r="B40" s="99"/>
      <c r="D40" s="294"/>
      <c r="E40" s="212"/>
      <c r="F40" s="212"/>
      <c r="G40" s="212"/>
      <c r="H40" s="212"/>
      <c r="I40" s="212"/>
      <c r="J40" s="212"/>
      <c r="K40" s="212"/>
      <c r="L40" s="212"/>
      <c r="M40" s="269" t="s">
        <v>873</v>
      </c>
      <c r="N40" s="138" t="s">
        <v>874</v>
      </c>
      <c r="O40" s="150"/>
      <c r="P40" s="140" t="s">
        <v>875</v>
      </c>
      <c r="Q40"/>
      <c r="R40"/>
      <c r="S40" s="205" t="s">
        <v>876</v>
      </c>
      <c r="T40"/>
    </row>
    <row r="41" spans="1:24" ht="13.5" thickBot="1" x14ac:dyDescent="0.25">
      <c r="A41" s="825" t="s">
        <v>877</v>
      </c>
      <c r="B41" s="101" t="s">
        <v>878</v>
      </c>
      <c r="D41" s="296"/>
      <c r="E41" s="212"/>
      <c r="F41" s="212"/>
      <c r="G41" s="212"/>
      <c r="H41" s="212"/>
      <c r="I41" s="212"/>
      <c r="J41" s="212"/>
      <c r="K41" s="212"/>
      <c r="L41" s="212"/>
      <c r="M41" s="287">
        <v>45108</v>
      </c>
      <c r="N41" s="141" t="s">
        <v>879</v>
      </c>
      <c r="O41" s="142" t="s">
        <v>880</v>
      </c>
      <c r="P41" s="142" t="s">
        <v>881</v>
      </c>
      <c r="Q41" s="107" t="s">
        <v>882</v>
      </c>
      <c r="R41" s="107"/>
      <c r="S41" s="107" t="s">
        <v>571</v>
      </c>
      <c r="T41" s="107" t="s">
        <v>883</v>
      </c>
    </row>
    <row r="42" spans="1:24" ht="13.5" thickTop="1" x14ac:dyDescent="0.2">
      <c r="A42" s="133">
        <v>42702</v>
      </c>
      <c r="B42" s="102" t="s">
        <v>884</v>
      </c>
      <c r="D42" s="18"/>
      <c r="E42" s="212"/>
      <c r="F42" s="212"/>
      <c r="G42" s="212"/>
      <c r="H42" s="212"/>
      <c r="I42" s="212"/>
      <c r="J42" s="212"/>
      <c r="K42" s="212"/>
      <c r="L42" s="212"/>
      <c r="M42" s="18" t="s">
        <v>885</v>
      </c>
      <c r="N42" s="18"/>
      <c r="O42" s="18"/>
      <c r="P42" s="137">
        <f>+'NAGE &amp; Non-Union Wages'!L14</f>
        <v>124233</v>
      </c>
      <c r="Q42" s="153"/>
      <c r="R42" s="153"/>
      <c r="S42" s="783">
        <v>5</v>
      </c>
      <c r="T42" s="2"/>
    </row>
    <row r="43" spans="1:24" x14ac:dyDescent="0.2">
      <c r="A43" s="133"/>
      <c r="B43" s="102" t="s">
        <v>886</v>
      </c>
      <c r="D43" s="18"/>
      <c r="E43" s="212"/>
      <c r="F43" s="212"/>
      <c r="G43" s="212"/>
      <c r="H43" s="212"/>
      <c r="I43" s="212"/>
      <c r="J43" s="212"/>
      <c r="K43" s="212"/>
      <c r="L43" s="212"/>
      <c r="M43" s="18" t="s">
        <v>887</v>
      </c>
      <c r="N43" s="18"/>
      <c r="O43" s="18"/>
      <c r="P43" s="137">
        <f>+'NAGE &amp; Non-Union Wages'!D13</f>
        <v>94065</v>
      </c>
      <c r="Q43" s="153"/>
      <c r="R43" s="153"/>
      <c r="S43" s="783"/>
      <c r="T43" s="2"/>
    </row>
    <row r="44" spans="1:24" x14ac:dyDescent="0.2">
      <c r="A44" s="134">
        <v>35717</v>
      </c>
      <c r="B44" s="60" t="s">
        <v>888</v>
      </c>
      <c r="D44" s="13"/>
      <c r="E44" s="212"/>
      <c r="F44" s="212"/>
      <c r="G44" s="212"/>
      <c r="H44" s="212"/>
      <c r="I44" s="212"/>
      <c r="J44" s="212"/>
      <c r="K44" s="212"/>
      <c r="L44" s="212"/>
      <c r="M44" s="13" t="s">
        <v>889</v>
      </c>
      <c r="N44" s="13">
        <f>+'NAGE &amp; Non-Union Wages'!L8</f>
        <v>30.02</v>
      </c>
      <c r="O44" s="13">
        <f>+'To Do and Changes'!E22</f>
        <v>1820</v>
      </c>
      <c r="P44" s="137">
        <f>ROUND((+O44*N44),2)</f>
        <v>54636.4</v>
      </c>
      <c r="Q44" s="153">
        <v>35717</v>
      </c>
      <c r="R44" s="153"/>
      <c r="S44" s="783">
        <v>26</v>
      </c>
      <c r="T44" s="2">
        <v>1100</v>
      </c>
    </row>
    <row r="45" spans="1:24" x14ac:dyDescent="0.2">
      <c r="A45" s="774"/>
      <c r="B45" s="4" t="s">
        <v>890</v>
      </c>
      <c r="C45" s="23"/>
      <c r="D45" s="23"/>
      <c r="E45" s="23"/>
      <c r="F45" s="23"/>
      <c r="G45" s="212"/>
      <c r="H45" s="212"/>
      <c r="I45" s="23"/>
      <c r="J45" s="23"/>
      <c r="K45" s="212"/>
      <c r="L45" s="212"/>
      <c r="M45" s="13" t="s">
        <v>891</v>
      </c>
      <c r="N45" s="13">
        <f>+'NAGE &amp; Non-Union Wages'!D5</f>
        <v>19.75</v>
      </c>
      <c r="O45" s="13">
        <v>1305</v>
      </c>
      <c r="P45" s="137">
        <f>ROUND((+O45*N45),2)</f>
        <v>25773.75</v>
      </c>
      <c r="Q45" s="23"/>
      <c r="R45" s="23"/>
      <c r="S45" s="23"/>
      <c r="T45" s="23"/>
      <c r="U45" s="25"/>
      <c r="V45" s="153"/>
      <c r="X45" s="2"/>
    </row>
    <row r="46" spans="1:24" x14ac:dyDescent="0.2">
      <c r="A46" s="774"/>
      <c r="B46" s="4"/>
      <c r="C46" s="23"/>
      <c r="D46" s="23"/>
      <c r="E46" s="23"/>
      <c r="F46" s="23"/>
      <c r="G46" s="212"/>
      <c r="H46" s="212"/>
      <c r="I46" s="23"/>
      <c r="J46" s="23"/>
      <c r="K46" s="23"/>
      <c r="L46" s="23"/>
      <c r="M46" s="23"/>
      <c r="N46" s="23"/>
      <c r="O46" s="23"/>
      <c r="P46" s="25"/>
      <c r="Q46" s="23"/>
      <c r="R46" s="23"/>
      <c r="S46" s="23"/>
      <c r="T46" s="23"/>
      <c r="U46" s="25"/>
      <c r="V46" s="153"/>
      <c r="X46" s="2"/>
    </row>
    <row r="47" spans="1:24" ht="13.5" thickBot="1" x14ac:dyDescent="0.25">
      <c r="A47" s="774"/>
      <c r="B47" s="4"/>
      <c r="C47" s="23"/>
      <c r="D47" s="23"/>
      <c r="E47" s="23"/>
      <c r="F47" s="23"/>
      <c r="G47" s="212"/>
      <c r="H47" s="212"/>
      <c r="I47" s="23"/>
      <c r="J47" s="23"/>
      <c r="K47" s="23"/>
      <c r="L47" s="23"/>
      <c r="M47" s="23"/>
      <c r="N47" s="23"/>
      <c r="O47" s="23"/>
      <c r="P47" s="25"/>
      <c r="Q47" s="23"/>
      <c r="R47" s="23"/>
      <c r="S47" s="23"/>
      <c r="T47" s="23"/>
      <c r="U47" s="25"/>
      <c r="V47" s="153"/>
      <c r="X47" s="2"/>
    </row>
    <row r="48" spans="1:24" ht="13.5" thickTop="1" x14ac:dyDescent="0.2">
      <c r="A48" s="789"/>
      <c r="B48" s="1122" t="s">
        <v>2386</v>
      </c>
      <c r="C48" s="368" t="s">
        <v>280</v>
      </c>
      <c r="D48" s="369" t="s">
        <v>280</v>
      </c>
      <c r="E48" s="369" t="s">
        <v>280</v>
      </c>
      <c r="F48" s="212"/>
      <c r="G48" s="212"/>
      <c r="H48" s="212"/>
      <c r="I48" s="212"/>
      <c r="J48" s="212"/>
      <c r="K48" s="212"/>
      <c r="L48" s="212"/>
      <c r="M48" s="370" t="s">
        <v>279</v>
      </c>
      <c r="N48" s="371" t="s">
        <v>826</v>
      </c>
      <c r="O48" s="372" t="s">
        <v>840</v>
      </c>
      <c r="P48" s="371" t="s">
        <v>841</v>
      </c>
      <c r="Q48" s="373"/>
      <c r="R48" s="569"/>
      <c r="S48" s="372"/>
      <c r="T48" s="23"/>
      <c r="U48" s="25"/>
      <c r="V48" s="25"/>
      <c r="W48" s="25"/>
      <c r="X48" s="2"/>
    </row>
    <row r="49" spans="1:23" ht="13.5" thickBot="1" x14ac:dyDescent="0.25">
      <c r="A49" s="790" t="s">
        <v>825</v>
      </c>
      <c r="B49" s="374"/>
      <c r="C49" s="375" t="s">
        <v>267</v>
      </c>
      <c r="D49" s="375" t="s">
        <v>268</v>
      </c>
      <c r="E49" s="376" t="s">
        <v>269</v>
      </c>
      <c r="F49" s="212"/>
      <c r="G49" s="212"/>
      <c r="H49" s="212"/>
      <c r="I49" s="212"/>
      <c r="J49" s="212"/>
      <c r="K49" s="212"/>
      <c r="L49" s="212"/>
      <c r="M49" s="377" t="s">
        <v>277</v>
      </c>
      <c r="N49" s="377" t="s">
        <v>571</v>
      </c>
      <c r="O49" s="376" t="s">
        <v>843</v>
      </c>
      <c r="P49" s="378" t="s">
        <v>843</v>
      </c>
      <c r="Q49" s="379" t="s">
        <v>844</v>
      </c>
      <c r="R49" s="570"/>
      <c r="S49" s="377"/>
      <c r="T49" s="23"/>
      <c r="U49" s="25"/>
      <c r="V49" s="25"/>
      <c r="W49" s="25"/>
    </row>
    <row r="50" spans="1:23" ht="13.5" thickTop="1" x14ac:dyDescent="0.2">
      <c r="A50" s="797">
        <v>5111</v>
      </c>
      <c r="B50" s="394" t="s">
        <v>849</v>
      </c>
      <c r="C50" s="383">
        <v>87868.9</v>
      </c>
      <c r="D50" s="383">
        <v>95093</v>
      </c>
      <c r="E50" s="383">
        <v>98445</v>
      </c>
      <c r="F50" s="212"/>
      <c r="G50" s="212"/>
      <c r="H50" s="212"/>
      <c r="I50" s="212"/>
      <c r="J50" s="212"/>
      <c r="K50" s="212"/>
      <c r="L50" s="212"/>
      <c r="M50" s="1063">
        <f>+O8+7694</f>
        <v>264052</v>
      </c>
      <c r="N50" s="410">
        <f t="shared" ref="N50:N57" si="10">+Q8</f>
        <v>272934</v>
      </c>
      <c r="O50" s="386">
        <f t="shared" ref="O50:O69" si="11">+N50-M50</f>
        <v>8882</v>
      </c>
      <c r="P50" s="392">
        <f t="shared" ref="P50:P69" si="12">IF(M50+N50&lt;&gt;0,IF(M50&lt;&gt;0,IF(O50&lt;&gt;0,ROUND((+O50/M50),4),""),1),"")</f>
        <v>3.3599999999999998E-2</v>
      </c>
      <c r="Q50" s="385" t="s">
        <v>2259</v>
      </c>
      <c r="R50" s="572"/>
      <c r="S50" s="386"/>
      <c r="T50" s="23"/>
      <c r="U50" s="25"/>
      <c r="V50" s="25"/>
      <c r="W50" s="25"/>
    </row>
    <row r="51" spans="1:23" x14ac:dyDescent="0.2">
      <c r="A51" s="797">
        <v>5113</v>
      </c>
      <c r="B51" s="394" t="s">
        <v>850</v>
      </c>
      <c r="C51" s="383">
        <v>32158</v>
      </c>
      <c r="D51" s="383">
        <v>35092.639999999999</v>
      </c>
      <c r="E51" s="383">
        <v>38122.11</v>
      </c>
      <c r="F51" s="212"/>
      <c r="G51" s="212"/>
      <c r="H51" s="212"/>
      <c r="I51" s="212"/>
      <c r="J51" s="212"/>
      <c r="K51" s="212"/>
      <c r="L51" s="212"/>
      <c r="M51" s="1063">
        <f>+O9+606</f>
        <v>24435</v>
      </c>
      <c r="N51" s="410">
        <f t="shared" si="10"/>
        <v>25774</v>
      </c>
      <c r="O51" s="386">
        <f t="shared" si="11"/>
        <v>1339</v>
      </c>
      <c r="P51" s="392">
        <f t="shared" si="12"/>
        <v>5.4800000000000001E-2</v>
      </c>
      <c r="Q51" s="385" t="s">
        <v>2260</v>
      </c>
      <c r="R51" s="572"/>
      <c r="S51" s="386"/>
      <c r="T51" s="23"/>
      <c r="U51" s="25"/>
      <c r="V51" s="25"/>
      <c r="W51" s="25"/>
    </row>
    <row r="52" spans="1:23" x14ac:dyDescent="0.2">
      <c r="A52" s="797">
        <v>5115</v>
      </c>
      <c r="B52" s="394" t="s">
        <v>851</v>
      </c>
      <c r="C52" s="391">
        <v>1000</v>
      </c>
      <c r="D52" s="391">
        <v>1500</v>
      </c>
      <c r="E52" s="391">
        <v>1500</v>
      </c>
      <c r="F52" s="212"/>
      <c r="G52" s="212"/>
      <c r="H52" s="212"/>
      <c r="I52" s="212"/>
      <c r="J52" s="212"/>
      <c r="K52" s="212"/>
      <c r="L52" s="212"/>
      <c r="M52" s="384">
        <f t="shared" ref="M52:M57" si="13">+O10</f>
        <v>2355</v>
      </c>
      <c r="N52" s="410">
        <f t="shared" si="10"/>
        <v>2355</v>
      </c>
      <c r="O52" s="386">
        <f t="shared" si="11"/>
        <v>0</v>
      </c>
      <c r="P52" s="392" t="str">
        <f t="shared" si="12"/>
        <v/>
      </c>
      <c r="Q52" s="385"/>
      <c r="R52" s="572"/>
      <c r="S52" s="386"/>
      <c r="T52" s="23"/>
      <c r="U52" s="25"/>
      <c r="V52" s="25"/>
      <c r="W52" s="25"/>
    </row>
    <row r="53" spans="1:23" x14ac:dyDescent="0.2">
      <c r="A53" s="797">
        <v>5115</v>
      </c>
      <c r="B53" s="394" t="s">
        <v>852</v>
      </c>
      <c r="C53" s="395">
        <v>1000</v>
      </c>
      <c r="D53" s="395">
        <v>1500</v>
      </c>
      <c r="E53" s="395">
        <v>1500</v>
      </c>
      <c r="F53" s="212"/>
      <c r="G53" s="212"/>
      <c r="H53" s="212"/>
      <c r="I53" s="212"/>
      <c r="J53" s="212"/>
      <c r="K53" s="212"/>
      <c r="L53" s="212"/>
      <c r="M53" s="384">
        <f t="shared" si="13"/>
        <v>2140</v>
      </c>
      <c r="N53" s="410">
        <f t="shared" si="10"/>
        <v>2140</v>
      </c>
      <c r="O53" s="386">
        <f t="shared" si="11"/>
        <v>0</v>
      </c>
      <c r="P53" s="392" t="str">
        <f t="shared" si="12"/>
        <v/>
      </c>
      <c r="Q53" s="385"/>
      <c r="R53" s="572"/>
      <c r="S53" s="386"/>
      <c r="T53" s="23"/>
      <c r="U53" s="25"/>
      <c r="V53" s="25"/>
      <c r="W53" s="25"/>
    </row>
    <row r="54" spans="1:23" x14ac:dyDescent="0.2">
      <c r="A54" s="795">
        <v>5115</v>
      </c>
      <c r="B54" s="387" t="s">
        <v>853</v>
      </c>
      <c r="C54" s="391">
        <v>1000</v>
      </c>
      <c r="D54" s="391">
        <v>1500</v>
      </c>
      <c r="E54" s="391">
        <v>1500</v>
      </c>
      <c r="F54" s="212"/>
      <c r="G54" s="212"/>
      <c r="H54" s="212"/>
      <c r="I54" s="212"/>
      <c r="J54" s="212"/>
      <c r="K54" s="212"/>
      <c r="L54" s="212"/>
      <c r="M54" s="384">
        <f t="shared" si="13"/>
        <v>2140</v>
      </c>
      <c r="N54" s="410">
        <f t="shared" si="10"/>
        <v>2140</v>
      </c>
      <c r="O54" s="386">
        <f t="shared" si="11"/>
        <v>0</v>
      </c>
      <c r="P54" s="392" t="str">
        <f t="shared" si="12"/>
        <v/>
      </c>
      <c r="Q54" s="385"/>
      <c r="R54" s="572"/>
      <c r="S54" s="386"/>
      <c r="T54" s="23"/>
      <c r="U54" s="25"/>
      <c r="V54" s="25"/>
      <c r="W54" s="25"/>
    </row>
    <row r="55" spans="1:23" x14ac:dyDescent="0.2">
      <c r="A55" s="795">
        <v>5124</v>
      </c>
      <c r="B55" s="387" t="s">
        <v>892</v>
      </c>
      <c r="C55" s="391"/>
      <c r="D55" s="391"/>
      <c r="E55" s="391"/>
      <c r="F55" s="212"/>
      <c r="G55" s="212"/>
      <c r="H55" s="212"/>
      <c r="I55" s="212"/>
      <c r="J55" s="212"/>
      <c r="K55" s="212"/>
      <c r="L55" s="212"/>
      <c r="M55" s="384">
        <f t="shared" si="13"/>
        <v>0</v>
      </c>
      <c r="N55" s="410">
        <f t="shared" si="10"/>
        <v>0</v>
      </c>
      <c r="O55" s="386">
        <f t="shared" si="11"/>
        <v>0</v>
      </c>
      <c r="P55" s="392" t="str">
        <f t="shared" si="12"/>
        <v/>
      </c>
      <c r="Q55" s="385"/>
      <c r="R55" s="572"/>
      <c r="S55" s="386"/>
      <c r="T55" s="23"/>
      <c r="U55" s="25"/>
      <c r="V55" s="25"/>
      <c r="W55" s="25"/>
    </row>
    <row r="56" spans="1:23" x14ac:dyDescent="0.2">
      <c r="A56" s="795">
        <v>5144</v>
      </c>
      <c r="B56" s="387" t="s">
        <v>27</v>
      </c>
      <c r="C56" s="391">
        <v>1050</v>
      </c>
      <c r="D56" s="391">
        <v>1100</v>
      </c>
      <c r="E56" s="391">
        <v>1100</v>
      </c>
      <c r="F56" s="212"/>
      <c r="G56" s="212"/>
      <c r="H56" s="212"/>
      <c r="I56" s="212"/>
      <c r="J56" s="212"/>
      <c r="K56" s="212"/>
      <c r="L56" s="212"/>
      <c r="M56" s="1063">
        <f>+O14+100</f>
        <v>1800</v>
      </c>
      <c r="N56" s="410">
        <f t="shared" si="10"/>
        <v>1100</v>
      </c>
      <c r="O56" s="386">
        <f t="shared" si="11"/>
        <v>-700</v>
      </c>
      <c r="P56" s="392">
        <f t="shared" si="12"/>
        <v>-0.38890000000000002</v>
      </c>
      <c r="Q56" s="385" t="s">
        <v>2261</v>
      </c>
      <c r="R56" s="572"/>
      <c r="S56" s="386"/>
      <c r="T56" s="23"/>
      <c r="U56" s="25"/>
      <c r="V56" s="25"/>
      <c r="W56" s="25"/>
    </row>
    <row r="57" spans="1:23" x14ac:dyDescent="0.2">
      <c r="A57" s="795">
        <v>5145</v>
      </c>
      <c r="B57" s="387" t="s">
        <v>855</v>
      </c>
      <c r="C57" s="393">
        <v>161.56</v>
      </c>
      <c r="D57" s="393">
        <v>300.04000000000002</v>
      </c>
      <c r="E57" s="393">
        <v>300.04000000000002</v>
      </c>
      <c r="F57" s="212"/>
      <c r="G57" s="212"/>
      <c r="H57" s="212"/>
      <c r="I57" s="212"/>
      <c r="J57" s="212"/>
      <c r="K57" s="212"/>
      <c r="L57" s="212"/>
      <c r="M57" s="384">
        <f t="shared" si="13"/>
        <v>938</v>
      </c>
      <c r="N57" s="410">
        <f t="shared" si="10"/>
        <v>938</v>
      </c>
      <c r="O57" s="386">
        <f t="shared" si="11"/>
        <v>0</v>
      </c>
      <c r="P57" s="392" t="str">
        <f t="shared" si="12"/>
        <v/>
      </c>
      <c r="Q57" s="385"/>
      <c r="R57" s="572"/>
      <c r="S57" s="386"/>
      <c r="T57" s="23"/>
      <c r="U57" s="25"/>
      <c r="V57" s="25"/>
      <c r="W57" s="25"/>
    </row>
    <row r="58" spans="1:23" x14ac:dyDescent="0.2">
      <c r="A58" s="795">
        <v>5314</v>
      </c>
      <c r="B58" s="387" t="s">
        <v>860</v>
      </c>
      <c r="C58" s="391">
        <v>155</v>
      </c>
      <c r="D58" s="391">
        <v>264</v>
      </c>
      <c r="E58" s="391">
        <v>234</v>
      </c>
      <c r="F58" s="212"/>
      <c r="G58" s="212"/>
      <c r="H58" s="212"/>
      <c r="I58" s="212"/>
      <c r="J58" s="212"/>
      <c r="K58" s="212"/>
      <c r="L58" s="212"/>
      <c r="M58" s="384">
        <f t="shared" ref="M58:M69" si="14">+O22</f>
        <v>2000</v>
      </c>
      <c r="N58" s="410">
        <f t="shared" ref="N58:N69" si="15">+Q22</f>
        <v>2000</v>
      </c>
      <c r="O58" s="386">
        <f t="shared" si="11"/>
        <v>0</v>
      </c>
      <c r="P58" s="392" t="str">
        <f t="shared" si="12"/>
        <v/>
      </c>
      <c r="Q58" s="385"/>
      <c r="R58" s="572"/>
      <c r="S58" s="386"/>
      <c r="T58" s="23"/>
      <c r="U58" s="25"/>
      <c r="V58" s="25"/>
      <c r="W58" s="25"/>
    </row>
    <row r="59" spans="1:23" x14ac:dyDescent="0.2">
      <c r="A59" s="795">
        <v>5315</v>
      </c>
      <c r="B59" s="387" t="s">
        <v>893</v>
      </c>
      <c r="C59" s="391">
        <v>13</v>
      </c>
      <c r="D59" s="391"/>
      <c r="E59" s="391"/>
      <c r="F59" s="212"/>
      <c r="G59" s="212"/>
      <c r="H59" s="212"/>
      <c r="I59" s="212"/>
      <c r="J59" s="212"/>
      <c r="K59" s="212"/>
      <c r="L59" s="212"/>
      <c r="M59" s="384">
        <f t="shared" si="14"/>
        <v>7200</v>
      </c>
      <c r="N59" s="410">
        <f t="shared" si="15"/>
        <v>8000</v>
      </c>
      <c r="O59" s="386">
        <f t="shared" si="11"/>
        <v>800</v>
      </c>
      <c r="P59" s="392">
        <f t="shared" si="12"/>
        <v>0.1111</v>
      </c>
      <c r="Q59" s="385" t="s">
        <v>2262</v>
      </c>
      <c r="R59" s="572"/>
      <c r="S59" s="386"/>
      <c r="T59" s="23"/>
      <c r="U59" s="25"/>
      <c r="V59" s="25"/>
      <c r="W59" s="25"/>
    </row>
    <row r="60" spans="1:23" hidden="1" x14ac:dyDescent="0.2">
      <c r="A60" s="795">
        <v>5341</v>
      </c>
      <c r="B60" s="387" t="s">
        <v>862</v>
      </c>
      <c r="C60" s="391">
        <v>622.19000000000005</v>
      </c>
      <c r="D60" s="391">
        <v>606.08000000000004</v>
      </c>
      <c r="E60" s="391">
        <v>609.53</v>
      </c>
      <c r="F60" s="212"/>
      <c r="G60" s="212"/>
      <c r="H60" s="212"/>
      <c r="I60" s="212"/>
      <c r="J60" s="212"/>
      <c r="K60" s="212"/>
      <c r="L60" s="212"/>
      <c r="M60" s="384">
        <f t="shared" si="14"/>
        <v>0</v>
      </c>
      <c r="N60" s="410">
        <f t="shared" si="15"/>
        <v>0</v>
      </c>
      <c r="O60" s="386">
        <f t="shared" si="11"/>
        <v>0</v>
      </c>
      <c r="P60" s="392" t="str">
        <f t="shared" si="12"/>
        <v/>
      </c>
      <c r="Q60" s="385"/>
      <c r="R60" s="572"/>
      <c r="S60" s="386"/>
      <c r="T60" s="23"/>
      <c r="U60" s="25"/>
      <c r="V60" s="25"/>
      <c r="W60" s="25"/>
    </row>
    <row r="61" spans="1:23" x14ac:dyDescent="0.2">
      <c r="A61" s="795">
        <v>5344</v>
      </c>
      <c r="B61" s="387" t="s">
        <v>832</v>
      </c>
      <c r="C61" s="391">
        <v>394.95</v>
      </c>
      <c r="D61" s="391">
        <v>15.26</v>
      </c>
      <c r="E61" s="391">
        <v>46.13</v>
      </c>
      <c r="F61" s="212"/>
      <c r="G61" s="212"/>
      <c r="H61" s="212"/>
      <c r="I61" s="212"/>
      <c r="J61" s="212"/>
      <c r="K61" s="212"/>
      <c r="L61" s="212"/>
      <c r="M61" s="384">
        <f t="shared" si="14"/>
        <v>300</v>
      </c>
      <c r="N61" s="410">
        <f t="shared" si="15"/>
        <v>300</v>
      </c>
      <c r="O61" s="386">
        <f t="shared" si="11"/>
        <v>0</v>
      </c>
      <c r="P61" s="392" t="str">
        <f t="shared" si="12"/>
        <v/>
      </c>
      <c r="Q61" s="385"/>
      <c r="R61" s="572"/>
      <c r="S61" s="386"/>
      <c r="T61" s="23"/>
      <c r="U61" s="25"/>
      <c r="V61" s="25"/>
      <c r="W61" s="25"/>
    </row>
    <row r="62" spans="1:23" x14ac:dyDescent="0.2">
      <c r="A62" s="795">
        <v>5345</v>
      </c>
      <c r="B62" s="387" t="s">
        <v>863</v>
      </c>
      <c r="C62" s="391">
        <v>215.57</v>
      </c>
      <c r="D62" s="391">
        <v>993.7</v>
      </c>
      <c r="E62" s="391">
        <v>1101.8</v>
      </c>
      <c r="F62" s="212"/>
      <c r="G62" s="212"/>
      <c r="H62" s="212"/>
      <c r="I62" s="212"/>
      <c r="J62" s="212"/>
      <c r="K62" s="212"/>
      <c r="L62" s="212"/>
      <c r="M62" s="384">
        <f t="shared" si="14"/>
        <v>1050</v>
      </c>
      <c r="N62" s="410">
        <f t="shared" si="15"/>
        <v>1200</v>
      </c>
      <c r="O62" s="386">
        <f t="shared" si="11"/>
        <v>150</v>
      </c>
      <c r="P62" s="392">
        <f t="shared" si="12"/>
        <v>0.1429</v>
      </c>
      <c r="Q62" s="385" t="s">
        <v>2263</v>
      </c>
      <c r="R62" s="572"/>
      <c r="S62" s="386"/>
      <c r="T62" s="23"/>
      <c r="U62" s="25"/>
      <c r="V62" s="25"/>
      <c r="W62" s="25"/>
    </row>
    <row r="63" spans="1:23" x14ac:dyDescent="0.2">
      <c r="A63" s="795">
        <v>5420</v>
      </c>
      <c r="B63" s="387" t="s">
        <v>864</v>
      </c>
      <c r="C63" s="383">
        <v>961.77</v>
      </c>
      <c r="D63" s="383">
        <v>902.7</v>
      </c>
      <c r="E63" s="383">
        <v>1272.0899999999999</v>
      </c>
      <c r="F63" s="212"/>
      <c r="G63" s="212"/>
      <c r="H63" s="212"/>
      <c r="I63" s="212"/>
      <c r="J63" s="212"/>
      <c r="K63" s="212"/>
      <c r="L63" s="212"/>
      <c r="M63" s="384">
        <f t="shared" si="14"/>
        <v>4500</v>
      </c>
      <c r="N63" s="410">
        <f t="shared" si="15"/>
        <v>4500</v>
      </c>
      <c r="O63" s="386">
        <f t="shared" si="11"/>
        <v>0</v>
      </c>
      <c r="P63" s="392" t="str">
        <f t="shared" si="12"/>
        <v/>
      </c>
      <c r="Q63" s="385"/>
      <c r="R63" s="572"/>
      <c r="S63" s="386"/>
      <c r="T63" s="23"/>
      <c r="U63" s="25"/>
      <c r="V63" s="25"/>
      <c r="W63" s="25"/>
    </row>
    <row r="64" spans="1:23" x14ac:dyDescent="0.2">
      <c r="A64" s="795">
        <v>5450</v>
      </c>
      <c r="B64" s="387" t="s">
        <v>865</v>
      </c>
      <c r="C64" s="396"/>
      <c r="D64" s="396">
        <v>105.99</v>
      </c>
      <c r="E64" s="396"/>
      <c r="F64" s="212"/>
      <c r="G64" s="212"/>
      <c r="H64" s="212"/>
      <c r="I64" s="212"/>
      <c r="J64" s="212"/>
      <c r="K64" s="212"/>
      <c r="L64" s="212"/>
      <c r="M64" s="384">
        <f t="shared" si="14"/>
        <v>500</v>
      </c>
      <c r="N64" s="410">
        <f t="shared" si="15"/>
        <v>500</v>
      </c>
      <c r="O64" s="386">
        <f t="shared" si="11"/>
        <v>0</v>
      </c>
      <c r="P64" s="392" t="str">
        <f t="shared" si="12"/>
        <v/>
      </c>
      <c r="Q64" s="385"/>
      <c r="R64" s="572"/>
      <c r="S64" s="386"/>
      <c r="T64" s="23"/>
      <c r="U64" s="25"/>
      <c r="V64" s="25"/>
      <c r="W64" s="25"/>
    </row>
    <row r="65" spans="1:23" x14ac:dyDescent="0.2">
      <c r="A65" s="795">
        <v>5581</v>
      </c>
      <c r="B65" s="387" t="s">
        <v>866</v>
      </c>
      <c r="C65" s="398">
        <v>69</v>
      </c>
      <c r="D65" s="398">
        <v>157.4</v>
      </c>
      <c r="E65" s="398">
        <v>88.4</v>
      </c>
      <c r="F65" s="212"/>
      <c r="G65" s="212"/>
      <c r="H65" s="212"/>
      <c r="I65" s="212"/>
      <c r="J65" s="212"/>
      <c r="K65" s="212"/>
      <c r="L65" s="212"/>
      <c r="M65" s="384">
        <f t="shared" si="14"/>
        <v>200</v>
      </c>
      <c r="N65" s="410">
        <f t="shared" si="15"/>
        <v>600</v>
      </c>
      <c r="O65" s="386">
        <f t="shared" si="11"/>
        <v>400</v>
      </c>
      <c r="P65" s="392">
        <f t="shared" si="12"/>
        <v>2</v>
      </c>
      <c r="Q65" s="385" t="s">
        <v>2266</v>
      </c>
      <c r="R65" s="572"/>
      <c r="S65" s="386"/>
      <c r="T65" s="23"/>
      <c r="U65" s="4"/>
      <c r="V65" s="4"/>
      <c r="W65" s="4"/>
    </row>
    <row r="66" spans="1:23" x14ac:dyDescent="0.2">
      <c r="A66" s="795">
        <v>5582</v>
      </c>
      <c r="B66" s="387" t="s">
        <v>867</v>
      </c>
      <c r="C66" s="396">
        <v>10.9</v>
      </c>
      <c r="D66" s="396"/>
      <c r="E66" s="396"/>
      <c r="F66" s="212"/>
      <c r="G66" s="212"/>
      <c r="H66" s="212"/>
      <c r="I66" s="212"/>
      <c r="J66" s="212"/>
      <c r="K66" s="212"/>
      <c r="L66" s="212"/>
      <c r="M66" s="384">
        <f t="shared" si="14"/>
        <v>300</v>
      </c>
      <c r="N66" s="410">
        <f t="shared" si="15"/>
        <v>300</v>
      </c>
      <c r="O66" s="386">
        <f t="shared" si="11"/>
        <v>0</v>
      </c>
      <c r="P66" s="392" t="str">
        <f t="shared" si="12"/>
        <v/>
      </c>
      <c r="Q66" s="385"/>
      <c r="R66" s="572"/>
      <c r="S66" s="386"/>
      <c r="T66" s="23"/>
      <c r="U66" s="4"/>
      <c r="V66" s="4"/>
      <c r="W66" s="4"/>
    </row>
    <row r="67" spans="1:23" x14ac:dyDescent="0.2">
      <c r="A67" s="795">
        <v>5590</v>
      </c>
      <c r="B67" s="387" t="s">
        <v>868</v>
      </c>
      <c r="C67" s="396"/>
      <c r="D67" s="396"/>
      <c r="E67" s="396"/>
      <c r="F67" s="212"/>
      <c r="G67" s="212"/>
      <c r="H67" s="212"/>
      <c r="I67" s="212"/>
      <c r="J67" s="212"/>
      <c r="K67" s="212"/>
      <c r="L67" s="212"/>
      <c r="M67" s="384">
        <f t="shared" si="14"/>
        <v>3000</v>
      </c>
      <c r="N67" s="410">
        <f t="shared" si="15"/>
        <v>500</v>
      </c>
      <c r="O67" s="386">
        <f t="shared" si="11"/>
        <v>-2500</v>
      </c>
      <c r="P67" s="392">
        <f t="shared" si="12"/>
        <v>-0.83330000000000004</v>
      </c>
      <c r="Q67" s="385" t="s">
        <v>2264</v>
      </c>
      <c r="R67" s="572"/>
      <c r="S67" s="386"/>
      <c r="T67" s="23"/>
      <c r="U67" s="4"/>
      <c r="V67" s="4"/>
      <c r="W67" s="4"/>
    </row>
    <row r="68" spans="1:23" x14ac:dyDescent="0.2">
      <c r="A68" s="795">
        <v>5710</v>
      </c>
      <c r="B68" s="387" t="s">
        <v>869</v>
      </c>
      <c r="C68" s="383">
        <v>798.35</v>
      </c>
      <c r="D68" s="383">
        <v>780.84</v>
      </c>
      <c r="E68" s="383">
        <v>851.39</v>
      </c>
      <c r="F68" s="212"/>
      <c r="G68" s="212"/>
      <c r="H68" s="212"/>
      <c r="I68" s="212"/>
      <c r="J68" s="212"/>
      <c r="K68" s="212"/>
      <c r="L68" s="212"/>
      <c r="M68" s="384">
        <f t="shared" si="14"/>
        <v>2500</v>
      </c>
      <c r="N68" s="410">
        <f t="shared" si="15"/>
        <v>2000</v>
      </c>
      <c r="O68" s="386">
        <f t="shared" si="11"/>
        <v>-500</v>
      </c>
      <c r="P68" s="392">
        <f t="shared" si="12"/>
        <v>-0.2</v>
      </c>
      <c r="Q68" s="385" t="s">
        <v>2265</v>
      </c>
      <c r="R68" s="572"/>
      <c r="S68" s="386"/>
      <c r="T68" s="23"/>
      <c r="U68" s="4"/>
      <c r="V68" s="4"/>
      <c r="W68" s="4"/>
    </row>
    <row r="69" spans="1:23" ht="13.5" thickBot="1" x14ac:dyDescent="0.25">
      <c r="A69" s="795">
        <v>5730</v>
      </c>
      <c r="B69" s="387" t="s">
        <v>870</v>
      </c>
      <c r="C69" s="389">
        <v>2157</v>
      </c>
      <c r="D69" s="389">
        <v>1952</v>
      </c>
      <c r="E69" s="389">
        <v>1997</v>
      </c>
      <c r="F69" s="212"/>
      <c r="G69" s="212"/>
      <c r="H69" s="212"/>
      <c r="I69" s="212"/>
      <c r="J69" s="212"/>
      <c r="K69" s="212"/>
      <c r="L69" s="212"/>
      <c r="M69" s="384">
        <f t="shared" si="14"/>
        <v>2500</v>
      </c>
      <c r="N69" s="410">
        <f t="shared" si="15"/>
        <v>2500</v>
      </c>
      <c r="O69" s="386">
        <f t="shared" si="11"/>
        <v>0</v>
      </c>
      <c r="P69" s="392" t="str">
        <f t="shared" si="12"/>
        <v/>
      </c>
      <c r="Q69" s="385"/>
      <c r="R69" s="572"/>
      <c r="S69" s="386"/>
      <c r="T69" s="23"/>
      <c r="U69" s="4"/>
      <c r="V69" s="4"/>
      <c r="W69" s="4"/>
    </row>
    <row r="70" spans="1:23" x14ac:dyDescent="0.2">
      <c r="A70" s="774"/>
      <c r="B70" s="4"/>
      <c r="C70" s="23"/>
      <c r="D70" s="23"/>
      <c r="E70" s="23"/>
      <c r="F70" s="23"/>
      <c r="G70" s="23"/>
      <c r="H70" s="212"/>
      <c r="I70" s="212"/>
      <c r="J70" s="212"/>
      <c r="K70" s="212"/>
      <c r="L70" s="212"/>
      <c r="M70" s="23"/>
      <c r="N70" s="23"/>
      <c r="O70" s="23"/>
      <c r="P70" s="4"/>
      <c r="Q70" s="23"/>
      <c r="R70" s="23"/>
      <c r="S70" s="23"/>
      <c r="T70" s="23"/>
      <c r="U70" s="4"/>
      <c r="V70" s="4"/>
      <c r="W70" s="4"/>
    </row>
    <row r="71" spans="1:23" x14ac:dyDescent="0.2">
      <c r="A71" s="774"/>
      <c r="B71" s="4" t="s">
        <v>846</v>
      </c>
      <c r="C71" s="23"/>
      <c r="D71" s="23"/>
      <c r="E71" s="23"/>
      <c r="F71" s="23"/>
      <c r="G71" s="23"/>
      <c r="H71" s="212"/>
      <c r="I71" s="212"/>
      <c r="J71" s="212"/>
      <c r="K71" s="212"/>
      <c r="L71" s="212"/>
      <c r="M71" s="616">
        <f>SUM(M50:M70)</f>
        <v>321910</v>
      </c>
      <c r="N71" s="616">
        <f>SUM(N50:N70)</f>
        <v>329781</v>
      </c>
      <c r="O71" s="25">
        <f>+N71-M71</f>
        <v>7871</v>
      </c>
      <c r="P71" s="617">
        <f>IF(M71+N71&lt;&gt;0,IF(M71&lt;&gt;0,IF(O71&lt;&gt;0,ROUND((+O71/M71),4),""),1),"")</f>
        <v>2.4500000000000001E-2</v>
      </c>
      <c r="Q71" s="23"/>
      <c r="R71" s="23"/>
      <c r="S71" s="23"/>
      <c r="T71" s="23"/>
      <c r="U71" s="4"/>
      <c r="V71" s="4"/>
      <c r="W71" s="4"/>
    </row>
    <row r="72" spans="1:23" x14ac:dyDescent="0.2">
      <c r="A72" s="774"/>
      <c r="B72" s="4"/>
      <c r="C72" s="23"/>
      <c r="D72" s="23"/>
      <c r="E72" s="23"/>
      <c r="F72" s="23"/>
      <c r="G72" s="23"/>
      <c r="H72" s="23"/>
      <c r="I72" s="23"/>
      <c r="J72" s="23"/>
      <c r="K72" s="23"/>
      <c r="L72" s="23"/>
      <c r="M72" s="23"/>
      <c r="N72" s="23"/>
      <c r="O72" s="23"/>
      <c r="P72" s="4"/>
      <c r="Q72" s="23"/>
      <c r="R72" s="23"/>
      <c r="S72" s="23"/>
      <c r="T72" s="23"/>
      <c r="U72" s="4"/>
      <c r="V72" s="4"/>
      <c r="W72" s="4"/>
    </row>
    <row r="73" spans="1:23" x14ac:dyDescent="0.2">
      <c r="A73" s="774"/>
      <c r="B73" s="4"/>
      <c r="C73" s="23"/>
      <c r="D73" s="23"/>
      <c r="E73" s="23"/>
      <c r="F73" s="23"/>
      <c r="G73" s="23"/>
      <c r="H73" s="23"/>
      <c r="I73" s="23"/>
      <c r="J73" s="23"/>
      <c r="K73" s="23"/>
      <c r="L73" s="23"/>
      <c r="M73" s="23"/>
      <c r="N73" s="23"/>
      <c r="O73" s="23"/>
      <c r="P73" s="4"/>
      <c r="Q73" s="23"/>
      <c r="R73" s="23"/>
      <c r="S73" s="23"/>
      <c r="T73" s="23"/>
      <c r="U73" s="4"/>
      <c r="V73" s="4"/>
      <c r="W73" s="4"/>
    </row>
    <row r="74" spans="1:23" x14ac:dyDescent="0.2">
      <c r="A74" s="774"/>
      <c r="B74" s="4"/>
      <c r="C74" s="23"/>
      <c r="D74" s="23"/>
      <c r="E74" s="23"/>
      <c r="F74" s="23"/>
      <c r="G74" s="23"/>
      <c r="H74" s="23"/>
      <c r="I74" s="23"/>
      <c r="J74" s="23"/>
      <c r="K74" s="23"/>
      <c r="L74" s="23"/>
      <c r="M74" s="23"/>
      <c r="N74" s="23"/>
      <c r="O74" s="23"/>
      <c r="P74" s="4"/>
      <c r="Q74" s="23"/>
      <c r="R74" s="23"/>
      <c r="S74" s="23"/>
      <c r="T74" s="23"/>
      <c r="U74" s="4"/>
      <c r="V74" s="4"/>
      <c r="W74" s="4"/>
    </row>
    <row r="75" spans="1:23" x14ac:dyDescent="0.2">
      <c r="A75" s="774"/>
      <c r="B75" s="4"/>
      <c r="C75" s="23"/>
      <c r="D75" s="23"/>
      <c r="E75" s="23"/>
      <c r="F75" s="23"/>
      <c r="G75" s="23"/>
      <c r="H75" s="23"/>
      <c r="I75" s="23"/>
      <c r="J75" s="23"/>
      <c r="K75" s="23"/>
      <c r="L75" s="23"/>
      <c r="M75" s="23"/>
      <c r="N75" s="23"/>
      <c r="O75" s="23"/>
      <c r="P75" s="4"/>
      <c r="Q75" s="23"/>
      <c r="R75" s="23"/>
      <c r="S75" s="23"/>
      <c r="T75" s="23"/>
      <c r="U75" s="4"/>
      <c r="V75" s="4"/>
      <c r="W75" s="4"/>
    </row>
    <row r="76" spans="1:23" x14ac:dyDescent="0.2">
      <c r="A76" s="774"/>
      <c r="B76" s="4"/>
      <c r="C76" s="23"/>
      <c r="D76" s="23"/>
      <c r="E76" s="23"/>
      <c r="F76" s="23"/>
      <c r="G76" s="23"/>
      <c r="H76" s="23"/>
      <c r="I76" s="23"/>
      <c r="J76" s="23"/>
      <c r="K76" s="23"/>
      <c r="L76" s="23"/>
      <c r="M76" s="23"/>
      <c r="N76" s="23"/>
      <c r="O76" s="23"/>
      <c r="P76" s="4"/>
      <c r="Q76" s="23"/>
      <c r="R76" s="23"/>
      <c r="S76" s="23"/>
      <c r="T76" s="23"/>
      <c r="U76" s="4"/>
      <c r="V76" s="4"/>
      <c r="W76" s="4"/>
    </row>
    <row r="77" spans="1:23" x14ac:dyDescent="0.2">
      <c r="A77" s="774"/>
      <c r="B77" s="4"/>
      <c r="C77" s="23"/>
      <c r="D77" s="23"/>
      <c r="E77" s="23"/>
      <c r="F77" s="23"/>
      <c r="G77" s="23"/>
      <c r="H77" s="23"/>
      <c r="I77" s="23"/>
      <c r="J77" s="23"/>
      <c r="K77" s="23"/>
      <c r="L77" s="23"/>
      <c r="M77" s="23"/>
      <c r="N77" s="23"/>
      <c r="O77" s="23"/>
      <c r="P77" s="4"/>
      <c r="Q77" s="23"/>
      <c r="R77" s="23"/>
      <c r="S77" s="23"/>
      <c r="T77" s="23"/>
      <c r="U77" s="4"/>
      <c r="V77" s="4"/>
      <c r="W77" s="4"/>
    </row>
    <row r="78" spans="1:23" x14ac:dyDescent="0.2">
      <c r="A78" s="774"/>
      <c r="B78" s="4"/>
      <c r="C78" s="23"/>
      <c r="D78" s="23"/>
      <c r="E78" s="23"/>
      <c r="F78" s="23"/>
      <c r="G78" s="23"/>
      <c r="H78" s="23"/>
      <c r="I78" s="23"/>
      <c r="J78" s="23"/>
      <c r="K78" s="23"/>
      <c r="L78" s="23"/>
      <c r="M78" s="23"/>
      <c r="N78" s="23"/>
      <c r="O78" s="23"/>
      <c r="P78" s="4"/>
      <c r="Q78" s="23"/>
      <c r="R78" s="23"/>
      <c r="S78" s="23"/>
      <c r="T78" s="23"/>
      <c r="U78" s="4"/>
      <c r="V78" s="4"/>
      <c r="W78" s="4"/>
    </row>
    <row r="79" spans="1:23" x14ac:dyDescent="0.2">
      <c r="A79" s="774"/>
      <c r="B79" s="4"/>
      <c r="C79" s="23"/>
      <c r="D79" s="23"/>
      <c r="E79" s="23"/>
      <c r="F79" s="23"/>
      <c r="G79" s="23"/>
      <c r="H79" s="23"/>
      <c r="I79" s="23"/>
      <c r="J79" s="23"/>
      <c r="K79" s="23"/>
      <c r="L79" s="23"/>
      <c r="M79" s="23"/>
      <c r="N79" s="23"/>
      <c r="O79" s="23"/>
      <c r="P79" s="4"/>
      <c r="Q79" s="23"/>
      <c r="R79" s="23"/>
      <c r="S79" s="23"/>
      <c r="T79" s="23"/>
      <c r="U79" s="4"/>
      <c r="V79" s="4"/>
      <c r="W79" s="4"/>
    </row>
    <row r="80" spans="1:23" x14ac:dyDescent="0.2">
      <c r="A80" s="774"/>
      <c r="B80" s="4"/>
      <c r="C80" s="23"/>
      <c r="D80" s="23"/>
      <c r="E80" s="23"/>
      <c r="F80" s="23"/>
      <c r="G80" s="23"/>
      <c r="H80" s="23"/>
      <c r="I80" s="23"/>
      <c r="J80" s="23"/>
      <c r="K80" s="23"/>
      <c r="L80" s="23"/>
      <c r="M80" s="23"/>
      <c r="N80" s="23"/>
      <c r="O80" s="23"/>
      <c r="P80" s="4"/>
      <c r="Q80" s="23"/>
      <c r="R80" s="23"/>
      <c r="S80" s="23"/>
      <c r="T80" s="23"/>
      <c r="U80" s="4"/>
      <c r="V80" s="4"/>
      <c r="W80" s="4"/>
    </row>
    <row r="81" spans="1:23" x14ac:dyDescent="0.2">
      <c r="A81" s="774"/>
      <c r="B81" s="4"/>
      <c r="C81" s="23"/>
      <c r="D81" s="23"/>
      <c r="E81" s="23"/>
      <c r="F81" s="23"/>
      <c r="G81" s="23"/>
      <c r="H81" s="23"/>
      <c r="I81" s="23"/>
      <c r="J81" s="23"/>
      <c r="K81" s="23"/>
      <c r="L81" s="23"/>
      <c r="M81" s="23"/>
      <c r="N81" s="23"/>
      <c r="O81" s="23"/>
      <c r="P81" s="4"/>
      <c r="Q81" s="23"/>
      <c r="R81" s="23"/>
      <c r="S81" s="23"/>
      <c r="T81" s="23"/>
      <c r="U81" s="4"/>
      <c r="V81" s="4"/>
      <c r="W81" s="4"/>
    </row>
    <row r="82" spans="1:23" x14ac:dyDescent="0.2">
      <c r="A82" s="774"/>
      <c r="B82" s="4"/>
      <c r="C82" s="23"/>
      <c r="D82" s="23"/>
      <c r="E82" s="23"/>
      <c r="F82" s="23"/>
      <c r="G82" s="23"/>
      <c r="H82" s="23"/>
      <c r="I82" s="23"/>
      <c r="J82" s="23"/>
      <c r="K82" s="23"/>
      <c r="L82" s="23"/>
      <c r="M82" s="23"/>
      <c r="N82" s="23"/>
      <c r="O82" s="23"/>
      <c r="P82" s="4"/>
      <c r="Q82" s="23"/>
      <c r="R82" s="23"/>
      <c r="S82" s="23"/>
      <c r="T82" s="23"/>
      <c r="U82" s="4"/>
      <c r="V82" s="4"/>
      <c r="W82" s="4"/>
    </row>
    <row r="83" spans="1:23" x14ac:dyDescent="0.2">
      <c r="A83" s="774"/>
      <c r="B83" s="4"/>
      <c r="C83" s="23"/>
      <c r="D83" s="23"/>
      <c r="E83" s="23"/>
      <c r="F83" s="23"/>
      <c r="G83" s="23"/>
      <c r="H83" s="23"/>
      <c r="I83" s="23"/>
      <c r="J83" s="23"/>
      <c r="K83" s="23"/>
      <c r="L83" s="23"/>
      <c r="M83" s="23"/>
      <c r="N83" s="23"/>
      <c r="O83" s="23"/>
      <c r="P83" s="4"/>
      <c r="Q83" s="23"/>
      <c r="R83" s="23"/>
      <c r="S83" s="23"/>
      <c r="T83" s="23"/>
      <c r="U83" s="4"/>
      <c r="V83" s="4"/>
      <c r="W83" s="4"/>
    </row>
    <row r="84" spans="1:23" x14ac:dyDescent="0.2">
      <c r="A84" s="774"/>
      <c r="B84" s="4"/>
      <c r="C84" s="23"/>
      <c r="D84" s="23"/>
      <c r="E84" s="23"/>
      <c r="F84" s="23"/>
      <c r="G84" s="23"/>
      <c r="H84" s="23"/>
      <c r="I84" s="23"/>
      <c r="J84" s="23"/>
      <c r="K84" s="23"/>
      <c r="L84" s="23"/>
      <c r="M84" s="23"/>
      <c r="N84" s="23"/>
      <c r="O84" s="23"/>
      <c r="P84" s="4"/>
      <c r="Q84" s="23"/>
      <c r="R84" s="23"/>
      <c r="S84" s="23"/>
      <c r="T84" s="23"/>
      <c r="U84" s="4"/>
      <c r="V84" s="4"/>
      <c r="W84" s="4"/>
    </row>
    <row r="85" spans="1:23" x14ac:dyDescent="0.2">
      <c r="A85" s="774"/>
      <c r="B85" s="4"/>
      <c r="C85" s="23"/>
      <c r="D85" s="23"/>
      <c r="E85" s="23"/>
      <c r="F85" s="23"/>
      <c r="G85" s="23"/>
      <c r="H85" s="23"/>
      <c r="I85" s="23"/>
      <c r="J85" s="23"/>
      <c r="K85" s="23"/>
      <c r="L85" s="23"/>
      <c r="M85" s="23"/>
      <c r="N85" s="23"/>
      <c r="O85" s="23"/>
      <c r="P85" s="4"/>
      <c r="Q85" s="23"/>
      <c r="R85" s="23"/>
      <c r="S85" s="23"/>
      <c r="T85" s="23"/>
      <c r="U85" s="4"/>
      <c r="V85" s="4"/>
      <c r="W85" s="4"/>
    </row>
    <row r="86" spans="1:23" x14ac:dyDescent="0.2">
      <c r="A86" s="774"/>
      <c r="B86" s="4"/>
      <c r="C86" s="23"/>
      <c r="D86" s="23"/>
      <c r="E86" s="23"/>
      <c r="F86" s="23"/>
      <c r="G86" s="23"/>
      <c r="H86" s="23"/>
      <c r="I86" s="23"/>
      <c r="J86" s="23"/>
      <c r="K86" s="23"/>
      <c r="L86" s="23"/>
      <c r="M86" s="23"/>
      <c r="N86" s="23"/>
      <c r="O86" s="23"/>
      <c r="P86" s="4"/>
      <c r="Q86" s="23"/>
      <c r="R86" s="23"/>
      <c r="S86" s="23"/>
      <c r="T86" s="23"/>
      <c r="U86" s="4"/>
      <c r="V86" s="4"/>
      <c r="W86" s="4"/>
    </row>
    <row r="87" spans="1:23" x14ac:dyDescent="0.2">
      <c r="A87" s="774"/>
      <c r="B87" s="4"/>
      <c r="C87" s="23"/>
      <c r="D87" s="23"/>
      <c r="E87" s="23"/>
      <c r="F87" s="23"/>
      <c r="G87" s="23"/>
      <c r="H87" s="23"/>
      <c r="I87" s="23"/>
      <c r="J87" s="23"/>
      <c r="K87" s="23"/>
      <c r="L87" s="23"/>
      <c r="M87" s="23"/>
      <c r="N87" s="23"/>
      <c r="O87" s="23"/>
      <c r="P87" s="4"/>
      <c r="Q87" s="23"/>
      <c r="R87" s="23"/>
      <c r="S87" s="23"/>
      <c r="T87" s="23"/>
      <c r="U87" s="4"/>
      <c r="V87" s="4"/>
      <c r="W87" s="4"/>
    </row>
    <row r="88" spans="1:23" x14ac:dyDescent="0.2">
      <c r="A88" s="774"/>
      <c r="B88" s="4"/>
      <c r="C88" s="23"/>
      <c r="D88" s="23"/>
      <c r="E88" s="23"/>
      <c r="F88" s="23"/>
      <c r="G88" s="23"/>
      <c r="H88" s="23"/>
      <c r="I88" s="23"/>
      <c r="J88" s="23"/>
      <c r="K88" s="23"/>
      <c r="L88" s="23"/>
      <c r="M88" s="23"/>
      <c r="N88" s="23"/>
      <c r="O88" s="23"/>
      <c r="P88" s="4"/>
      <c r="Q88" s="23"/>
      <c r="R88" s="23"/>
      <c r="S88" s="23"/>
      <c r="T88" s="23"/>
      <c r="U88" s="4"/>
      <c r="V88" s="4"/>
      <c r="W88" s="4"/>
    </row>
    <row r="89" spans="1:23" x14ac:dyDescent="0.2">
      <c r="A89" s="774"/>
      <c r="B89" s="4"/>
      <c r="C89" s="23"/>
      <c r="D89" s="23"/>
      <c r="E89" s="23"/>
      <c r="F89" s="23"/>
      <c r="G89" s="23"/>
      <c r="H89" s="23"/>
      <c r="I89" s="23"/>
      <c r="J89" s="23"/>
      <c r="K89" s="23"/>
      <c r="L89" s="23"/>
      <c r="M89" s="23"/>
      <c r="N89" s="23"/>
      <c r="O89" s="23"/>
      <c r="P89" s="4"/>
      <c r="Q89" s="23"/>
      <c r="R89" s="23"/>
      <c r="S89" s="23"/>
      <c r="T89" s="23"/>
      <c r="U89" s="4"/>
      <c r="V89" s="4"/>
      <c r="W89" s="4"/>
    </row>
    <row r="90" spans="1:23" x14ac:dyDescent="0.2">
      <c r="A90" s="774"/>
      <c r="B90" s="4"/>
      <c r="C90" s="23"/>
      <c r="D90" s="23"/>
      <c r="E90" s="23"/>
      <c r="F90" s="23"/>
      <c r="G90" s="23"/>
      <c r="H90" s="23"/>
      <c r="I90" s="23"/>
      <c r="J90" s="23"/>
      <c r="K90" s="23"/>
      <c r="L90" s="23"/>
      <c r="M90" s="23"/>
      <c r="N90" s="23"/>
      <c r="O90" s="23"/>
      <c r="P90" s="4"/>
      <c r="Q90" s="23"/>
      <c r="R90" s="23"/>
      <c r="S90" s="23"/>
      <c r="T90" s="23"/>
      <c r="U90" s="4"/>
      <c r="V90" s="4"/>
      <c r="W90" s="4"/>
    </row>
    <row r="91" spans="1:23" x14ac:dyDescent="0.2">
      <c r="A91" s="774"/>
      <c r="B91" s="4"/>
      <c r="C91" s="23"/>
      <c r="D91" s="23"/>
      <c r="E91" s="23"/>
      <c r="F91" s="23"/>
      <c r="G91" s="23"/>
      <c r="H91" s="23"/>
      <c r="I91" s="23"/>
      <c r="J91" s="23"/>
      <c r="K91" s="23"/>
      <c r="L91" s="23"/>
      <c r="M91" s="23"/>
      <c r="N91" s="23"/>
      <c r="O91" s="23"/>
      <c r="P91" s="4"/>
      <c r="Q91" s="23"/>
      <c r="R91" s="23"/>
      <c r="S91" s="23"/>
      <c r="T91" s="23"/>
      <c r="U91" s="4"/>
      <c r="V91" s="4"/>
      <c r="W91" s="4"/>
    </row>
    <row r="92" spans="1:23" x14ac:dyDescent="0.2">
      <c r="A92" s="774"/>
      <c r="B92" s="4"/>
      <c r="C92" s="23"/>
      <c r="D92" s="23"/>
      <c r="E92" s="23"/>
      <c r="F92" s="23"/>
      <c r="G92" s="23"/>
      <c r="H92" s="23"/>
      <c r="I92" s="23"/>
      <c r="J92" s="23"/>
      <c r="K92" s="23"/>
      <c r="L92" s="23"/>
      <c r="M92" s="23"/>
      <c r="N92" s="23"/>
      <c r="O92" s="23"/>
      <c r="P92" s="4"/>
      <c r="Q92" s="23"/>
      <c r="R92" s="23"/>
      <c r="S92" s="23"/>
      <c r="T92" s="23"/>
      <c r="U92" s="4"/>
      <c r="V92" s="4"/>
      <c r="W92" s="4"/>
    </row>
    <row r="93" spans="1:23" x14ac:dyDescent="0.2">
      <c r="A93" s="774"/>
      <c r="B93" s="4"/>
      <c r="C93" s="23"/>
      <c r="D93" s="23"/>
      <c r="E93" s="23"/>
      <c r="F93" s="23"/>
      <c r="G93" s="23"/>
      <c r="H93" s="23"/>
      <c r="I93" s="23"/>
      <c r="J93" s="23"/>
      <c r="K93" s="23"/>
      <c r="L93" s="23"/>
      <c r="M93" s="23"/>
      <c r="N93" s="23"/>
      <c r="O93" s="23"/>
      <c r="P93" s="4"/>
      <c r="Q93" s="23"/>
      <c r="R93" s="23"/>
      <c r="S93" s="23"/>
      <c r="T93" s="23"/>
      <c r="U93" s="4"/>
      <c r="V93" s="4"/>
      <c r="W93" s="4"/>
    </row>
    <row r="94" spans="1:23" x14ac:dyDescent="0.2">
      <c r="A94" s="774"/>
      <c r="B94" s="4"/>
      <c r="C94" s="23"/>
      <c r="D94" s="23"/>
      <c r="E94" s="23"/>
      <c r="F94" s="23"/>
      <c r="G94" s="23"/>
      <c r="H94" s="23"/>
      <c r="I94" s="23"/>
      <c r="J94" s="23"/>
      <c r="K94" s="23"/>
      <c r="L94" s="23"/>
      <c r="M94" s="23"/>
      <c r="N94" s="23"/>
      <c r="O94" s="23"/>
      <c r="P94" s="4"/>
      <c r="Q94" s="23"/>
      <c r="R94" s="23"/>
      <c r="S94" s="23"/>
      <c r="T94" s="23"/>
      <c r="U94" s="4"/>
      <c r="V94" s="4"/>
      <c r="W94" s="4"/>
    </row>
    <row r="95" spans="1:23" x14ac:dyDescent="0.2">
      <c r="A95" s="774"/>
      <c r="B95" s="4"/>
      <c r="C95" s="23"/>
      <c r="D95" s="23"/>
      <c r="E95" s="23"/>
      <c r="F95" s="23"/>
      <c r="G95" s="23"/>
      <c r="H95" s="23"/>
      <c r="I95" s="23"/>
      <c r="J95" s="23"/>
      <c r="K95" s="23"/>
      <c r="L95" s="23"/>
      <c r="M95" s="23"/>
      <c r="N95" s="23"/>
      <c r="O95" s="23"/>
      <c r="P95" s="4"/>
      <c r="Q95" s="23"/>
      <c r="R95" s="23"/>
      <c r="S95" s="23"/>
      <c r="T95" s="23"/>
      <c r="U95" s="4"/>
      <c r="V95" s="4"/>
      <c r="W95" s="4"/>
    </row>
    <row r="96" spans="1:23" x14ac:dyDescent="0.2">
      <c r="A96" s="774"/>
      <c r="B96" s="4"/>
      <c r="C96" s="23"/>
      <c r="D96" s="23"/>
      <c r="E96" s="23"/>
      <c r="F96" s="23"/>
      <c r="G96" s="23"/>
      <c r="H96" s="23"/>
      <c r="I96" s="23"/>
      <c r="J96" s="23"/>
      <c r="K96" s="23"/>
      <c r="L96" s="23"/>
      <c r="M96" s="23"/>
      <c r="N96" s="23"/>
      <c r="O96" s="23"/>
      <c r="P96" s="4"/>
      <c r="Q96" s="23"/>
      <c r="R96" s="23"/>
      <c r="S96" s="23"/>
      <c r="T96" s="23"/>
      <c r="U96" s="4"/>
      <c r="V96" s="4"/>
      <c r="W96" s="4"/>
    </row>
    <row r="97" spans="1:23" x14ac:dyDescent="0.2">
      <c r="A97" s="774"/>
      <c r="B97" s="4"/>
      <c r="C97" s="23"/>
      <c r="D97" s="23"/>
      <c r="E97" s="23"/>
      <c r="F97" s="23"/>
      <c r="G97" s="23"/>
      <c r="H97" s="23"/>
      <c r="I97" s="23"/>
      <c r="J97" s="23"/>
      <c r="K97" s="23"/>
      <c r="L97" s="23"/>
      <c r="M97" s="23"/>
      <c r="N97" s="23"/>
      <c r="O97" s="23"/>
      <c r="P97" s="4"/>
      <c r="Q97" s="23"/>
      <c r="R97" s="23"/>
      <c r="S97" s="23"/>
      <c r="T97" s="23"/>
      <c r="U97" s="4"/>
      <c r="V97" s="4"/>
      <c r="W97" s="4"/>
    </row>
    <row r="98" spans="1:23" x14ac:dyDescent="0.2">
      <c r="A98" s="774"/>
      <c r="B98" s="4"/>
      <c r="C98" s="23"/>
      <c r="D98" s="23"/>
      <c r="E98" s="23"/>
      <c r="F98" s="23"/>
      <c r="G98" s="23"/>
      <c r="H98" s="23"/>
      <c r="I98" s="23"/>
      <c r="J98" s="23"/>
      <c r="K98" s="23"/>
      <c r="L98" s="23"/>
      <c r="M98" s="23"/>
      <c r="N98" s="23"/>
      <c r="O98" s="23"/>
      <c r="P98" s="4"/>
      <c r="Q98" s="23"/>
      <c r="R98" s="23"/>
      <c r="S98" s="23"/>
      <c r="T98" s="23"/>
      <c r="U98" s="4"/>
      <c r="V98" s="4"/>
      <c r="W98" s="4"/>
    </row>
    <row r="99" spans="1:23" x14ac:dyDescent="0.2">
      <c r="A99" s="774"/>
      <c r="B99" s="4"/>
      <c r="C99" s="23"/>
      <c r="D99" s="23"/>
      <c r="E99" s="23"/>
      <c r="F99" s="23"/>
      <c r="G99" s="23"/>
      <c r="H99" s="23"/>
      <c r="I99" s="23"/>
      <c r="J99" s="23"/>
      <c r="K99" s="23"/>
      <c r="L99" s="23"/>
      <c r="M99" s="23"/>
      <c r="N99" s="23"/>
      <c r="O99" s="23"/>
      <c r="P99" s="4"/>
      <c r="Q99" s="23"/>
      <c r="R99" s="23"/>
      <c r="S99" s="23"/>
      <c r="T99" s="23"/>
      <c r="U99" s="4"/>
      <c r="V99" s="4"/>
      <c r="W99" s="4"/>
    </row>
    <row r="100" spans="1:23" x14ac:dyDescent="0.2">
      <c r="A100" s="774"/>
      <c r="B100" s="4"/>
      <c r="C100" s="23"/>
      <c r="D100" s="23"/>
      <c r="E100" s="23"/>
      <c r="F100" s="23"/>
      <c r="G100" s="23"/>
      <c r="H100" s="23"/>
      <c r="I100" s="23"/>
      <c r="J100" s="23"/>
      <c r="K100" s="23"/>
      <c r="L100" s="23"/>
      <c r="M100" s="23"/>
      <c r="N100" s="23"/>
      <c r="O100" s="23"/>
      <c r="P100" s="4"/>
      <c r="Q100" s="23"/>
      <c r="R100" s="23"/>
      <c r="S100" s="23"/>
      <c r="T100" s="23"/>
      <c r="U100" s="4"/>
      <c r="V100" s="4"/>
      <c r="W100" s="4"/>
    </row>
    <row r="101" spans="1:23" x14ac:dyDescent="0.2">
      <c r="A101" s="774"/>
      <c r="B101" s="4"/>
      <c r="C101" s="23"/>
      <c r="D101" s="23"/>
      <c r="E101" s="23"/>
      <c r="F101" s="23"/>
      <c r="G101" s="23"/>
      <c r="H101" s="23"/>
      <c r="I101" s="23"/>
      <c r="J101" s="23"/>
      <c r="K101" s="23"/>
      <c r="L101" s="23"/>
      <c r="M101" s="23"/>
      <c r="N101" s="23"/>
      <c r="O101" s="23"/>
      <c r="P101" s="4"/>
      <c r="Q101" s="23"/>
      <c r="R101" s="23"/>
      <c r="S101" s="23"/>
      <c r="T101" s="23"/>
      <c r="U101" s="4"/>
      <c r="V101" s="4"/>
      <c r="W101" s="4"/>
    </row>
    <row r="102" spans="1:23" x14ac:dyDescent="0.2">
      <c r="A102" s="774"/>
      <c r="B102" s="4"/>
      <c r="C102" s="23"/>
      <c r="D102" s="23"/>
      <c r="E102" s="23"/>
      <c r="F102" s="23"/>
      <c r="G102" s="23"/>
      <c r="H102" s="23"/>
      <c r="I102" s="23"/>
      <c r="J102" s="23"/>
      <c r="K102" s="23"/>
      <c r="L102" s="23"/>
      <c r="M102" s="23"/>
      <c r="N102" s="23"/>
      <c r="O102" s="23"/>
      <c r="P102" s="4"/>
      <c r="Q102" s="23"/>
      <c r="R102" s="23"/>
      <c r="S102" s="23"/>
      <c r="T102" s="23"/>
      <c r="U102" s="4"/>
      <c r="V102" s="4"/>
      <c r="W102" s="4"/>
    </row>
    <row r="103" spans="1:23" x14ac:dyDescent="0.2">
      <c r="A103" s="774"/>
      <c r="B103" s="4"/>
      <c r="C103" s="23"/>
      <c r="D103" s="23"/>
      <c r="E103" s="23"/>
      <c r="F103" s="23"/>
      <c r="G103" s="23"/>
      <c r="H103" s="23"/>
      <c r="I103" s="23"/>
      <c r="J103" s="23"/>
      <c r="K103" s="23"/>
      <c r="L103" s="23"/>
      <c r="M103" s="23"/>
      <c r="N103" s="23"/>
      <c r="O103" s="23"/>
      <c r="P103" s="4"/>
      <c r="Q103" s="23"/>
      <c r="R103" s="23"/>
      <c r="S103" s="23"/>
      <c r="T103" s="23"/>
      <c r="U103" s="4"/>
      <c r="V103" s="4"/>
      <c r="W103" s="4"/>
    </row>
    <row r="104" spans="1:23" x14ac:dyDescent="0.2">
      <c r="A104" s="774"/>
      <c r="B104" s="4"/>
      <c r="C104" s="23"/>
      <c r="D104" s="23"/>
      <c r="E104" s="23"/>
      <c r="F104" s="23"/>
      <c r="G104" s="23"/>
      <c r="H104" s="23"/>
      <c r="I104" s="23"/>
      <c r="J104" s="23"/>
      <c r="K104" s="23"/>
      <c r="L104" s="23"/>
      <c r="M104" s="23"/>
      <c r="N104" s="23"/>
      <c r="O104" s="23"/>
      <c r="P104" s="4"/>
      <c r="Q104" s="23"/>
      <c r="R104" s="23"/>
      <c r="S104" s="23"/>
      <c r="T104" s="23"/>
      <c r="U104" s="4"/>
      <c r="V104" s="4"/>
      <c r="W104" s="4"/>
    </row>
    <row r="105" spans="1:23" x14ac:dyDescent="0.2">
      <c r="A105" s="774"/>
      <c r="B105" s="4"/>
      <c r="C105" s="23"/>
      <c r="D105" s="23"/>
      <c r="E105" s="23"/>
      <c r="F105" s="23"/>
      <c r="G105" s="23"/>
      <c r="H105" s="23"/>
      <c r="I105" s="23"/>
      <c r="J105" s="23"/>
      <c r="K105" s="23"/>
      <c r="L105" s="23"/>
      <c r="M105" s="23"/>
      <c r="N105" s="23"/>
      <c r="O105" s="23"/>
      <c r="P105" s="4"/>
      <c r="Q105" s="23"/>
      <c r="R105" s="23"/>
      <c r="S105" s="23"/>
      <c r="T105" s="23"/>
      <c r="U105" s="4"/>
      <c r="V105" s="4"/>
      <c r="W105" s="4"/>
    </row>
    <row r="106" spans="1:23" x14ac:dyDescent="0.2">
      <c r="A106" s="774"/>
      <c r="B106" s="4"/>
      <c r="C106" s="23"/>
      <c r="D106" s="23"/>
      <c r="E106" s="23"/>
      <c r="F106" s="23"/>
      <c r="G106" s="23"/>
      <c r="H106" s="23"/>
      <c r="I106" s="23"/>
      <c r="J106" s="23"/>
      <c r="K106" s="23"/>
      <c r="L106" s="23"/>
      <c r="M106" s="23"/>
      <c r="N106" s="23"/>
      <c r="O106" s="23"/>
      <c r="P106" s="4"/>
      <c r="Q106" s="23"/>
      <c r="R106" s="23"/>
      <c r="S106" s="23"/>
      <c r="T106" s="23"/>
      <c r="U106" s="4"/>
      <c r="V106" s="4"/>
      <c r="W106" s="4"/>
    </row>
    <row r="107" spans="1:23" x14ac:dyDescent="0.2">
      <c r="A107" s="774"/>
      <c r="B107" s="4"/>
      <c r="C107" s="23"/>
      <c r="D107" s="23"/>
      <c r="E107" s="23"/>
      <c r="F107" s="23"/>
      <c r="G107" s="23"/>
      <c r="H107" s="23"/>
      <c r="I107" s="23"/>
      <c r="J107" s="23"/>
      <c r="K107" s="23"/>
      <c r="L107" s="23"/>
      <c r="M107" s="23"/>
      <c r="N107" s="23"/>
      <c r="O107" s="23"/>
      <c r="P107" s="4"/>
      <c r="Q107" s="23"/>
      <c r="R107" s="23"/>
      <c r="S107" s="23"/>
      <c r="T107" s="23"/>
      <c r="U107" s="4"/>
      <c r="V107" s="4"/>
      <c r="W107" s="4"/>
    </row>
    <row r="108" spans="1:23" x14ac:dyDescent="0.2">
      <c r="A108" s="774"/>
      <c r="B108" s="4"/>
      <c r="C108" s="23"/>
      <c r="D108" s="23"/>
      <c r="E108" s="23"/>
      <c r="F108" s="23"/>
      <c r="G108" s="23"/>
      <c r="H108" s="23"/>
      <c r="I108" s="23"/>
      <c r="J108" s="23"/>
      <c r="K108" s="23"/>
      <c r="L108" s="23"/>
      <c r="M108" s="23"/>
      <c r="N108" s="23"/>
      <c r="O108" s="23"/>
      <c r="P108" s="4"/>
      <c r="Q108" s="23"/>
      <c r="R108" s="23"/>
      <c r="S108" s="23"/>
      <c r="T108" s="23"/>
      <c r="U108" s="4"/>
      <c r="V108" s="4"/>
      <c r="W108" s="4"/>
    </row>
    <row r="109" spans="1:23" x14ac:dyDescent="0.2">
      <c r="A109" s="774"/>
      <c r="B109" s="4"/>
      <c r="C109" s="23"/>
      <c r="D109" s="23"/>
      <c r="E109" s="23"/>
      <c r="F109" s="23"/>
      <c r="G109" s="23"/>
      <c r="H109" s="23"/>
      <c r="I109" s="23"/>
      <c r="J109" s="23"/>
      <c r="K109" s="23"/>
      <c r="L109" s="23"/>
      <c r="M109" s="23"/>
      <c r="N109" s="23"/>
      <c r="O109" s="23"/>
      <c r="P109" s="4"/>
      <c r="Q109" s="23"/>
      <c r="R109" s="23"/>
      <c r="S109" s="23"/>
      <c r="T109" s="23"/>
      <c r="U109" s="4"/>
      <c r="V109" s="4"/>
      <c r="W109" s="4"/>
    </row>
    <row r="110" spans="1:23" x14ac:dyDescent="0.2">
      <c r="A110" s="774"/>
      <c r="B110" s="4"/>
      <c r="C110" s="23"/>
      <c r="D110" s="23"/>
      <c r="E110" s="23"/>
      <c r="F110" s="23"/>
      <c r="G110" s="23"/>
      <c r="H110" s="23"/>
      <c r="I110" s="23"/>
      <c r="J110" s="23"/>
      <c r="K110" s="23"/>
      <c r="L110" s="23"/>
      <c r="M110" s="23"/>
      <c r="N110" s="23"/>
      <c r="O110" s="23"/>
      <c r="P110" s="4"/>
      <c r="Q110" s="23"/>
      <c r="R110" s="23"/>
      <c r="S110" s="23"/>
      <c r="T110" s="23"/>
      <c r="U110" s="4"/>
      <c r="V110" s="4"/>
      <c r="W110" s="4"/>
    </row>
    <row r="111" spans="1:23" x14ac:dyDescent="0.2">
      <c r="A111" s="774"/>
      <c r="B111" s="4"/>
      <c r="C111" s="23"/>
      <c r="D111" s="23"/>
      <c r="E111" s="23"/>
      <c r="F111" s="23"/>
      <c r="G111" s="23"/>
      <c r="H111" s="23"/>
      <c r="I111" s="23"/>
      <c r="J111" s="23"/>
      <c r="K111" s="23"/>
      <c r="L111" s="23"/>
      <c r="M111" s="23"/>
      <c r="N111" s="23"/>
      <c r="O111" s="23"/>
      <c r="P111" s="4"/>
      <c r="Q111" s="23"/>
      <c r="R111" s="23"/>
      <c r="S111" s="23"/>
      <c r="T111" s="23"/>
      <c r="U111" s="4"/>
      <c r="V111" s="4"/>
      <c r="W111" s="4"/>
    </row>
    <row r="112" spans="1:23" x14ac:dyDescent="0.2">
      <c r="A112" s="774"/>
      <c r="B112" s="4"/>
      <c r="C112" s="23"/>
      <c r="D112" s="23"/>
      <c r="E112" s="23"/>
      <c r="F112" s="23"/>
      <c r="G112" s="23"/>
      <c r="H112" s="23"/>
      <c r="I112" s="23"/>
      <c r="J112" s="23"/>
      <c r="K112" s="23"/>
      <c r="L112" s="23"/>
      <c r="M112" s="23"/>
      <c r="N112" s="23"/>
      <c r="O112" s="23"/>
      <c r="P112" s="4"/>
      <c r="Q112" s="23"/>
      <c r="R112" s="23"/>
      <c r="S112" s="23"/>
      <c r="T112" s="23"/>
      <c r="U112" s="4"/>
      <c r="V112" s="4"/>
      <c r="W112" s="4"/>
    </row>
    <row r="113" spans="3:3" x14ac:dyDescent="0.2">
      <c r="C113" s="212"/>
    </row>
    <row r="114" spans="3:3" x14ac:dyDescent="0.2">
      <c r="C114" s="212"/>
    </row>
    <row r="115" spans="3:3" x14ac:dyDescent="0.2">
      <c r="C115" s="212"/>
    </row>
    <row r="116" spans="3:3" x14ac:dyDescent="0.2">
      <c r="C116" s="212"/>
    </row>
    <row r="117" spans="3:3" x14ac:dyDescent="0.2">
      <c r="C117" s="212"/>
    </row>
    <row r="118" spans="3:3" x14ac:dyDescent="0.2">
      <c r="C118" s="212"/>
    </row>
    <row r="119" spans="3:3" x14ac:dyDescent="0.2">
      <c r="C119" s="212"/>
    </row>
    <row r="120" spans="3:3" x14ac:dyDescent="0.2">
      <c r="C120" s="212"/>
    </row>
    <row r="121" spans="3:3" x14ac:dyDescent="0.2">
      <c r="C121" s="212"/>
    </row>
    <row r="122" spans="3:3" x14ac:dyDescent="0.2">
      <c r="C122" s="212"/>
    </row>
    <row r="123" spans="3:3" x14ac:dyDescent="0.2">
      <c r="C123" s="212"/>
    </row>
    <row r="124" spans="3:3" x14ac:dyDescent="0.2">
      <c r="C124" s="212"/>
    </row>
    <row r="125" spans="3:3" x14ac:dyDescent="0.2">
      <c r="C125" s="212"/>
    </row>
    <row r="126" spans="3:3" x14ac:dyDescent="0.2">
      <c r="C126" s="212"/>
    </row>
    <row r="127" spans="3:3" x14ac:dyDescent="0.2">
      <c r="C127" s="212"/>
    </row>
    <row r="128" spans="3:3" x14ac:dyDescent="0.2">
      <c r="C128" s="212"/>
    </row>
    <row r="129" spans="3:3" x14ac:dyDescent="0.2">
      <c r="C129" s="212"/>
    </row>
    <row r="130" spans="3:3" x14ac:dyDescent="0.2">
      <c r="C130" s="212"/>
    </row>
    <row r="131" spans="3:3" x14ac:dyDescent="0.2">
      <c r="C131" s="212"/>
    </row>
    <row r="132" spans="3:3" x14ac:dyDescent="0.2">
      <c r="C132" s="212"/>
    </row>
    <row r="133" spans="3:3" x14ac:dyDescent="0.2">
      <c r="C133" s="212"/>
    </row>
    <row r="134" spans="3:3" x14ac:dyDescent="0.2">
      <c r="C134" s="212"/>
    </row>
    <row r="135" spans="3:3" x14ac:dyDescent="0.2">
      <c r="C135" s="212"/>
    </row>
    <row r="136" spans="3:3" x14ac:dyDescent="0.2">
      <c r="C136" s="212"/>
    </row>
    <row r="137" spans="3:3" x14ac:dyDescent="0.2">
      <c r="C137" s="212"/>
    </row>
    <row r="138" spans="3:3" x14ac:dyDescent="0.2">
      <c r="C138" s="212"/>
    </row>
    <row r="139" spans="3:3" x14ac:dyDescent="0.2">
      <c r="C139" s="212"/>
    </row>
    <row r="140" spans="3:3" x14ac:dyDescent="0.2">
      <c r="C140" s="212"/>
    </row>
    <row r="141" spans="3:3" x14ac:dyDescent="0.2">
      <c r="C141" s="212"/>
    </row>
    <row r="142" spans="3:3" x14ac:dyDescent="0.2">
      <c r="C142" s="212"/>
    </row>
    <row r="143" spans="3:3" x14ac:dyDescent="0.2">
      <c r="C143" s="212"/>
    </row>
    <row r="144" spans="3:3" x14ac:dyDescent="0.2">
      <c r="C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row r="160" spans="3:3" x14ac:dyDescent="0.2">
      <c r="C160" s="212"/>
    </row>
    <row r="161" spans="3:3" x14ac:dyDescent="0.2">
      <c r="C161" s="212"/>
    </row>
    <row r="162" spans="3:3" x14ac:dyDescent="0.2">
      <c r="C162" s="212"/>
    </row>
    <row r="163" spans="3:3" x14ac:dyDescent="0.2">
      <c r="C163" s="212"/>
    </row>
  </sheetData>
  <phoneticPr fontId="0" type="noConversion"/>
  <hyperlinks>
    <hyperlink ref="A1" location="'Working Budget with funding det'!A1" display="Main " xr:uid="{00000000-0004-0000-0B00-000000000000}"/>
    <hyperlink ref="B1" location="'Table of Contents'!A1" display="TOC" xr:uid="{00000000-0004-0000-0B00-000001000000}"/>
  </hyperlinks>
  <pageMargins left="0.75" right="0.75" top="1" bottom="1" header="0.5" footer="0.5"/>
  <pageSetup scale="90" fitToHeight="0" orientation="landscape" r:id="rId1"/>
  <headerFooter alignWithMargins="0">
    <oddFooter>&amp;L&amp;D     &amp;T&amp;C &amp;F&amp;R&amp;A   &amp;P</oddFooter>
  </headerFooter>
  <rowBreaks count="1" manualBreakCount="1">
    <brk id="39" max="1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pageSetUpPr fitToPage="1"/>
  </sheetPr>
  <dimension ref="A1:V169"/>
  <sheetViews>
    <sheetView workbookViewId="0">
      <pane ySplit="7" topLeftCell="A8" activePane="bottomLeft" state="frozen"/>
      <selection activeCell="P15" sqref="P15"/>
      <selection pane="bottomLeft" activeCell="P15" sqref="P15"/>
    </sheetView>
  </sheetViews>
  <sheetFormatPr defaultRowHeight="12.75" x14ac:dyDescent="0.2"/>
  <cols>
    <col min="1" max="1" width="10.6640625" style="783" customWidth="1"/>
    <col min="2" max="2" width="36.6640625" customWidth="1"/>
    <col min="3" max="3" width="14.5" style="1" hidden="1" customWidth="1"/>
    <col min="4" max="12" width="14.5" style="106" hidden="1" customWidth="1"/>
    <col min="13" max="15" width="14.5" style="106" customWidth="1"/>
    <col min="16" max="16" width="14.5" customWidth="1"/>
    <col min="17" max="18" width="14.5" style="1" customWidth="1"/>
    <col min="19" max="21" width="14.5" customWidth="1"/>
    <col min="22" max="22" width="14.6640625" style="2" customWidth="1"/>
  </cols>
  <sheetData>
    <row r="1" spans="1:21" x14ac:dyDescent="0.2">
      <c r="A1" s="772" t="s">
        <v>847</v>
      </c>
      <c r="B1" s="308" t="s">
        <v>197</v>
      </c>
      <c r="D1" s="212"/>
      <c r="E1" s="212"/>
      <c r="F1" s="212"/>
      <c r="G1" s="212"/>
      <c r="H1" s="212"/>
      <c r="I1" s="212"/>
      <c r="J1" s="212"/>
      <c r="K1" s="212"/>
      <c r="L1" s="212"/>
      <c r="M1" s="212"/>
      <c r="N1" s="212"/>
      <c r="O1" s="212"/>
    </row>
    <row r="2" spans="1:21" ht="15" x14ac:dyDescent="0.25">
      <c r="A2" s="773" t="s">
        <v>815</v>
      </c>
      <c r="B2" s="43"/>
      <c r="D2" s="212"/>
      <c r="E2" s="126"/>
      <c r="F2" s="212"/>
      <c r="G2" s="212"/>
      <c r="H2" s="212"/>
      <c r="I2" s="126" t="s">
        <v>816</v>
      </c>
      <c r="J2" s="126"/>
      <c r="K2" s="126"/>
      <c r="L2" s="126"/>
      <c r="M2" s="126"/>
      <c r="N2" s="126"/>
      <c r="O2" s="126"/>
      <c r="P2" s="58" t="s">
        <v>621</v>
      </c>
      <c r="S2" s="44" t="s">
        <v>894</v>
      </c>
    </row>
    <row r="3" spans="1:21" ht="13.5" thickBot="1" x14ac:dyDescent="0.25">
      <c r="A3" s="774"/>
      <c r="B3" s="4"/>
      <c r="C3" s="23"/>
      <c r="D3" s="23"/>
      <c r="E3" s="23"/>
      <c r="F3" s="23"/>
      <c r="G3" s="23"/>
      <c r="H3" s="23"/>
      <c r="I3" s="23"/>
      <c r="J3" s="23"/>
      <c r="K3" s="23"/>
      <c r="L3" s="23"/>
      <c r="M3" s="23"/>
      <c r="N3" s="23"/>
      <c r="O3" s="23"/>
      <c r="P3" s="4"/>
      <c r="Q3" s="23"/>
      <c r="R3" s="23"/>
      <c r="S3" s="4"/>
      <c r="U3" s="4"/>
    </row>
    <row r="4" spans="1:21"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1"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1" x14ac:dyDescent="0.2">
      <c r="A6" s="776"/>
      <c r="B6" s="202"/>
      <c r="C6" s="113"/>
      <c r="D6" s="113"/>
      <c r="E6" s="113"/>
      <c r="F6" s="82"/>
      <c r="G6" s="113"/>
      <c r="H6" s="113"/>
      <c r="I6" s="83"/>
      <c r="J6" s="83"/>
      <c r="K6" s="83"/>
      <c r="L6" s="83"/>
      <c r="M6" s="83"/>
      <c r="N6" s="83"/>
      <c r="O6" s="83"/>
      <c r="P6" s="113"/>
      <c r="Q6" s="83" t="s">
        <v>823</v>
      </c>
      <c r="R6" s="83" t="s">
        <v>585</v>
      </c>
      <c r="S6" s="45" t="s">
        <v>824</v>
      </c>
    </row>
    <row r="7" spans="1:21"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1" ht="13.5" thickTop="1" x14ac:dyDescent="0.2">
      <c r="A8" s="796"/>
      <c r="B8" s="203"/>
      <c r="C8" s="118"/>
      <c r="D8" s="18"/>
      <c r="E8" s="18"/>
      <c r="F8" s="18"/>
      <c r="G8" s="18"/>
      <c r="H8" s="18"/>
      <c r="I8" s="18"/>
      <c r="J8" s="18"/>
      <c r="K8" s="19"/>
      <c r="L8" s="19"/>
      <c r="M8" s="19"/>
      <c r="N8" s="19"/>
      <c r="O8" s="19"/>
      <c r="P8" s="18"/>
      <c r="Q8" s="19"/>
      <c r="R8" s="19"/>
      <c r="S8" s="197"/>
    </row>
    <row r="9" spans="1:21" x14ac:dyDescent="0.2">
      <c r="A9" s="779">
        <v>5305</v>
      </c>
      <c r="B9" s="60" t="s">
        <v>895</v>
      </c>
      <c r="C9" s="116">
        <v>280</v>
      </c>
      <c r="D9" s="13">
        <v>0</v>
      </c>
      <c r="E9" s="13">
        <v>247.35</v>
      </c>
      <c r="F9" s="13">
        <v>296.82</v>
      </c>
      <c r="G9" s="13">
        <v>246</v>
      </c>
      <c r="H9" s="13">
        <v>288</v>
      </c>
      <c r="I9" s="13">
        <v>377.4</v>
      </c>
      <c r="J9" s="13"/>
      <c r="K9" s="14">
        <v>420</v>
      </c>
      <c r="L9" s="13"/>
      <c r="M9" s="13"/>
      <c r="N9" s="18">
        <f t="shared" ref="N9" si="0">SUM(N1:N8)</f>
        <v>0</v>
      </c>
      <c r="O9" s="14"/>
      <c r="P9" s="13"/>
      <c r="Q9" s="14"/>
      <c r="R9" s="14"/>
      <c r="S9" s="14"/>
    </row>
    <row r="10" spans="1:21" x14ac:dyDescent="0.2">
      <c r="A10" s="779">
        <v>5314</v>
      </c>
      <c r="B10" s="60" t="s">
        <v>860</v>
      </c>
      <c r="C10" s="116">
        <v>45</v>
      </c>
      <c r="D10" s="13">
        <v>40</v>
      </c>
      <c r="E10" s="13">
        <v>50</v>
      </c>
      <c r="F10" s="13">
        <v>55</v>
      </c>
      <c r="G10" s="13"/>
      <c r="H10" s="13"/>
      <c r="I10" s="13">
        <v>0</v>
      </c>
      <c r="J10" s="13">
        <v>150</v>
      </c>
      <c r="K10" s="14">
        <v>200</v>
      </c>
      <c r="L10" s="13">
        <v>100</v>
      </c>
      <c r="M10" s="14">
        <v>200</v>
      </c>
      <c r="N10" s="18">
        <v>75</v>
      </c>
      <c r="O10" s="14">
        <v>150</v>
      </c>
      <c r="P10" s="13">
        <v>55</v>
      </c>
      <c r="Q10" s="14">
        <v>150</v>
      </c>
      <c r="R10" s="14"/>
      <c r="S10" s="14"/>
    </row>
    <row r="11" spans="1:21" x14ac:dyDescent="0.2">
      <c r="A11" s="779">
        <v>5315</v>
      </c>
      <c r="B11" s="60" t="s">
        <v>896</v>
      </c>
      <c r="C11" s="116"/>
      <c r="D11" s="13"/>
      <c r="E11" s="13"/>
      <c r="F11" s="13"/>
      <c r="G11" s="13"/>
      <c r="H11" s="13"/>
      <c r="I11" s="13"/>
      <c r="J11" s="13"/>
      <c r="K11" s="14"/>
      <c r="L11" s="13"/>
      <c r="M11" s="14">
        <v>1300</v>
      </c>
      <c r="N11" s="13">
        <v>1548.75</v>
      </c>
      <c r="O11" s="14">
        <v>1440</v>
      </c>
      <c r="P11" s="13">
        <v>352.5</v>
      </c>
      <c r="Q11" s="14">
        <v>1440</v>
      </c>
      <c r="R11" s="14"/>
      <c r="S11" s="14"/>
    </row>
    <row r="12" spans="1:21" x14ac:dyDescent="0.2">
      <c r="A12" s="779">
        <v>5344</v>
      </c>
      <c r="B12" s="60" t="s">
        <v>832</v>
      </c>
      <c r="C12" s="116"/>
      <c r="D12" s="13">
        <v>0</v>
      </c>
      <c r="E12" s="13"/>
      <c r="F12" s="13"/>
      <c r="G12" s="13"/>
      <c r="H12" s="13"/>
      <c r="I12" s="13">
        <v>115.68</v>
      </c>
      <c r="J12" s="13"/>
      <c r="K12" s="14"/>
      <c r="L12" s="13"/>
      <c r="M12" s="14"/>
      <c r="N12" s="14"/>
      <c r="O12" s="14"/>
      <c r="P12" s="13"/>
      <c r="Q12" s="14"/>
      <c r="R12" s="14"/>
      <c r="S12" s="14"/>
    </row>
    <row r="13" spans="1:21" x14ac:dyDescent="0.2">
      <c r="A13" s="779">
        <v>5345</v>
      </c>
      <c r="B13" s="60" t="s">
        <v>863</v>
      </c>
      <c r="C13" s="116"/>
      <c r="D13" s="13"/>
      <c r="E13" s="13"/>
      <c r="F13" s="13"/>
      <c r="G13" s="13"/>
      <c r="H13" s="13"/>
      <c r="I13" s="13"/>
      <c r="J13" s="13"/>
      <c r="K13" s="14"/>
      <c r="L13" s="13"/>
      <c r="M13" s="14"/>
      <c r="N13" s="14">
        <v>112</v>
      </c>
      <c r="O13" s="14"/>
      <c r="P13" s="13"/>
      <c r="Q13" s="14"/>
      <c r="R13" s="14"/>
      <c r="S13" s="14"/>
    </row>
    <row r="14" spans="1:21" x14ac:dyDescent="0.2">
      <c r="A14" s="779">
        <v>5420</v>
      </c>
      <c r="B14" s="60" t="s">
        <v>864</v>
      </c>
      <c r="C14" s="116">
        <v>54.84</v>
      </c>
      <c r="D14" s="13">
        <v>0</v>
      </c>
      <c r="E14" s="13"/>
      <c r="F14" s="13"/>
      <c r="G14" s="13"/>
      <c r="H14" s="13"/>
      <c r="I14" s="13"/>
      <c r="J14" s="13"/>
      <c r="K14" s="14"/>
      <c r="L14" s="13"/>
      <c r="M14" s="14">
        <v>120</v>
      </c>
      <c r="N14" s="13"/>
      <c r="O14" s="14">
        <v>100</v>
      </c>
      <c r="P14" s="13"/>
      <c r="Q14" s="14">
        <v>100</v>
      </c>
      <c r="R14" s="14"/>
      <c r="S14" s="14"/>
    </row>
    <row r="15" spans="1:21" x14ac:dyDescent="0.2">
      <c r="A15" s="779">
        <v>5710</v>
      </c>
      <c r="B15" s="60" t="s">
        <v>869</v>
      </c>
      <c r="C15" s="228">
        <v>106.41</v>
      </c>
      <c r="D15" s="35">
        <v>99.4</v>
      </c>
      <c r="E15" s="35">
        <v>98.45</v>
      </c>
      <c r="F15" s="35">
        <v>87.4</v>
      </c>
      <c r="G15" s="35"/>
      <c r="H15" s="35"/>
      <c r="I15" s="35">
        <v>0</v>
      </c>
      <c r="J15" s="35">
        <v>134.1</v>
      </c>
      <c r="K15" s="36">
        <v>200</v>
      </c>
      <c r="L15" s="35"/>
      <c r="M15" s="36">
        <v>200</v>
      </c>
      <c r="N15" s="35"/>
      <c r="O15" s="36">
        <v>125</v>
      </c>
      <c r="P15" s="35">
        <v>127.89</v>
      </c>
      <c r="Q15" s="36">
        <v>125</v>
      </c>
      <c r="R15" s="36"/>
      <c r="S15" s="36"/>
    </row>
    <row r="16" spans="1:21" ht="13.5" thickBot="1" x14ac:dyDescent="0.25">
      <c r="A16" s="779">
        <v>5730</v>
      </c>
      <c r="B16" s="60" t="s">
        <v>870</v>
      </c>
      <c r="C16" s="117">
        <v>173</v>
      </c>
      <c r="D16" s="15">
        <v>176</v>
      </c>
      <c r="E16" s="15">
        <v>176</v>
      </c>
      <c r="F16" s="15">
        <v>176</v>
      </c>
      <c r="G16" s="15">
        <v>176</v>
      </c>
      <c r="H16" s="15">
        <v>180</v>
      </c>
      <c r="I16" s="15">
        <v>180</v>
      </c>
      <c r="J16" s="15">
        <v>180</v>
      </c>
      <c r="K16" s="16">
        <v>180</v>
      </c>
      <c r="L16" s="15">
        <v>180</v>
      </c>
      <c r="M16" s="16">
        <v>180</v>
      </c>
      <c r="N16" s="15">
        <v>180</v>
      </c>
      <c r="O16" s="16">
        <v>185</v>
      </c>
      <c r="P16" s="15">
        <v>184</v>
      </c>
      <c r="Q16" s="16">
        <v>185</v>
      </c>
      <c r="R16" s="16"/>
      <c r="S16" s="16"/>
    </row>
    <row r="17" spans="1:21" x14ac:dyDescent="0.2">
      <c r="A17" s="779"/>
      <c r="B17" s="61" t="s">
        <v>838</v>
      </c>
      <c r="C17" s="118">
        <f>SUM(C8:C16)</f>
        <v>659.25</v>
      </c>
      <c r="D17" s="18">
        <f>SUM(D8:D16)</f>
        <v>315.39999999999998</v>
      </c>
      <c r="E17" s="18">
        <f>SUM(E8:E16)</f>
        <v>571.79999999999995</v>
      </c>
      <c r="F17" s="18">
        <f>SUM(F9:F16)</f>
        <v>615.22</v>
      </c>
      <c r="G17" s="18">
        <f>SUM(G9:G16)</f>
        <v>422</v>
      </c>
      <c r="H17" s="18">
        <f>SUM(H9:H16)</f>
        <v>468</v>
      </c>
      <c r="I17" s="18">
        <f>SUM(I8:I16)</f>
        <v>673.07999999999993</v>
      </c>
      <c r="J17" s="18">
        <f>SUM(J8:J16)</f>
        <v>464.1</v>
      </c>
      <c r="K17" s="19">
        <f>SUM(K8:K16)</f>
        <v>1000</v>
      </c>
      <c r="L17" s="18">
        <f t="shared" ref="L17:O17" si="1">SUM(L8:L16)</f>
        <v>280</v>
      </c>
      <c r="M17" s="19">
        <f t="shared" si="1"/>
        <v>2000</v>
      </c>
      <c r="N17" s="18">
        <f t="shared" ref="N17" si="2">SUM(N8:N16)</f>
        <v>1915.75</v>
      </c>
      <c r="O17" s="19">
        <f t="shared" si="1"/>
        <v>2000</v>
      </c>
      <c r="P17" s="18">
        <f>SUM(P9:P16)</f>
        <v>719.39</v>
      </c>
      <c r="Q17" s="19">
        <f>SUM(Q8:Q16)</f>
        <v>2000</v>
      </c>
      <c r="R17" s="19"/>
      <c r="S17" s="19">
        <f>SUM(S8:S16)</f>
        <v>0</v>
      </c>
    </row>
    <row r="18" spans="1:21" x14ac:dyDescent="0.2">
      <c r="A18" s="779"/>
      <c r="B18" s="102"/>
      <c r="C18" s="118"/>
      <c r="D18" s="18"/>
      <c r="E18" s="18"/>
      <c r="F18" s="18"/>
      <c r="G18" s="18"/>
      <c r="H18" s="18"/>
      <c r="I18" s="18"/>
      <c r="J18" s="18"/>
      <c r="K18" s="19"/>
      <c r="L18" s="18"/>
      <c r="M18" s="19"/>
      <c r="N18" s="18"/>
      <c r="O18" s="19"/>
      <c r="P18" s="18"/>
      <c r="Q18" s="19"/>
      <c r="R18" s="19"/>
      <c r="S18" s="19"/>
    </row>
    <row r="19" spans="1:21" x14ac:dyDescent="0.2">
      <c r="A19" s="779"/>
      <c r="B19" s="60"/>
      <c r="C19" s="116"/>
      <c r="D19" s="13"/>
      <c r="E19" s="13"/>
      <c r="F19" s="13"/>
      <c r="G19" s="13"/>
      <c r="H19" s="13"/>
      <c r="I19" s="13"/>
      <c r="J19" s="13"/>
      <c r="K19" s="14"/>
      <c r="L19" s="13"/>
      <c r="M19" s="14"/>
      <c r="N19" s="13"/>
      <c r="O19" s="14"/>
      <c r="P19" s="13"/>
      <c r="Q19" s="14"/>
      <c r="R19" s="14"/>
      <c r="S19" s="14"/>
    </row>
    <row r="20" spans="1:21" ht="13.5" thickBot="1" x14ac:dyDescent="0.25">
      <c r="A20" s="780"/>
      <c r="B20" s="602" t="s">
        <v>897</v>
      </c>
      <c r="C20" s="596">
        <f t="shared" ref="C20:Q20" si="3">+C17</f>
        <v>659.25</v>
      </c>
      <c r="D20" s="21">
        <f t="shared" si="3"/>
        <v>315.39999999999998</v>
      </c>
      <c r="E20" s="21">
        <f t="shared" si="3"/>
        <v>571.79999999999995</v>
      </c>
      <c r="F20" s="21">
        <f>+F17</f>
        <v>615.22</v>
      </c>
      <c r="G20" s="21">
        <f>+G17</f>
        <v>422</v>
      </c>
      <c r="H20" s="21">
        <f>+H17</f>
        <v>468</v>
      </c>
      <c r="I20" s="21">
        <f t="shared" si="3"/>
        <v>673.07999999999993</v>
      </c>
      <c r="J20" s="21">
        <f t="shared" ref="J20" si="4">+J17</f>
        <v>464.1</v>
      </c>
      <c r="K20" s="22">
        <f t="shared" ref="K20:O20" si="5">+K17</f>
        <v>1000</v>
      </c>
      <c r="L20" s="21">
        <f t="shared" si="5"/>
        <v>280</v>
      </c>
      <c r="M20" s="22">
        <f t="shared" si="5"/>
        <v>2000</v>
      </c>
      <c r="N20" s="21">
        <f t="shared" ref="N20" si="6">+N17</f>
        <v>1915.75</v>
      </c>
      <c r="O20" s="22">
        <f t="shared" si="5"/>
        <v>2000</v>
      </c>
      <c r="P20" s="21">
        <f t="shared" si="3"/>
        <v>719.39</v>
      </c>
      <c r="Q20" s="22">
        <f t="shared" si="3"/>
        <v>2000</v>
      </c>
      <c r="R20" s="22">
        <f>+Q20</f>
        <v>2000</v>
      </c>
      <c r="S20" s="22">
        <f>+Q20</f>
        <v>2000</v>
      </c>
    </row>
    <row r="21" spans="1:21" ht="13.5" thickTop="1" x14ac:dyDescent="0.2">
      <c r="A21" s="54"/>
      <c r="B21" s="4"/>
      <c r="C21" s="23"/>
      <c r="D21" s="23"/>
      <c r="E21" s="23"/>
      <c r="F21" s="23"/>
      <c r="G21" s="23"/>
      <c r="H21" s="23"/>
      <c r="I21" s="23"/>
      <c r="J21" s="23"/>
      <c r="K21" s="23"/>
      <c r="L21" s="23"/>
      <c r="M21" s="23"/>
      <c r="N21" s="23"/>
      <c r="O21" s="23"/>
      <c r="P21" s="199" t="s">
        <v>843</v>
      </c>
      <c r="Q21" s="1116">
        <f>+Q20-O20</f>
        <v>0</v>
      </c>
      <c r="R21" s="1117">
        <f>ROUND((+Q21/O20),4)</f>
        <v>0</v>
      </c>
      <c r="S21" s="25"/>
      <c r="T21" s="2"/>
    </row>
    <row r="22" spans="1:21" x14ac:dyDescent="0.2">
      <c r="A22" s="63"/>
      <c r="B22" s="4"/>
      <c r="C22" s="23"/>
      <c r="D22" s="23"/>
      <c r="E22" s="23"/>
      <c r="F22" s="23"/>
      <c r="G22" s="23"/>
      <c r="H22" s="23"/>
      <c r="I22" s="23"/>
      <c r="J22" s="23"/>
      <c r="K22" s="23"/>
      <c r="L22" s="23"/>
      <c r="M22" s="23"/>
      <c r="N22" s="23"/>
      <c r="O22" s="23"/>
      <c r="P22" s="25"/>
      <c r="Q22" s="277"/>
      <c r="R22" s="277"/>
      <c r="S22" s="567"/>
      <c r="T22" s="25"/>
      <c r="U22" s="25"/>
    </row>
    <row r="23" spans="1:21" ht="13.5" thickBot="1" x14ac:dyDescent="0.25">
      <c r="A23" s="774"/>
      <c r="B23" s="4"/>
      <c r="C23" s="23"/>
      <c r="D23" s="23"/>
      <c r="E23" s="23"/>
      <c r="F23" s="23"/>
      <c r="G23" s="23"/>
      <c r="H23" s="616"/>
      <c r="I23" s="616"/>
      <c r="J23" s="616"/>
      <c r="K23" s="25"/>
      <c r="L23" s="25"/>
      <c r="M23" s="25"/>
      <c r="N23" s="25"/>
      <c r="O23" s="25"/>
      <c r="P23" s="617"/>
      <c r="Q23" s="120"/>
      <c r="R23" s="120"/>
    </row>
    <row r="24" spans="1:21" ht="13.5" thickTop="1" x14ac:dyDescent="0.2">
      <c r="A24" s="789"/>
      <c r="B24" s="367"/>
      <c r="C24" s="368" t="s">
        <v>280</v>
      </c>
      <c r="D24" s="369" t="s">
        <v>280</v>
      </c>
      <c r="E24" s="369" t="s">
        <v>280</v>
      </c>
      <c r="F24" s="212"/>
      <c r="G24" s="212"/>
      <c r="H24" s="212"/>
      <c r="I24" s="212"/>
      <c r="J24" s="212"/>
      <c r="K24" s="212"/>
      <c r="L24" s="212"/>
      <c r="M24" s="370" t="s">
        <v>279</v>
      </c>
      <c r="N24" s="371" t="s">
        <v>826</v>
      </c>
      <c r="O24" s="372" t="s">
        <v>840</v>
      </c>
      <c r="P24" s="371" t="s">
        <v>841</v>
      </c>
      <c r="Q24" s="373"/>
      <c r="R24" s="569"/>
      <c r="S24" s="372"/>
    </row>
    <row r="25" spans="1:21" ht="13.5" thickBot="1" x14ac:dyDescent="0.25">
      <c r="A25" s="790" t="s">
        <v>825</v>
      </c>
      <c r="B25" s="374"/>
      <c r="C25" s="375" t="s">
        <v>267</v>
      </c>
      <c r="D25" s="375" t="s">
        <v>268</v>
      </c>
      <c r="E25" s="376" t="s">
        <v>269</v>
      </c>
      <c r="F25" s="212"/>
      <c r="G25" s="212"/>
      <c r="H25" s="212"/>
      <c r="I25" s="212"/>
      <c r="J25" s="212"/>
      <c r="K25" s="212"/>
      <c r="L25" s="212"/>
      <c r="M25" s="377" t="s">
        <v>571</v>
      </c>
      <c r="N25" s="377" t="s">
        <v>277</v>
      </c>
      <c r="O25" s="376" t="s">
        <v>843</v>
      </c>
      <c r="P25" s="378" t="s">
        <v>843</v>
      </c>
      <c r="Q25" s="379" t="s">
        <v>844</v>
      </c>
      <c r="R25" s="570"/>
      <c r="S25" s="377"/>
      <c r="T25" s="84"/>
      <c r="U25" s="84"/>
    </row>
    <row r="26" spans="1:21" ht="13.5" thickTop="1" x14ac:dyDescent="0.2">
      <c r="A26" s="795">
        <v>5305</v>
      </c>
      <c r="B26" s="415" t="s">
        <v>895</v>
      </c>
      <c r="C26" s="383">
        <v>87868.9</v>
      </c>
      <c r="D26" s="383">
        <v>95093</v>
      </c>
      <c r="E26" s="383">
        <v>98445</v>
      </c>
      <c r="F26" s="212"/>
      <c r="G26" s="212"/>
      <c r="H26" s="212"/>
      <c r="I26" s="212"/>
      <c r="J26" s="212"/>
      <c r="K26" s="212"/>
      <c r="L26" s="212"/>
      <c r="M26" s="384">
        <f>+O9</f>
        <v>0</v>
      </c>
      <c r="N26" s="410">
        <f>+Q9</f>
        <v>0</v>
      </c>
      <c r="O26" s="386">
        <f>+N26-M26</f>
        <v>0</v>
      </c>
      <c r="P26" s="392" t="str">
        <f>IF(M26+N26&lt;&gt;0,IF(M26&lt;&gt;0,IF(O26&lt;&gt;0,ROUND((+O26/M26),4),""),1),"")</f>
        <v/>
      </c>
      <c r="Q26" s="385"/>
      <c r="R26" s="572"/>
      <c r="S26" s="386"/>
      <c r="T26" s="84"/>
      <c r="U26" s="84"/>
    </row>
    <row r="27" spans="1:21" x14ac:dyDescent="0.2">
      <c r="A27" s="795">
        <v>5314</v>
      </c>
      <c r="B27" s="415" t="s">
        <v>860</v>
      </c>
      <c r="C27" s="383">
        <v>32158</v>
      </c>
      <c r="D27" s="383">
        <v>35092.639999999999</v>
      </c>
      <c r="E27" s="383">
        <v>38122.11</v>
      </c>
      <c r="F27" s="212"/>
      <c r="G27" s="212"/>
      <c r="H27" s="212"/>
      <c r="I27" s="212"/>
      <c r="J27" s="212"/>
      <c r="K27" s="212"/>
      <c r="L27" s="212"/>
      <c r="M27" s="384">
        <f>+O10</f>
        <v>150</v>
      </c>
      <c r="N27" s="410">
        <f>+Q10</f>
        <v>150</v>
      </c>
      <c r="O27" s="386">
        <f>+N27-M27</f>
        <v>0</v>
      </c>
      <c r="P27" s="392" t="str">
        <f>IF(M27+N27&lt;&gt;0,IF(M27&lt;&gt;0,IF(O27&lt;&gt;0,ROUND((+O27/M27),4),""),1),"")</f>
        <v/>
      </c>
      <c r="Q27" s="385"/>
      <c r="R27" s="572"/>
      <c r="S27" s="386"/>
      <c r="T27" s="25"/>
      <c r="U27" s="25"/>
    </row>
    <row r="28" spans="1:21" x14ac:dyDescent="0.2">
      <c r="A28" s="795">
        <v>5344</v>
      </c>
      <c r="B28" s="415" t="s">
        <v>832</v>
      </c>
      <c r="C28" s="391">
        <v>1000</v>
      </c>
      <c r="D28" s="391">
        <v>1500</v>
      </c>
      <c r="E28" s="391">
        <v>1500</v>
      </c>
      <c r="F28" s="212"/>
      <c r="G28" s="212"/>
      <c r="H28" s="212"/>
      <c r="I28" s="212"/>
      <c r="J28" s="212"/>
      <c r="K28" s="212"/>
      <c r="L28" s="212"/>
      <c r="M28" s="384">
        <f>+O12</f>
        <v>0</v>
      </c>
      <c r="N28" s="410">
        <f>+Q12</f>
        <v>0</v>
      </c>
      <c r="O28" s="386">
        <f>+N28-M28</f>
        <v>0</v>
      </c>
      <c r="P28" s="392" t="str">
        <f>IF(M28+N28&lt;&gt;0,IF(M28&lt;&gt;0,IF(O28&lt;&gt;0,ROUND((+O28/M28),4),""),1),"")</f>
        <v/>
      </c>
      <c r="Q28" s="385"/>
      <c r="R28" s="572"/>
      <c r="S28" s="386"/>
      <c r="T28" s="25"/>
      <c r="U28" s="25"/>
    </row>
    <row r="29" spans="1:21" x14ac:dyDescent="0.2">
      <c r="A29" s="795">
        <v>5344</v>
      </c>
      <c r="B29" s="415" t="s">
        <v>863</v>
      </c>
      <c r="C29" s="395"/>
      <c r="D29" s="395"/>
      <c r="E29" s="395"/>
      <c r="F29" s="212"/>
      <c r="G29" s="212"/>
      <c r="H29" s="212"/>
      <c r="I29" s="212"/>
      <c r="J29" s="212"/>
      <c r="K29" s="212"/>
      <c r="L29" s="212"/>
      <c r="M29" s="384">
        <f>+O13</f>
        <v>0</v>
      </c>
      <c r="N29" s="410">
        <f>+Q13</f>
        <v>0</v>
      </c>
      <c r="O29" s="386"/>
      <c r="P29" s="392"/>
      <c r="Q29" s="385"/>
      <c r="R29" s="572"/>
      <c r="S29" s="386"/>
      <c r="T29" s="25"/>
      <c r="U29" s="25"/>
    </row>
    <row r="30" spans="1:21" x14ac:dyDescent="0.2">
      <c r="A30" s="795">
        <v>5315</v>
      </c>
      <c r="B30" s="415" t="s">
        <v>896</v>
      </c>
      <c r="C30" s="395"/>
      <c r="D30" s="395"/>
      <c r="E30" s="395"/>
      <c r="F30" s="212"/>
      <c r="G30" s="212"/>
      <c r="H30" s="212"/>
      <c r="I30" s="212"/>
      <c r="J30" s="212"/>
      <c r="K30" s="212"/>
      <c r="L30" s="212"/>
      <c r="M30" s="384">
        <f>+O11</f>
        <v>1440</v>
      </c>
      <c r="N30" s="410">
        <f>+Q11</f>
        <v>1440</v>
      </c>
      <c r="O30" s="386">
        <f>+N30-M30</f>
        <v>0</v>
      </c>
      <c r="P30" s="392" t="str">
        <f>IF(M30+N30&lt;&gt;0,IF(M30&lt;&gt;0,IF(O30&lt;&gt;0,ROUND((+O30/M30),4),""),1),"")</f>
        <v/>
      </c>
      <c r="Q30" s="385" t="s">
        <v>898</v>
      </c>
      <c r="R30" s="572"/>
      <c r="S30" s="386"/>
      <c r="T30" s="25"/>
      <c r="U30" s="25"/>
    </row>
    <row r="31" spans="1:21" x14ac:dyDescent="0.2">
      <c r="A31" s="795">
        <v>5420</v>
      </c>
      <c r="B31" s="415" t="s">
        <v>864</v>
      </c>
      <c r="C31" s="395">
        <v>1000</v>
      </c>
      <c r="D31" s="395">
        <v>1500</v>
      </c>
      <c r="E31" s="395">
        <v>1500</v>
      </c>
      <c r="F31" s="212"/>
      <c r="G31" s="212"/>
      <c r="H31" s="212"/>
      <c r="I31" s="212"/>
      <c r="J31" s="212"/>
      <c r="K31" s="212"/>
      <c r="L31" s="212"/>
      <c r="M31" s="384">
        <f>+O14</f>
        <v>100</v>
      </c>
      <c r="N31" s="410">
        <f>+Q14</f>
        <v>100</v>
      </c>
      <c r="O31" s="386">
        <f>+N31-M31</f>
        <v>0</v>
      </c>
      <c r="P31" s="392" t="str">
        <f>IF(M31+N31&lt;&gt;0,IF(M31&lt;&gt;0,IF(O31&lt;&gt;0,ROUND((+O31/M31),4),""),1),"")</f>
        <v/>
      </c>
      <c r="Q31" s="385"/>
      <c r="R31" s="572"/>
      <c r="S31" s="386"/>
      <c r="T31" s="25"/>
      <c r="U31" s="25"/>
    </row>
    <row r="32" spans="1:21" x14ac:dyDescent="0.2">
      <c r="A32" s="795">
        <v>5710</v>
      </c>
      <c r="B32" s="415" t="s">
        <v>869</v>
      </c>
      <c r="C32" s="391">
        <v>1000</v>
      </c>
      <c r="D32" s="391">
        <v>1500</v>
      </c>
      <c r="E32" s="391">
        <v>1500</v>
      </c>
      <c r="F32" s="212"/>
      <c r="G32" s="212"/>
      <c r="H32" s="212"/>
      <c r="I32" s="212"/>
      <c r="J32" s="212"/>
      <c r="K32" s="212"/>
      <c r="L32" s="212"/>
      <c r="M32" s="384">
        <f>+O15</f>
        <v>125</v>
      </c>
      <c r="N32" s="410">
        <f>+Q15</f>
        <v>125</v>
      </c>
      <c r="O32" s="386">
        <f>+N32-M32</f>
        <v>0</v>
      </c>
      <c r="P32" s="392" t="str">
        <f>IF(M32+N32&lt;&gt;0,IF(M32&lt;&gt;0,IF(O32&lt;&gt;0,ROUND((+O32/M32),4),""),1),"")</f>
        <v/>
      </c>
      <c r="Q32" s="385"/>
      <c r="R32" s="572"/>
      <c r="S32" s="386"/>
      <c r="T32" s="25"/>
      <c r="U32" s="25"/>
    </row>
    <row r="33" spans="1:21" x14ac:dyDescent="0.2">
      <c r="A33" s="795">
        <v>5730</v>
      </c>
      <c r="B33" s="415" t="s">
        <v>870</v>
      </c>
      <c r="C33" s="391">
        <v>1050</v>
      </c>
      <c r="D33" s="391">
        <v>1100</v>
      </c>
      <c r="E33" s="391">
        <v>1100</v>
      </c>
      <c r="F33" s="212"/>
      <c r="G33" s="212"/>
      <c r="H33" s="212"/>
      <c r="I33" s="212"/>
      <c r="J33" s="212"/>
      <c r="K33" s="212"/>
      <c r="L33" s="212"/>
      <c r="M33" s="384">
        <f>+O16</f>
        <v>185</v>
      </c>
      <c r="N33" s="410">
        <f>+Q16</f>
        <v>185</v>
      </c>
      <c r="O33" s="386">
        <f>+N33-M33</f>
        <v>0</v>
      </c>
      <c r="P33" s="392" t="str">
        <f>IF(M33+N33&lt;&gt;0,IF(M33&lt;&gt;0,IF(O33&lt;&gt;0,ROUND((+O33/M33),4),""),1),"")</f>
        <v/>
      </c>
      <c r="Q33" s="385"/>
      <c r="R33" s="572"/>
      <c r="S33" s="386"/>
      <c r="T33" s="25"/>
      <c r="U33" s="25"/>
    </row>
    <row r="34" spans="1:21" x14ac:dyDescent="0.2">
      <c r="A34" s="774"/>
      <c r="B34" s="4"/>
      <c r="C34" s="23"/>
      <c r="D34" s="23"/>
      <c r="E34" s="23"/>
      <c r="F34" s="23"/>
      <c r="G34" s="23"/>
      <c r="H34" s="23"/>
      <c r="I34" s="23"/>
      <c r="J34" s="23"/>
      <c r="K34" s="23"/>
      <c r="L34" s="23"/>
      <c r="M34" s="23"/>
      <c r="N34" s="23"/>
      <c r="O34" s="23"/>
      <c r="P34" s="25"/>
      <c r="Q34" s="23"/>
      <c r="R34" s="23"/>
      <c r="S34" s="25"/>
      <c r="T34" s="25"/>
      <c r="U34" s="25"/>
    </row>
    <row r="35" spans="1:21" x14ac:dyDescent="0.2">
      <c r="A35" s="774"/>
      <c r="B35" s="4"/>
      <c r="C35" s="23"/>
      <c r="D35" s="23"/>
      <c r="E35" s="23"/>
      <c r="F35" s="23"/>
      <c r="G35" s="23"/>
      <c r="H35" s="23"/>
      <c r="I35" s="23"/>
      <c r="J35" s="23"/>
      <c r="K35" s="23"/>
      <c r="L35" s="23"/>
      <c r="M35" s="23"/>
      <c r="N35" s="23"/>
      <c r="O35" s="23"/>
      <c r="P35" s="25"/>
      <c r="Q35" s="23"/>
      <c r="R35" s="23"/>
      <c r="S35" s="25"/>
      <c r="T35" s="25"/>
      <c r="U35" s="25"/>
    </row>
    <row r="36" spans="1:21" x14ac:dyDescent="0.2">
      <c r="A36" s="774"/>
      <c r="B36" s="4"/>
      <c r="C36" s="23"/>
      <c r="D36" s="23"/>
      <c r="E36" s="23"/>
      <c r="F36" s="23"/>
      <c r="G36" s="23"/>
      <c r="H36" s="23"/>
      <c r="I36" s="23"/>
      <c r="J36" s="23"/>
      <c r="K36" s="23"/>
      <c r="L36" s="23"/>
      <c r="M36" s="23"/>
      <c r="N36" s="23"/>
      <c r="O36" s="23"/>
      <c r="P36" s="25"/>
      <c r="Q36" s="23"/>
      <c r="R36" s="23"/>
      <c r="S36" s="25"/>
      <c r="T36" s="25"/>
      <c r="U36" s="25"/>
    </row>
    <row r="37" spans="1:21" x14ac:dyDescent="0.2">
      <c r="A37" s="774"/>
      <c r="B37" s="4"/>
      <c r="C37" s="23"/>
      <c r="D37" s="23"/>
      <c r="E37" s="23"/>
      <c r="F37" s="23"/>
      <c r="G37" s="23"/>
      <c r="H37" s="23"/>
      <c r="I37" s="23"/>
      <c r="J37" s="23"/>
      <c r="K37" s="23"/>
      <c r="L37" s="23"/>
      <c r="M37" s="23"/>
      <c r="N37" s="23"/>
      <c r="O37" s="23"/>
      <c r="P37" s="25"/>
      <c r="Q37" s="23"/>
      <c r="R37" s="23"/>
      <c r="S37" s="25"/>
      <c r="T37" s="25"/>
      <c r="U37" s="25"/>
    </row>
    <row r="38" spans="1:21" x14ac:dyDescent="0.2">
      <c r="A38" s="774"/>
      <c r="B38" s="4"/>
      <c r="C38" s="23"/>
      <c r="D38" s="23"/>
      <c r="E38" s="23"/>
      <c r="F38" s="23"/>
      <c r="G38" s="23"/>
      <c r="H38" s="23"/>
      <c r="I38" s="23"/>
      <c r="J38" s="23"/>
      <c r="K38" s="23"/>
      <c r="L38" s="23"/>
      <c r="M38" s="23"/>
      <c r="N38" s="23"/>
      <c r="O38" s="23"/>
      <c r="P38" s="25"/>
      <c r="Q38" s="23"/>
      <c r="R38" s="23"/>
      <c r="S38" s="25"/>
      <c r="T38" s="25"/>
      <c r="U38" s="25"/>
    </row>
    <row r="39" spans="1:21" x14ac:dyDescent="0.2">
      <c r="A39" s="774"/>
      <c r="B39" s="4"/>
      <c r="C39" s="23"/>
      <c r="D39" s="23"/>
      <c r="E39" s="23"/>
      <c r="F39" s="23"/>
      <c r="G39" s="23"/>
      <c r="H39" s="23"/>
      <c r="I39" s="23"/>
      <c r="J39" s="23"/>
      <c r="K39" s="23"/>
      <c r="L39" s="23"/>
      <c r="M39" s="23"/>
      <c r="N39" s="23"/>
      <c r="O39" s="23"/>
      <c r="P39" s="25"/>
      <c r="Q39" s="23"/>
      <c r="R39" s="23"/>
      <c r="S39" s="25"/>
      <c r="T39" s="25"/>
      <c r="U39" s="25"/>
    </row>
    <row r="40" spans="1:21" x14ac:dyDescent="0.2">
      <c r="A40" s="774"/>
      <c r="B40" s="4"/>
      <c r="C40" s="23"/>
      <c r="D40" s="23"/>
      <c r="E40" s="23"/>
      <c r="F40" s="23"/>
      <c r="G40" s="23"/>
      <c r="H40" s="23"/>
      <c r="I40" s="23"/>
      <c r="J40" s="23"/>
      <c r="K40" s="23"/>
      <c r="L40" s="23"/>
      <c r="M40" s="23"/>
      <c r="N40" s="23"/>
      <c r="O40" s="23"/>
      <c r="P40" s="25"/>
      <c r="Q40" s="23"/>
      <c r="R40" s="23"/>
      <c r="S40" s="25"/>
      <c r="T40" s="25"/>
      <c r="U40" s="25"/>
    </row>
    <row r="41" spans="1:21" x14ac:dyDescent="0.2">
      <c r="A41" s="774"/>
      <c r="B41" s="4"/>
      <c r="C41" s="23"/>
      <c r="D41" s="23"/>
      <c r="E41" s="23"/>
      <c r="F41" s="23"/>
      <c r="G41" s="23"/>
      <c r="H41" s="23"/>
      <c r="I41" s="23"/>
      <c r="J41" s="23"/>
      <c r="K41" s="23"/>
      <c r="L41" s="23"/>
      <c r="M41" s="23"/>
      <c r="N41" s="23"/>
      <c r="O41" s="23"/>
      <c r="P41" s="25"/>
      <c r="Q41" s="23"/>
      <c r="R41" s="23"/>
      <c r="S41" s="25"/>
      <c r="T41" s="25"/>
      <c r="U41" s="25"/>
    </row>
    <row r="42" spans="1:21" x14ac:dyDescent="0.2">
      <c r="A42" s="774"/>
      <c r="B42" s="4"/>
      <c r="C42" s="23"/>
      <c r="D42" s="23"/>
      <c r="E42" s="23"/>
      <c r="F42" s="23"/>
      <c r="G42" s="23"/>
      <c r="H42" s="23"/>
      <c r="I42" s="23"/>
      <c r="J42" s="23"/>
      <c r="K42" s="23"/>
      <c r="L42" s="23"/>
      <c r="M42" s="23"/>
      <c r="N42" s="23"/>
      <c r="O42" s="23"/>
      <c r="P42" s="25"/>
      <c r="Q42" s="23"/>
      <c r="R42" s="23"/>
      <c r="S42" s="25"/>
      <c r="T42" s="25"/>
      <c r="U42" s="25"/>
    </row>
    <row r="43" spans="1:21" x14ac:dyDescent="0.2">
      <c r="A43" s="774"/>
      <c r="B43" s="4"/>
      <c r="C43" s="23"/>
      <c r="D43" s="23"/>
      <c r="E43" s="23"/>
      <c r="F43" s="23"/>
      <c r="G43" s="23"/>
      <c r="H43" s="23"/>
      <c r="I43" s="23"/>
      <c r="J43" s="23"/>
      <c r="K43" s="23"/>
      <c r="L43" s="23"/>
      <c r="M43" s="23"/>
      <c r="N43" s="23"/>
      <c r="O43" s="23"/>
      <c r="P43" s="25"/>
      <c r="Q43" s="23"/>
      <c r="R43" s="23"/>
      <c r="S43" s="25"/>
      <c r="T43" s="25"/>
      <c r="U43" s="25"/>
    </row>
    <row r="44" spans="1:21" x14ac:dyDescent="0.2">
      <c r="A44" s="774"/>
      <c r="B44" s="4"/>
      <c r="C44" s="23"/>
      <c r="D44" s="23"/>
      <c r="E44" s="23"/>
      <c r="F44" s="23"/>
      <c r="G44" s="23"/>
      <c r="H44" s="23"/>
      <c r="I44" s="23"/>
      <c r="J44" s="23"/>
      <c r="K44" s="23"/>
      <c r="L44" s="23"/>
      <c r="M44" s="23"/>
      <c r="N44" s="23"/>
      <c r="O44" s="23"/>
      <c r="P44" s="25"/>
      <c r="Q44" s="23"/>
      <c r="R44" s="23"/>
      <c r="S44" s="25"/>
      <c r="T44" s="25"/>
      <c r="U44" s="25"/>
    </row>
    <row r="45" spans="1:21" x14ac:dyDescent="0.2">
      <c r="A45" s="774"/>
      <c r="B45" s="4"/>
      <c r="C45" s="23"/>
      <c r="D45" s="23"/>
      <c r="E45" s="23"/>
      <c r="F45" s="23"/>
      <c r="G45" s="23"/>
      <c r="H45" s="23"/>
      <c r="I45" s="23"/>
      <c r="J45" s="23"/>
      <c r="K45" s="23"/>
      <c r="L45" s="23"/>
      <c r="M45" s="23"/>
      <c r="N45" s="23"/>
      <c r="O45" s="23"/>
      <c r="P45" s="25"/>
      <c r="Q45" s="23"/>
      <c r="R45" s="23"/>
      <c r="S45" s="25"/>
      <c r="T45" s="25"/>
      <c r="U45" s="25"/>
    </row>
    <row r="46" spans="1:21" x14ac:dyDescent="0.2">
      <c r="A46" s="774"/>
      <c r="B46" s="4"/>
      <c r="C46" s="23"/>
      <c r="D46" s="23"/>
      <c r="E46" s="23"/>
      <c r="F46" s="23"/>
      <c r="G46" s="23"/>
      <c r="H46" s="23"/>
      <c r="I46" s="23"/>
      <c r="J46" s="23"/>
      <c r="K46" s="23"/>
      <c r="L46" s="23"/>
      <c r="M46" s="23"/>
      <c r="N46" s="23"/>
      <c r="O46" s="23"/>
      <c r="P46" s="25"/>
      <c r="Q46" s="23"/>
      <c r="R46" s="23"/>
      <c r="S46" s="25"/>
      <c r="T46" s="25"/>
      <c r="U46" s="25"/>
    </row>
    <row r="47" spans="1:21" x14ac:dyDescent="0.2">
      <c r="A47" s="774"/>
      <c r="B47" s="4"/>
      <c r="C47" s="23"/>
      <c r="D47" s="23"/>
      <c r="E47" s="23"/>
      <c r="F47" s="23"/>
      <c r="G47" s="23"/>
      <c r="H47" s="23"/>
      <c r="I47" s="23"/>
      <c r="J47" s="23"/>
      <c r="K47" s="23"/>
      <c r="L47" s="23"/>
      <c r="M47" s="23"/>
      <c r="N47" s="23"/>
      <c r="O47" s="23"/>
      <c r="P47" s="25"/>
      <c r="Q47" s="23"/>
      <c r="R47" s="23"/>
      <c r="S47" s="25"/>
      <c r="T47" s="25"/>
      <c r="U47" s="25"/>
    </row>
    <row r="48" spans="1:21" x14ac:dyDescent="0.2">
      <c r="A48" s="774"/>
      <c r="B48" s="4"/>
      <c r="C48" s="23"/>
      <c r="D48" s="23"/>
      <c r="E48" s="23"/>
      <c r="F48" s="23"/>
      <c r="G48" s="23"/>
      <c r="H48" s="23"/>
      <c r="I48" s="23"/>
      <c r="J48" s="23"/>
      <c r="K48" s="23"/>
      <c r="L48" s="23"/>
      <c r="M48" s="23"/>
      <c r="N48" s="23"/>
      <c r="O48" s="23"/>
      <c r="P48" s="4"/>
      <c r="Q48" s="23"/>
      <c r="R48" s="23"/>
      <c r="S48" s="4"/>
      <c r="T48" s="4"/>
      <c r="U48" s="4"/>
    </row>
    <row r="49" spans="1:21" x14ac:dyDescent="0.2">
      <c r="A49" s="774"/>
      <c r="B49" s="4"/>
      <c r="C49" s="23"/>
      <c r="D49" s="23"/>
      <c r="E49" s="23"/>
      <c r="F49" s="23"/>
      <c r="G49" s="23"/>
      <c r="H49" s="23"/>
      <c r="I49" s="23"/>
      <c r="J49" s="23"/>
      <c r="K49" s="23"/>
      <c r="L49" s="23"/>
      <c r="M49" s="23"/>
      <c r="N49" s="23"/>
      <c r="O49" s="23"/>
      <c r="P49" s="4"/>
      <c r="Q49" s="23"/>
      <c r="R49" s="23"/>
      <c r="S49" s="4"/>
      <c r="T49" s="4"/>
      <c r="U49" s="4"/>
    </row>
    <row r="50" spans="1:21" x14ac:dyDescent="0.2">
      <c r="A50" s="774"/>
      <c r="B50" s="4"/>
      <c r="C50" s="23"/>
      <c r="D50" s="23"/>
      <c r="E50" s="23"/>
      <c r="F50" s="23"/>
      <c r="G50" s="23"/>
      <c r="H50" s="23"/>
      <c r="I50" s="23"/>
      <c r="J50" s="23"/>
      <c r="K50" s="23"/>
      <c r="L50" s="23"/>
      <c r="M50" s="23"/>
      <c r="N50" s="23"/>
      <c r="O50" s="23"/>
      <c r="P50" s="4"/>
      <c r="Q50" s="23"/>
      <c r="R50" s="23"/>
      <c r="S50" s="4"/>
      <c r="T50" s="4"/>
      <c r="U50" s="4"/>
    </row>
    <row r="51" spans="1:21" x14ac:dyDescent="0.2">
      <c r="A51" s="774"/>
      <c r="B51" s="4"/>
      <c r="C51" s="23"/>
      <c r="D51" s="23"/>
      <c r="E51" s="23"/>
      <c r="F51" s="23"/>
      <c r="G51" s="23"/>
      <c r="H51" s="23"/>
      <c r="I51" s="23"/>
      <c r="J51" s="23"/>
      <c r="K51" s="23"/>
      <c r="L51" s="23"/>
      <c r="M51" s="23"/>
      <c r="N51" s="23"/>
      <c r="O51" s="23"/>
      <c r="P51" s="4"/>
      <c r="Q51" s="23"/>
      <c r="R51" s="23"/>
      <c r="S51" s="4"/>
      <c r="T51" s="4"/>
      <c r="U51" s="4"/>
    </row>
    <row r="52" spans="1:21" x14ac:dyDescent="0.2">
      <c r="A52" s="774"/>
      <c r="B52" s="4"/>
      <c r="C52" s="23"/>
      <c r="D52" s="23"/>
      <c r="E52" s="23"/>
      <c r="F52" s="23"/>
      <c r="G52" s="23"/>
      <c r="H52" s="23"/>
      <c r="I52" s="23"/>
      <c r="J52" s="23"/>
      <c r="K52" s="23"/>
      <c r="L52" s="23"/>
      <c r="M52" s="23"/>
      <c r="N52" s="23"/>
      <c r="O52" s="23"/>
      <c r="P52" s="4"/>
      <c r="Q52" s="23"/>
      <c r="R52" s="23"/>
      <c r="S52" s="4"/>
      <c r="T52" s="4"/>
      <c r="U52" s="4"/>
    </row>
    <row r="53" spans="1:21" x14ac:dyDescent="0.2">
      <c r="A53" s="774"/>
      <c r="B53" s="4"/>
      <c r="C53" s="23"/>
      <c r="D53" s="23"/>
      <c r="E53" s="23"/>
      <c r="F53" s="23"/>
      <c r="G53" s="23"/>
      <c r="H53" s="23"/>
      <c r="I53" s="23"/>
      <c r="J53" s="23"/>
      <c r="K53" s="23"/>
      <c r="L53" s="23"/>
      <c r="M53" s="23"/>
      <c r="N53" s="23"/>
      <c r="O53" s="23"/>
      <c r="P53" s="4"/>
      <c r="Q53" s="23"/>
      <c r="R53" s="23"/>
      <c r="S53" s="4"/>
      <c r="T53" s="4"/>
      <c r="U53" s="4"/>
    </row>
    <row r="54" spans="1:21" x14ac:dyDescent="0.2">
      <c r="A54" s="774"/>
      <c r="B54" s="4"/>
      <c r="C54" s="23"/>
      <c r="D54" s="23"/>
      <c r="E54" s="23"/>
      <c r="F54" s="23"/>
      <c r="G54" s="23"/>
      <c r="H54" s="23"/>
      <c r="I54" s="23"/>
      <c r="J54" s="23"/>
      <c r="K54" s="23"/>
      <c r="L54" s="23"/>
      <c r="M54" s="23"/>
      <c r="N54" s="23"/>
      <c r="O54" s="23"/>
      <c r="P54" s="4"/>
      <c r="Q54" s="23"/>
      <c r="R54" s="23"/>
      <c r="S54" s="4"/>
      <c r="T54" s="4"/>
      <c r="U54" s="4"/>
    </row>
    <row r="55" spans="1:21" x14ac:dyDescent="0.2">
      <c r="A55" s="774"/>
      <c r="B55" s="4"/>
      <c r="C55" s="23"/>
      <c r="D55" s="23"/>
      <c r="E55" s="23"/>
      <c r="F55" s="23"/>
      <c r="G55" s="23"/>
      <c r="H55" s="23"/>
      <c r="I55" s="23"/>
      <c r="J55" s="23"/>
      <c r="K55" s="23"/>
      <c r="L55" s="23"/>
      <c r="M55" s="23"/>
      <c r="N55" s="23"/>
      <c r="O55" s="23"/>
      <c r="P55" s="4"/>
      <c r="Q55" s="23"/>
      <c r="R55" s="23"/>
      <c r="S55" s="4"/>
      <c r="T55" s="4"/>
      <c r="U55" s="4"/>
    </row>
    <row r="56" spans="1:21" x14ac:dyDescent="0.2">
      <c r="A56" s="774"/>
      <c r="B56" s="4"/>
      <c r="C56" s="23"/>
      <c r="D56" s="23"/>
      <c r="E56" s="23"/>
      <c r="F56" s="23"/>
      <c r="G56" s="23"/>
      <c r="H56" s="23"/>
      <c r="I56" s="23"/>
      <c r="J56" s="23"/>
      <c r="K56" s="23"/>
      <c r="L56" s="23"/>
      <c r="M56" s="23"/>
      <c r="N56" s="23"/>
      <c r="O56" s="23"/>
      <c r="P56" s="4"/>
      <c r="Q56" s="23"/>
      <c r="R56" s="23"/>
      <c r="S56" s="4"/>
      <c r="T56" s="4"/>
      <c r="U56" s="4"/>
    </row>
    <row r="57" spans="1:21" x14ac:dyDescent="0.2">
      <c r="A57" s="774"/>
      <c r="B57" s="4"/>
      <c r="C57" s="23"/>
      <c r="D57" s="23"/>
      <c r="E57" s="23"/>
      <c r="F57" s="23"/>
      <c r="G57" s="23"/>
      <c r="H57" s="23"/>
      <c r="I57" s="23"/>
      <c r="J57" s="23"/>
      <c r="K57" s="23"/>
      <c r="L57" s="23"/>
      <c r="M57" s="23"/>
      <c r="N57" s="23"/>
      <c r="O57" s="23"/>
      <c r="P57" s="4"/>
      <c r="Q57" s="23"/>
      <c r="R57" s="23"/>
      <c r="S57" s="4"/>
      <c r="T57" s="4"/>
      <c r="U57" s="4"/>
    </row>
    <row r="58" spans="1:21" x14ac:dyDescent="0.2">
      <c r="A58" s="774"/>
      <c r="B58" s="4"/>
      <c r="C58" s="23"/>
      <c r="D58" s="23"/>
      <c r="E58" s="23"/>
      <c r="F58" s="23"/>
      <c r="G58" s="23"/>
      <c r="H58" s="23"/>
      <c r="I58" s="23"/>
      <c r="J58" s="23"/>
      <c r="K58" s="23"/>
      <c r="L58" s="23"/>
      <c r="M58" s="23"/>
      <c r="N58" s="23"/>
      <c r="O58" s="23"/>
      <c r="P58" s="4"/>
      <c r="Q58" s="23"/>
      <c r="R58" s="23"/>
      <c r="S58" s="4"/>
      <c r="T58" s="4"/>
      <c r="U58" s="4"/>
    </row>
    <row r="59" spans="1:21" x14ac:dyDescent="0.2">
      <c r="A59" s="774"/>
      <c r="B59" s="4"/>
      <c r="C59" s="23"/>
      <c r="D59" s="23"/>
      <c r="E59" s="23"/>
      <c r="F59" s="23"/>
      <c r="G59" s="23"/>
      <c r="H59" s="23"/>
      <c r="I59" s="23"/>
      <c r="J59" s="23"/>
      <c r="K59" s="23"/>
      <c r="L59" s="23"/>
      <c r="M59" s="23"/>
      <c r="N59" s="23"/>
      <c r="O59" s="23"/>
      <c r="P59" s="4"/>
      <c r="Q59" s="23"/>
      <c r="R59" s="23"/>
      <c r="S59" s="4"/>
      <c r="T59" s="4"/>
      <c r="U59" s="4"/>
    </row>
    <row r="60" spans="1:21" x14ac:dyDescent="0.2">
      <c r="A60" s="774"/>
      <c r="B60" s="4"/>
      <c r="C60" s="23"/>
      <c r="D60" s="23"/>
      <c r="E60" s="23"/>
      <c r="F60" s="23"/>
      <c r="G60" s="23"/>
      <c r="H60" s="23"/>
      <c r="I60" s="23"/>
      <c r="J60" s="23"/>
      <c r="K60" s="23"/>
      <c r="L60" s="23"/>
      <c r="M60" s="23"/>
      <c r="N60" s="23"/>
      <c r="O60" s="23"/>
      <c r="P60" s="4"/>
      <c r="Q60" s="23"/>
      <c r="R60" s="23"/>
      <c r="S60" s="4"/>
      <c r="T60" s="4"/>
      <c r="U60" s="4"/>
    </row>
    <row r="61" spans="1:21" x14ac:dyDescent="0.2">
      <c r="A61" s="774"/>
      <c r="B61" s="4"/>
      <c r="C61" s="23"/>
      <c r="D61" s="23"/>
      <c r="E61" s="23"/>
      <c r="F61" s="23"/>
      <c r="G61" s="23"/>
      <c r="H61" s="23"/>
      <c r="I61" s="23"/>
      <c r="J61" s="23"/>
      <c r="K61" s="23"/>
      <c r="L61" s="23"/>
      <c r="M61" s="23"/>
      <c r="N61" s="23"/>
      <c r="O61" s="23"/>
      <c r="P61" s="4"/>
      <c r="Q61" s="23"/>
      <c r="R61" s="23"/>
      <c r="S61" s="4"/>
      <c r="T61" s="4"/>
      <c r="U61" s="4"/>
    </row>
    <row r="62" spans="1:21" x14ac:dyDescent="0.2">
      <c r="A62" s="774"/>
      <c r="B62" s="4"/>
      <c r="C62" s="23"/>
      <c r="D62" s="23"/>
      <c r="E62" s="23"/>
      <c r="F62" s="23"/>
      <c r="G62" s="23"/>
      <c r="H62" s="23"/>
      <c r="I62" s="23"/>
      <c r="J62" s="23"/>
      <c r="K62" s="23"/>
      <c r="L62" s="23"/>
      <c r="M62" s="23"/>
      <c r="N62" s="23"/>
      <c r="O62" s="23"/>
      <c r="P62" s="4"/>
      <c r="Q62" s="23"/>
      <c r="R62" s="23"/>
      <c r="S62" s="4"/>
      <c r="T62" s="4"/>
      <c r="U62" s="4"/>
    </row>
    <row r="63" spans="1:21" x14ac:dyDescent="0.2">
      <c r="A63" s="774"/>
      <c r="B63" s="4"/>
      <c r="C63" s="23"/>
      <c r="D63" s="23"/>
      <c r="E63" s="23"/>
      <c r="F63" s="23"/>
      <c r="G63" s="23"/>
      <c r="H63" s="23"/>
      <c r="I63" s="23"/>
      <c r="J63" s="23"/>
      <c r="K63" s="23"/>
      <c r="L63" s="23"/>
      <c r="M63" s="23"/>
      <c r="N63" s="23"/>
      <c r="O63" s="23"/>
      <c r="P63" s="4"/>
      <c r="Q63" s="23"/>
      <c r="R63" s="23"/>
      <c r="S63" s="4"/>
      <c r="T63" s="4"/>
      <c r="U63" s="4"/>
    </row>
    <row r="64" spans="1:21" x14ac:dyDescent="0.2">
      <c r="A64" s="774"/>
      <c r="B64" s="4"/>
      <c r="C64" s="23"/>
      <c r="D64" s="23"/>
      <c r="E64" s="23"/>
      <c r="F64" s="23"/>
      <c r="G64" s="23"/>
      <c r="H64" s="23"/>
      <c r="I64" s="23"/>
      <c r="J64" s="23"/>
      <c r="K64" s="23"/>
      <c r="L64" s="23"/>
      <c r="M64" s="23"/>
      <c r="N64" s="23"/>
      <c r="O64" s="23"/>
      <c r="P64" s="4"/>
      <c r="Q64" s="23"/>
      <c r="R64" s="23"/>
      <c r="S64" s="4"/>
      <c r="T64" s="4"/>
      <c r="U64" s="4"/>
    </row>
    <row r="65" spans="1:21" x14ac:dyDescent="0.2">
      <c r="A65" s="774"/>
      <c r="B65" s="4"/>
      <c r="C65" s="23"/>
      <c r="D65" s="23"/>
      <c r="E65" s="23"/>
      <c r="F65" s="23"/>
      <c r="G65" s="23"/>
      <c r="H65" s="23"/>
      <c r="I65" s="23"/>
      <c r="J65" s="23"/>
      <c r="K65" s="23"/>
      <c r="L65" s="23"/>
      <c r="M65" s="23"/>
      <c r="N65" s="23"/>
      <c r="O65" s="23"/>
      <c r="P65" s="4"/>
      <c r="Q65" s="23"/>
      <c r="R65" s="23"/>
      <c r="S65" s="4"/>
      <c r="T65" s="4"/>
      <c r="U65" s="4"/>
    </row>
    <row r="66" spans="1:21" x14ac:dyDescent="0.2">
      <c r="A66" s="774"/>
      <c r="B66" s="4"/>
      <c r="C66" s="23"/>
      <c r="D66" s="23"/>
      <c r="E66" s="23"/>
      <c r="F66" s="23"/>
      <c r="G66" s="23"/>
      <c r="H66" s="23"/>
      <c r="I66" s="23"/>
      <c r="J66" s="23"/>
      <c r="K66" s="23"/>
      <c r="L66" s="23"/>
      <c r="M66" s="23"/>
      <c r="N66" s="23"/>
      <c r="O66" s="23"/>
      <c r="P66" s="4"/>
      <c r="Q66" s="23"/>
      <c r="R66" s="23"/>
      <c r="S66" s="4"/>
      <c r="T66" s="4"/>
      <c r="U66" s="4"/>
    </row>
    <row r="67" spans="1:21" x14ac:dyDescent="0.2">
      <c r="A67" s="774"/>
      <c r="B67" s="4"/>
      <c r="C67" s="23"/>
      <c r="D67" s="23"/>
      <c r="E67" s="23"/>
      <c r="F67" s="23"/>
      <c r="G67" s="23"/>
      <c r="H67" s="23"/>
      <c r="I67" s="23"/>
      <c r="J67" s="23"/>
      <c r="K67" s="23"/>
      <c r="L67" s="23"/>
      <c r="M67" s="23"/>
      <c r="N67" s="23"/>
      <c r="O67" s="23"/>
      <c r="P67" s="4"/>
      <c r="Q67" s="23"/>
      <c r="R67" s="23"/>
      <c r="S67" s="4"/>
      <c r="T67" s="4"/>
      <c r="U67" s="4"/>
    </row>
    <row r="68" spans="1:21" x14ac:dyDescent="0.2">
      <c r="A68" s="774"/>
      <c r="B68" s="4"/>
      <c r="C68" s="23"/>
      <c r="D68" s="23"/>
      <c r="E68" s="23"/>
      <c r="F68" s="23"/>
      <c r="G68" s="23"/>
      <c r="H68" s="23"/>
      <c r="I68" s="23"/>
      <c r="J68" s="23"/>
      <c r="K68" s="23"/>
      <c r="L68" s="23"/>
      <c r="M68" s="23"/>
      <c r="N68" s="23"/>
      <c r="O68" s="23"/>
      <c r="P68" s="4"/>
      <c r="Q68" s="23"/>
      <c r="R68" s="23"/>
      <c r="S68" s="4"/>
      <c r="T68" s="4"/>
      <c r="U68" s="4"/>
    </row>
    <row r="69" spans="1:21" x14ac:dyDescent="0.2">
      <c r="A69" s="774"/>
      <c r="B69" s="4"/>
      <c r="C69" s="23"/>
      <c r="D69" s="23"/>
      <c r="E69" s="23"/>
      <c r="F69" s="23"/>
      <c r="G69" s="23"/>
      <c r="H69" s="23"/>
      <c r="I69" s="23"/>
      <c r="J69" s="23"/>
      <c r="K69" s="23"/>
      <c r="L69" s="23"/>
      <c r="M69" s="23"/>
      <c r="N69" s="23"/>
      <c r="O69" s="23"/>
      <c r="P69" s="4"/>
      <c r="Q69" s="23"/>
      <c r="R69" s="23"/>
      <c r="S69" s="4"/>
      <c r="T69" s="4"/>
      <c r="U69" s="4"/>
    </row>
    <row r="70" spans="1:21" x14ac:dyDescent="0.2">
      <c r="A70" s="774"/>
      <c r="B70" s="4"/>
      <c r="C70" s="23"/>
      <c r="D70" s="23"/>
      <c r="E70" s="23"/>
      <c r="F70" s="23"/>
      <c r="G70" s="23"/>
      <c r="H70" s="23"/>
      <c r="I70" s="23"/>
      <c r="J70" s="23"/>
      <c r="K70" s="23"/>
      <c r="L70" s="23"/>
      <c r="M70" s="23"/>
      <c r="N70" s="23"/>
      <c r="O70" s="23"/>
      <c r="P70" s="4"/>
      <c r="Q70" s="23"/>
      <c r="R70" s="23"/>
      <c r="S70" s="4"/>
      <c r="T70" s="4"/>
      <c r="U70" s="4"/>
    </row>
    <row r="71" spans="1:21" x14ac:dyDescent="0.2">
      <c r="A71" s="774"/>
      <c r="B71" s="4"/>
      <c r="C71" s="23"/>
      <c r="D71" s="23"/>
      <c r="E71" s="23"/>
      <c r="F71" s="23"/>
      <c r="G71" s="23"/>
      <c r="H71" s="23"/>
      <c r="I71" s="23"/>
      <c r="J71" s="23"/>
      <c r="K71" s="23"/>
      <c r="L71" s="23"/>
      <c r="M71" s="23"/>
      <c r="N71" s="23"/>
      <c r="O71" s="23"/>
      <c r="P71" s="4"/>
      <c r="Q71" s="23"/>
      <c r="R71" s="23"/>
      <c r="S71" s="4"/>
      <c r="T71" s="4"/>
      <c r="U71" s="4"/>
    </row>
    <row r="72" spans="1:21" x14ac:dyDescent="0.2">
      <c r="A72" s="774"/>
      <c r="B72" s="4"/>
      <c r="C72" s="23"/>
      <c r="D72" s="23"/>
      <c r="E72" s="23"/>
      <c r="F72" s="23"/>
      <c r="G72" s="23"/>
      <c r="H72" s="23"/>
      <c r="I72" s="23"/>
      <c r="J72" s="23"/>
      <c r="K72" s="23"/>
      <c r="L72" s="23"/>
      <c r="M72" s="23"/>
      <c r="N72" s="23"/>
      <c r="O72" s="23"/>
      <c r="P72" s="4"/>
      <c r="Q72" s="23"/>
      <c r="R72" s="23"/>
      <c r="S72" s="4"/>
      <c r="T72" s="4"/>
      <c r="U72" s="4"/>
    </row>
    <row r="73" spans="1:21" x14ac:dyDescent="0.2">
      <c r="A73" s="774"/>
      <c r="B73" s="4"/>
      <c r="C73" s="23"/>
      <c r="D73" s="23"/>
      <c r="E73" s="23"/>
      <c r="F73" s="23"/>
      <c r="G73" s="23"/>
      <c r="H73" s="23"/>
      <c r="I73" s="23"/>
      <c r="J73" s="23"/>
      <c r="K73" s="23"/>
      <c r="L73" s="23"/>
      <c r="M73" s="23"/>
      <c r="N73" s="23"/>
      <c r="O73" s="23"/>
      <c r="P73" s="4"/>
      <c r="Q73" s="23"/>
      <c r="R73" s="23"/>
      <c r="S73" s="4"/>
      <c r="T73" s="4"/>
      <c r="U73" s="4"/>
    </row>
    <row r="74" spans="1:21" x14ac:dyDescent="0.2">
      <c r="A74" s="774"/>
      <c r="B74" s="4"/>
      <c r="C74" s="23"/>
      <c r="D74" s="23"/>
      <c r="E74" s="23"/>
      <c r="F74" s="23"/>
      <c r="G74" s="23"/>
      <c r="H74" s="23"/>
      <c r="I74" s="23"/>
      <c r="J74" s="23"/>
      <c r="K74" s="23"/>
      <c r="L74" s="23"/>
      <c r="M74" s="23"/>
      <c r="N74" s="23"/>
      <c r="O74" s="23"/>
      <c r="P74" s="4"/>
      <c r="Q74" s="23"/>
      <c r="R74" s="23"/>
      <c r="S74" s="4"/>
      <c r="T74" s="4"/>
      <c r="U74" s="4"/>
    </row>
    <row r="75" spans="1:21" x14ac:dyDescent="0.2">
      <c r="A75" s="774"/>
      <c r="B75" s="4"/>
      <c r="C75" s="23"/>
      <c r="D75" s="23"/>
      <c r="E75" s="23"/>
      <c r="F75" s="23"/>
      <c r="G75" s="23"/>
      <c r="H75" s="23"/>
      <c r="I75" s="23"/>
      <c r="J75" s="23"/>
      <c r="K75" s="23"/>
      <c r="L75" s="23"/>
      <c r="M75" s="23"/>
      <c r="N75" s="23"/>
      <c r="O75" s="23"/>
      <c r="P75" s="4"/>
      <c r="Q75" s="23"/>
      <c r="R75" s="23"/>
      <c r="S75" s="4"/>
      <c r="T75" s="4"/>
      <c r="U75" s="4"/>
    </row>
    <row r="76" spans="1:21" x14ac:dyDescent="0.2">
      <c r="A76" s="774"/>
      <c r="B76" s="4"/>
      <c r="C76" s="23"/>
      <c r="D76" s="23"/>
      <c r="E76" s="23"/>
      <c r="F76" s="23"/>
      <c r="G76" s="23"/>
      <c r="H76" s="23"/>
      <c r="I76" s="23"/>
      <c r="J76" s="23"/>
      <c r="K76" s="23"/>
      <c r="L76" s="23"/>
      <c r="M76" s="23"/>
      <c r="N76" s="23"/>
      <c r="O76" s="23"/>
      <c r="P76" s="4"/>
      <c r="Q76" s="23"/>
      <c r="R76" s="23"/>
      <c r="S76" s="4"/>
      <c r="T76" s="4"/>
      <c r="U76" s="4"/>
    </row>
    <row r="77" spans="1:21" x14ac:dyDescent="0.2">
      <c r="A77" s="774"/>
      <c r="B77" s="4"/>
      <c r="C77" s="23"/>
      <c r="D77" s="23"/>
      <c r="E77" s="23"/>
      <c r="F77" s="23"/>
      <c r="G77" s="23"/>
      <c r="H77" s="23"/>
      <c r="I77" s="23"/>
      <c r="J77" s="23"/>
      <c r="K77" s="23"/>
      <c r="L77" s="23"/>
      <c r="M77" s="23"/>
      <c r="N77" s="23"/>
      <c r="O77" s="23"/>
      <c r="P77" s="4"/>
      <c r="Q77" s="23"/>
      <c r="R77" s="23"/>
      <c r="S77" s="4"/>
      <c r="T77" s="4"/>
      <c r="U77" s="4"/>
    </row>
    <row r="78" spans="1:21" x14ac:dyDescent="0.2">
      <c r="A78" s="774"/>
      <c r="B78" s="4"/>
      <c r="C78" s="23"/>
      <c r="D78" s="23"/>
      <c r="E78" s="23"/>
      <c r="F78" s="23"/>
      <c r="G78" s="23"/>
      <c r="H78" s="23"/>
      <c r="I78" s="23"/>
      <c r="J78" s="23"/>
      <c r="K78" s="23"/>
      <c r="L78" s="23"/>
      <c r="M78" s="23"/>
      <c r="N78" s="23"/>
      <c r="O78" s="23"/>
      <c r="P78" s="4"/>
      <c r="Q78" s="23"/>
      <c r="R78" s="23"/>
      <c r="S78" s="4"/>
      <c r="T78" s="4"/>
      <c r="U78" s="4"/>
    </row>
    <row r="79" spans="1:21" x14ac:dyDescent="0.2">
      <c r="A79" s="774"/>
      <c r="B79" s="4"/>
      <c r="C79" s="23"/>
      <c r="D79" s="23"/>
      <c r="E79" s="23"/>
      <c r="F79" s="23"/>
      <c r="G79" s="23"/>
      <c r="H79" s="23"/>
      <c r="I79" s="23"/>
      <c r="J79" s="23"/>
      <c r="K79" s="23"/>
      <c r="L79" s="23"/>
      <c r="M79" s="23"/>
      <c r="N79" s="23"/>
      <c r="O79" s="23"/>
      <c r="P79" s="4"/>
      <c r="Q79" s="23"/>
      <c r="R79" s="23"/>
      <c r="S79" s="4"/>
      <c r="T79" s="4"/>
      <c r="U79" s="4"/>
    </row>
    <row r="80" spans="1:21" x14ac:dyDescent="0.2">
      <c r="A80" s="774"/>
      <c r="B80" s="4"/>
      <c r="C80" s="23"/>
      <c r="D80" s="23"/>
      <c r="E80" s="23"/>
      <c r="F80" s="23"/>
      <c r="G80" s="23"/>
      <c r="H80" s="23"/>
      <c r="I80" s="23"/>
      <c r="J80" s="23"/>
      <c r="K80" s="23"/>
      <c r="L80" s="23"/>
      <c r="M80" s="23"/>
      <c r="N80" s="23"/>
      <c r="O80" s="23"/>
      <c r="P80" s="4"/>
      <c r="Q80" s="23"/>
      <c r="R80" s="23"/>
      <c r="S80" s="4"/>
      <c r="T80" s="4"/>
      <c r="U80" s="4"/>
    </row>
    <row r="81" spans="1:21" x14ac:dyDescent="0.2">
      <c r="A81" s="774"/>
      <c r="B81" s="4"/>
      <c r="C81" s="23"/>
      <c r="D81" s="23"/>
      <c r="E81" s="23"/>
      <c r="F81" s="23"/>
      <c r="G81" s="23"/>
      <c r="H81" s="23"/>
      <c r="I81" s="23"/>
      <c r="J81" s="23"/>
      <c r="K81" s="23"/>
      <c r="L81" s="23"/>
      <c r="M81" s="23"/>
      <c r="N81" s="23"/>
      <c r="O81" s="23"/>
      <c r="P81" s="4"/>
      <c r="Q81" s="23"/>
      <c r="R81" s="23"/>
      <c r="S81" s="4"/>
      <c r="T81" s="4"/>
      <c r="U81" s="4"/>
    </row>
    <row r="82" spans="1:21" x14ac:dyDescent="0.2">
      <c r="A82" s="774"/>
      <c r="B82" s="4"/>
      <c r="C82" s="23"/>
      <c r="D82" s="23"/>
      <c r="E82" s="23"/>
      <c r="F82" s="23"/>
      <c r="G82" s="23"/>
      <c r="H82" s="23"/>
      <c r="I82" s="23"/>
      <c r="J82" s="23"/>
      <c r="K82" s="23"/>
      <c r="L82" s="23"/>
      <c r="M82" s="23"/>
      <c r="N82" s="23"/>
      <c r="O82" s="23"/>
      <c r="P82" s="4"/>
      <c r="Q82" s="23"/>
      <c r="R82" s="23"/>
      <c r="S82" s="4"/>
      <c r="T82" s="4"/>
      <c r="U82" s="4"/>
    </row>
    <row r="83" spans="1:21" x14ac:dyDescent="0.2">
      <c r="A83" s="774"/>
      <c r="B83" s="4"/>
      <c r="C83" s="23"/>
      <c r="D83" s="23"/>
      <c r="E83" s="23"/>
      <c r="F83" s="23"/>
      <c r="G83" s="23"/>
      <c r="H83" s="23"/>
      <c r="I83" s="23"/>
      <c r="J83" s="23"/>
      <c r="K83" s="23"/>
      <c r="L83" s="23"/>
      <c r="M83" s="23"/>
      <c r="N83" s="23"/>
      <c r="O83" s="23"/>
      <c r="P83" s="4"/>
      <c r="Q83" s="23"/>
      <c r="R83" s="23"/>
      <c r="S83" s="4"/>
      <c r="T83" s="4"/>
      <c r="U83" s="4"/>
    </row>
    <row r="84" spans="1:21" x14ac:dyDescent="0.2">
      <c r="A84" s="774"/>
      <c r="B84" s="4"/>
      <c r="C84" s="23"/>
      <c r="D84" s="23"/>
      <c r="E84" s="23"/>
      <c r="F84" s="23"/>
      <c r="G84" s="23"/>
      <c r="H84" s="23"/>
      <c r="I84" s="23"/>
      <c r="J84" s="23"/>
      <c r="K84" s="23"/>
      <c r="L84" s="23"/>
      <c r="M84" s="23"/>
      <c r="N84" s="23"/>
      <c r="O84" s="23"/>
      <c r="P84" s="4"/>
      <c r="Q84" s="23"/>
      <c r="R84" s="23"/>
      <c r="S84" s="4"/>
      <c r="T84" s="4"/>
      <c r="U84" s="4"/>
    </row>
    <row r="85" spans="1:21" x14ac:dyDescent="0.2">
      <c r="A85" s="774"/>
      <c r="B85" s="4"/>
      <c r="C85" s="23"/>
      <c r="D85" s="23"/>
      <c r="E85" s="23"/>
      <c r="F85" s="23"/>
      <c r="G85" s="23"/>
      <c r="H85" s="23"/>
      <c r="I85" s="23"/>
      <c r="J85" s="23"/>
      <c r="K85" s="23"/>
      <c r="L85" s="23"/>
      <c r="M85" s="23"/>
      <c r="N85" s="23"/>
      <c r="O85" s="23"/>
      <c r="P85" s="4"/>
      <c r="Q85" s="23"/>
      <c r="R85" s="23"/>
      <c r="S85" s="4"/>
      <c r="T85" s="4"/>
      <c r="U85" s="4"/>
    </row>
    <row r="86" spans="1:21" x14ac:dyDescent="0.2">
      <c r="A86" s="774"/>
      <c r="B86" s="4"/>
      <c r="C86" s="23"/>
      <c r="D86" s="23"/>
      <c r="E86" s="23"/>
      <c r="F86" s="23"/>
      <c r="G86" s="23"/>
      <c r="H86" s="23"/>
      <c r="I86" s="23"/>
      <c r="J86" s="23"/>
      <c r="K86" s="23"/>
      <c r="L86" s="23"/>
      <c r="M86" s="23"/>
      <c r="N86" s="23"/>
      <c r="O86" s="23"/>
      <c r="P86" s="4"/>
      <c r="Q86" s="23"/>
      <c r="R86" s="23"/>
      <c r="S86" s="4"/>
      <c r="T86" s="4"/>
      <c r="U86" s="4"/>
    </row>
    <row r="87" spans="1:21" x14ac:dyDescent="0.2">
      <c r="A87" s="774"/>
      <c r="B87" s="4"/>
      <c r="C87" s="23"/>
      <c r="D87" s="23"/>
      <c r="E87" s="23"/>
      <c r="F87" s="23"/>
      <c r="G87" s="23"/>
      <c r="H87" s="23"/>
      <c r="I87" s="23"/>
      <c r="J87" s="23"/>
      <c r="K87" s="23"/>
      <c r="L87" s="23"/>
      <c r="M87" s="23"/>
      <c r="N87" s="23"/>
      <c r="O87" s="23"/>
      <c r="P87" s="4"/>
      <c r="Q87" s="23"/>
      <c r="R87" s="23"/>
      <c r="S87" s="4"/>
      <c r="T87" s="4"/>
      <c r="U87" s="4"/>
    </row>
    <row r="88" spans="1:21" x14ac:dyDescent="0.2">
      <c r="A88" s="774"/>
      <c r="B88" s="4"/>
      <c r="C88" s="23"/>
      <c r="D88" s="23"/>
      <c r="E88" s="23"/>
      <c r="F88" s="23"/>
      <c r="G88" s="23"/>
      <c r="H88" s="23"/>
      <c r="I88" s="23"/>
      <c r="J88" s="23"/>
      <c r="K88" s="23"/>
      <c r="L88" s="23"/>
      <c r="M88" s="23"/>
      <c r="N88" s="23"/>
      <c r="O88" s="23"/>
      <c r="P88" s="4"/>
      <c r="Q88" s="23"/>
      <c r="R88" s="23"/>
      <c r="S88" s="4"/>
      <c r="T88" s="4"/>
      <c r="U88" s="4"/>
    </row>
    <row r="89" spans="1:21" x14ac:dyDescent="0.2">
      <c r="A89" s="774"/>
      <c r="B89" s="4"/>
      <c r="C89" s="23"/>
      <c r="D89" s="23"/>
      <c r="E89" s="23"/>
      <c r="F89" s="23"/>
      <c r="G89" s="23"/>
      <c r="H89" s="23"/>
      <c r="I89" s="23"/>
      <c r="J89" s="23"/>
      <c r="K89" s="23"/>
      <c r="L89" s="23"/>
      <c r="M89" s="23"/>
      <c r="N89" s="23"/>
      <c r="O89" s="23"/>
      <c r="P89" s="4"/>
      <c r="Q89" s="23"/>
      <c r="R89" s="23"/>
      <c r="S89" s="4"/>
      <c r="T89" s="4"/>
      <c r="U89" s="4"/>
    </row>
    <row r="90" spans="1:21" x14ac:dyDescent="0.2">
      <c r="A90" s="774"/>
      <c r="B90" s="4"/>
      <c r="C90" s="23"/>
      <c r="D90" s="23"/>
      <c r="E90" s="23"/>
      <c r="F90" s="23"/>
      <c r="G90" s="23"/>
      <c r="H90" s="23"/>
      <c r="I90" s="23"/>
      <c r="J90" s="23"/>
      <c r="K90" s="23"/>
      <c r="L90" s="23"/>
      <c r="M90" s="23"/>
      <c r="N90" s="23"/>
      <c r="O90" s="23"/>
      <c r="P90" s="4"/>
      <c r="Q90" s="23"/>
      <c r="R90" s="23"/>
      <c r="S90" s="4"/>
      <c r="T90" s="4"/>
      <c r="U90" s="4"/>
    </row>
    <row r="91" spans="1:21" x14ac:dyDescent="0.2">
      <c r="A91" s="774"/>
      <c r="B91" s="4"/>
      <c r="C91" s="23"/>
      <c r="D91" s="23"/>
      <c r="E91" s="23"/>
      <c r="F91" s="23"/>
      <c r="G91" s="23"/>
      <c r="H91" s="23"/>
      <c r="I91" s="23"/>
      <c r="J91" s="23"/>
      <c r="K91" s="23"/>
      <c r="L91" s="23"/>
      <c r="M91" s="23"/>
      <c r="N91" s="23"/>
      <c r="O91" s="23"/>
      <c r="P91" s="4"/>
      <c r="Q91" s="23"/>
      <c r="R91" s="23"/>
      <c r="S91" s="4"/>
      <c r="T91" s="4"/>
      <c r="U91" s="4"/>
    </row>
    <row r="92" spans="1:21" x14ac:dyDescent="0.2">
      <c r="A92" s="774"/>
      <c r="B92" s="4"/>
      <c r="C92" s="23"/>
      <c r="D92" s="23"/>
      <c r="E92" s="23"/>
      <c r="F92" s="23"/>
      <c r="G92" s="23"/>
      <c r="H92" s="23"/>
      <c r="I92" s="23"/>
      <c r="J92" s="23"/>
      <c r="K92" s="23"/>
      <c r="L92" s="23"/>
      <c r="M92" s="23"/>
      <c r="N92" s="23"/>
      <c r="O92" s="23"/>
      <c r="P92" s="4"/>
      <c r="Q92" s="23"/>
      <c r="R92" s="23"/>
      <c r="S92" s="4"/>
      <c r="T92" s="4"/>
      <c r="U92" s="4"/>
    </row>
    <row r="93" spans="1:21" x14ac:dyDescent="0.2">
      <c r="A93" s="774"/>
      <c r="B93" s="4"/>
      <c r="C93" s="23"/>
      <c r="D93" s="23"/>
      <c r="E93" s="23"/>
      <c r="F93" s="23"/>
      <c r="G93" s="23"/>
      <c r="H93" s="23"/>
      <c r="I93" s="23"/>
      <c r="J93" s="23"/>
      <c r="K93" s="23"/>
      <c r="L93" s="23"/>
      <c r="M93" s="23"/>
      <c r="N93" s="23"/>
      <c r="O93" s="23"/>
      <c r="P93" s="4"/>
      <c r="Q93" s="23"/>
      <c r="R93" s="23"/>
      <c r="S93" s="4"/>
      <c r="T93" s="4"/>
      <c r="U93" s="4"/>
    </row>
    <row r="94" spans="1:21" x14ac:dyDescent="0.2">
      <c r="A94" s="774"/>
      <c r="B94" s="4"/>
      <c r="C94" s="23"/>
      <c r="D94" s="23"/>
      <c r="E94" s="23"/>
      <c r="F94" s="23"/>
      <c r="G94" s="23"/>
      <c r="H94" s="23"/>
      <c r="I94" s="23"/>
      <c r="J94" s="23"/>
      <c r="K94" s="23"/>
      <c r="L94" s="23"/>
      <c r="M94" s="23"/>
      <c r="N94" s="23"/>
      <c r="O94" s="23"/>
      <c r="P94" s="4"/>
      <c r="Q94" s="23"/>
      <c r="R94" s="23"/>
      <c r="S94" s="4"/>
      <c r="T94" s="4"/>
      <c r="U94" s="4"/>
    </row>
    <row r="95" spans="1:21" x14ac:dyDescent="0.2">
      <c r="A95" s="774"/>
      <c r="B95" s="4"/>
      <c r="C95" s="23"/>
      <c r="D95" s="23"/>
      <c r="E95" s="23"/>
      <c r="F95" s="23"/>
      <c r="G95" s="23"/>
      <c r="H95" s="23"/>
      <c r="I95" s="23"/>
      <c r="J95" s="23"/>
      <c r="K95" s="23"/>
      <c r="L95" s="23"/>
      <c r="M95" s="23"/>
      <c r="N95" s="23"/>
      <c r="O95" s="23"/>
      <c r="P95" s="4"/>
      <c r="Q95" s="23"/>
      <c r="R95" s="23"/>
      <c r="S95" s="4"/>
      <c r="T95" s="4"/>
      <c r="U95" s="4"/>
    </row>
    <row r="96" spans="1:21" x14ac:dyDescent="0.2">
      <c r="A96" s="774"/>
      <c r="B96" s="4"/>
      <c r="C96" s="23"/>
      <c r="D96" s="23"/>
      <c r="E96" s="23"/>
      <c r="F96" s="23"/>
      <c r="G96" s="23"/>
      <c r="H96" s="23"/>
      <c r="I96" s="23"/>
      <c r="J96" s="23"/>
      <c r="K96" s="23"/>
      <c r="L96" s="23"/>
      <c r="M96" s="23"/>
      <c r="N96" s="23"/>
      <c r="O96" s="23"/>
      <c r="P96" s="4"/>
      <c r="Q96" s="23"/>
      <c r="R96" s="23"/>
      <c r="S96" s="4"/>
      <c r="T96" s="4"/>
      <c r="U96" s="4"/>
    </row>
    <row r="97" spans="1:21" x14ac:dyDescent="0.2">
      <c r="A97" s="774"/>
      <c r="B97" s="4"/>
      <c r="C97" s="23"/>
      <c r="D97" s="23"/>
      <c r="E97" s="23"/>
      <c r="F97" s="23"/>
      <c r="G97" s="23"/>
      <c r="H97" s="23"/>
      <c r="I97" s="23"/>
      <c r="J97" s="23"/>
      <c r="K97" s="23"/>
      <c r="L97" s="23"/>
      <c r="M97" s="23"/>
      <c r="N97" s="23"/>
      <c r="O97" s="23"/>
      <c r="P97" s="4"/>
      <c r="Q97" s="23"/>
      <c r="R97" s="23"/>
      <c r="S97" s="4"/>
      <c r="T97" s="4"/>
      <c r="U97" s="4"/>
    </row>
    <row r="98" spans="1:21" x14ac:dyDescent="0.2">
      <c r="A98" s="774"/>
      <c r="B98" s="4"/>
      <c r="C98" s="23"/>
      <c r="D98" s="23"/>
      <c r="E98" s="23"/>
      <c r="F98" s="23"/>
      <c r="G98" s="23"/>
      <c r="H98" s="23"/>
      <c r="I98" s="23"/>
      <c r="J98" s="23"/>
      <c r="K98" s="23"/>
      <c r="L98" s="23"/>
      <c r="M98" s="23"/>
      <c r="N98" s="23"/>
      <c r="O98" s="23"/>
      <c r="P98" s="4"/>
      <c r="Q98" s="23"/>
      <c r="R98" s="23"/>
      <c r="S98" s="4"/>
      <c r="T98" s="4"/>
      <c r="U98" s="4"/>
    </row>
    <row r="99" spans="1:21" x14ac:dyDescent="0.2">
      <c r="A99" s="774"/>
      <c r="B99" s="4"/>
      <c r="C99" s="23"/>
      <c r="D99" s="23"/>
      <c r="E99" s="23"/>
      <c r="F99" s="23"/>
      <c r="G99" s="23"/>
      <c r="H99" s="23"/>
      <c r="I99" s="23"/>
      <c r="J99" s="23"/>
      <c r="K99" s="23"/>
      <c r="L99" s="23"/>
      <c r="M99" s="23"/>
      <c r="N99" s="23"/>
      <c r="O99" s="23"/>
      <c r="P99" s="4"/>
      <c r="Q99" s="23"/>
      <c r="R99" s="23"/>
      <c r="S99" s="4"/>
      <c r="T99" s="4"/>
      <c r="U99" s="4"/>
    </row>
    <row r="100" spans="1:21" x14ac:dyDescent="0.2">
      <c r="A100" s="774"/>
      <c r="B100" s="4"/>
      <c r="C100" s="23"/>
      <c r="D100" s="23"/>
      <c r="E100" s="23"/>
      <c r="F100" s="23"/>
      <c r="G100" s="23"/>
      <c r="H100" s="23"/>
      <c r="I100" s="23"/>
      <c r="J100" s="23"/>
      <c r="K100" s="23"/>
      <c r="L100" s="23"/>
      <c r="M100" s="23"/>
      <c r="N100" s="23"/>
      <c r="O100" s="23"/>
      <c r="P100" s="4"/>
      <c r="Q100" s="23"/>
      <c r="R100" s="23"/>
      <c r="S100" s="4"/>
      <c r="T100" s="4"/>
      <c r="U100" s="4"/>
    </row>
    <row r="101" spans="1:21" x14ac:dyDescent="0.2">
      <c r="A101" s="774"/>
      <c r="B101" s="4"/>
      <c r="C101" s="23"/>
      <c r="D101" s="23"/>
      <c r="E101" s="23"/>
      <c r="F101" s="23"/>
      <c r="G101" s="23"/>
      <c r="H101" s="23"/>
      <c r="I101" s="23"/>
      <c r="J101" s="23"/>
      <c r="K101" s="23"/>
      <c r="L101" s="23"/>
      <c r="M101" s="23"/>
      <c r="N101" s="23"/>
      <c r="O101" s="23"/>
      <c r="P101" s="4"/>
      <c r="Q101" s="23"/>
      <c r="R101" s="23"/>
      <c r="S101" s="4"/>
      <c r="T101" s="4"/>
      <c r="U101" s="4"/>
    </row>
    <row r="102" spans="1:21" x14ac:dyDescent="0.2">
      <c r="A102" s="774"/>
      <c r="B102" s="4"/>
      <c r="C102" s="23"/>
      <c r="D102" s="23"/>
      <c r="E102" s="23"/>
      <c r="F102" s="23"/>
      <c r="G102" s="23"/>
      <c r="H102" s="23"/>
      <c r="I102" s="23"/>
      <c r="J102" s="23"/>
      <c r="K102" s="23"/>
      <c r="L102" s="23"/>
      <c r="M102" s="23"/>
      <c r="N102" s="23"/>
      <c r="O102" s="23"/>
      <c r="P102" s="4"/>
      <c r="Q102" s="23"/>
      <c r="R102" s="23"/>
      <c r="S102" s="4"/>
      <c r="T102" s="4"/>
      <c r="U102" s="4"/>
    </row>
    <row r="103" spans="1:21" x14ac:dyDescent="0.2">
      <c r="A103" s="774"/>
      <c r="B103" s="4"/>
      <c r="C103" s="23"/>
      <c r="D103" s="23"/>
      <c r="E103" s="23"/>
      <c r="F103" s="23"/>
      <c r="G103" s="23"/>
      <c r="H103" s="23"/>
      <c r="I103" s="23"/>
      <c r="J103" s="23"/>
      <c r="K103" s="23"/>
      <c r="L103" s="23"/>
      <c r="M103" s="23"/>
      <c r="N103" s="23"/>
      <c r="O103" s="23"/>
      <c r="P103" s="4"/>
      <c r="Q103" s="23"/>
      <c r="R103" s="23"/>
      <c r="S103" s="4"/>
      <c r="T103" s="4"/>
      <c r="U103" s="4"/>
    </row>
    <row r="104" spans="1:21" x14ac:dyDescent="0.2">
      <c r="A104" s="774"/>
      <c r="B104" s="4"/>
      <c r="C104" s="23"/>
      <c r="D104" s="23"/>
      <c r="E104" s="23"/>
      <c r="F104" s="23"/>
      <c r="G104" s="23"/>
      <c r="H104" s="23"/>
      <c r="I104" s="23"/>
      <c r="J104" s="23"/>
      <c r="K104" s="23"/>
      <c r="L104" s="23"/>
      <c r="M104" s="23"/>
      <c r="N104" s="23"/>
      <c r="O104" s="23"/>
      <c r="P104" s="4"/>
      <c r="Q104" s="23"/>
      <c r="R104" s="23"/>
      <c r="S104" s="4"/>
      <c r="T104" s="4"/>
      <c r="U104" s="4"/>
    </row>
    <row r="105" spans="1:21" x14ac:dyDescent="0.2">
      <c r="A105" s="774"/>
      <c r="B105" s="4"/>
      <c r="C105" s="23"/>
      <c r="D105" s="23"/>
      <c r="E105" s="23"/>
      <c r="F105" s="23"/>
      <c r="G105" s="23"/>
      <c r="H105" s="23"/>
      <c r="I105" s="23"/>
      <c r="J105" s="23"/>
      <c r="K105" s="23"/>
      <c r="L105" s="23"/>
      <c r="M105" s="23"/>
      <c r="N105" s="23"/>
      <c r="O105" s="23"/>
      <c r="P105" s="4"/>
      <c r="Q105" s="23"/>
      <c r="R105" s="23"/>
      <c r="S105" s="4"/>
      <c r="T105" s="4"/>
      <c r="U105" s="4"/>
    </row>
    <row r="106" spans="1:21" x14ac:dyDescent="0.2">
      <c r="A106" s="774"/>
      <c r="B106" s="4"/>
      <c r="C106" s="23"/>
      <c r="D106" s="23"/>
      <c r="E106" s="23"/>
      <c r="F106" s="23"/>
      <c r="G106" s="23"/>
      <c r="H106" s="23"/>
      <c r="I106" s="23"/>
      <c r="J106" s="23"/>
      <c r="K106" s="23"/>
      <c r="L106" s="23"/>
      <c r="M106" s="23"/>
      <c r="N106" s="23"/>
      <c r="O106" s="23"/>
      <c r="P106" s="4"/>
      <c r="Q106" s="23"/>
      <c r="R106" s="23"/>
      <c r="S106" s="4"/>
      <c r="T106" s="4"/>
      <c r="U106" s="4"/>
    </row>
    <row r="107" spans="1:21" x14ac:dyDescent="0.2">
      <c r="A107" s="774"/>
      <c r="B107" s="4"/>
      <c r="C107" s="23"/>
      <c r="D107" s="23"/>
      <c r="E107" s="23"/>
      <c r="F107" s="23"/>
      <c r="G107" s="23"/>
      <c r="H107" s="23"/>
      <c r="I107" s="23"/>
      <c r="J107" s="23"/>
      <c r="K107" s="23"/>
      <c r="L107" s="23"/>
      <c r="M107" s="23"/>
      <c r="N107" s="23"/>
      <c r="O107" s="23"/>
      <c r="P107" s="4"/>
      <c r="Q107" s="23"/>
      <c r="R107" s="23"/>
      <c r="S107" s="4"/>
      <c r="T107" s="4"/>
      <c r="U107" s="4"/>
    </row>
    <row r="108" spans="1:21" x14ac:dyDescent="0.2">
      <c r="A108" s="774"/>
      <c r="B108" s="4"/>
      <c r="C108" s="23"/>
      <c r="D108" s="23"/>
      <c r="E108" s="23"/>
      <c r="F108" s="23"/>
      <c r="G108" s="23"/>
      <c r="H108" s="23"/>
      <c r="I108" s="23"/>
      <c r="J108" s="23"/>
      <c r="K108" s="23"/>
      <c r="L108" s="23"/>
      <c r="M108" s="23"/>
      <c r="N108" s="23"/>
      <c r="O108" s="23"/>
      <c r="P108" s="4"/>
      <c r="Q108" s="23"/>
      <c r="R108" s="23"/>
      <c r="S108" s="4"/>
      <c r="T108" s="4"/>
      <c r="U108" s="4"/>
    </row>
    <row r="109" spans="1:21" x14ac:dyDescent="0.2">
      <c r="A109" s="774"/>
      <c r="B109" s="4"/>
      <c r="C109" s="23"/>
      <c r="D109" s="23"/>
      <c r="E109" s="23"/>
      <c r="F109" s="23"/>
      <c r="G109" s="23"/>
      <c r="H109" s="23"/>
      <c r="I109" s="23"/>
      <c r="J109" s="23"/>
      <c r="K109" s="23"/>
      <c r="L109" s="23"/>
      <c r="M109" s="23"/>
      <c r="N109" s="23"/>
      <c r="O109" s="23"/>
      <c r="P109" s="4"/>
      <c r="Q109" s="23"/>
      <c r="R109" s="23"/>
      <c r="S109" s="4"/>
      <c r="T109" s="4"/>
      <c r="U109" s="4"/>
    </row>
    <row r="110" spans="1:21" x14ac:dyDescent="0.2">
      <c r="A110" s="774"/>
      <c r="B110" s="4"/>
      <c r="C110" s="23"/>
      <c r="D110" s="23"/>
      <c r="E110" s="23"/>
      <c r="F110" s="23"/>
      <c r="G110" s="23"/>
      <c r="H110" s="23"/>
      <c r="I110" s="23"/>
      <c r="J110" s="23"/>
      <c r="K110" s="23"/>
      <c r="L110" s="23"/>
      <c r="M110" s="23"/>
      <c r="N110" s="23"/>
      <c r="O110" s="23"/>
      <c r="P110" s="4"/>
      <c r="Q110" s="23"/>
      <c r="R110" s="23"/>
      <c r="S110" s="4"/>
      <c r="T110" s="4"/>
      <c r="U110" s="4"/>
    </row>
    <row r="111" spans="1:21" x14ac:dyDescent="0.2">
      <c r="A111" s="774"/>
      <c r="B111" s="4"/>
      <c r="C111" s="23"/>
      <c r="D111" s="23"/>
      <c r="E111" s="23"/>
      <c r="F111" s="23"/>
      <c r="G111" s="23"/>
      <c r="H111" s="23"/>
      <c r="I111" s="23"/>
      <c r="J111" s="23"/>
      <c r="K111" s="23"/>
      <c r="L111" s="23"/>
      <c r="M111" s="23"/>
      <c r="N111" s="23"/>
      <c r="O111" s="23"/>
      <c r="P111" s="4"/>
      <c r="Q111" s="23"/>
      <c r="R111" s="23"/>
      <c r="S111" s="4"/>
      <c r="T111" s="4"/>
      <c r="U111" s="4"/>
    </row>
    <row r="112" spans="1:21" x14ac:dyDescent="0.2">
      <c r="A112" s="774"/>
      <c r="B112" s="4"/>
      <c r="C112" s="23"/>
      <c r="D112" s="23"/>
      <c r="E112" s="23"/>
      <c r="F112" s="23"/>
      <c r="G112" s="23"/>
      <c r="H112" s="23"/>
      <c r="I112" s="23"/>
      <c r="J112" s="23"/>
      <c r="K112" s="23"/>
      <c r="L112" s="23"/>
      <c r="M112" s="23"/>
      <c r="N112" s="23"/>
      <c r="O112" s="23"/>
      <c r="P112" s="4"/>
      <c r="Q112" s="23"/>
      <c r="R112" s="23"/>
      <c r="S112" s="4"/>
      <c r="T112" s="4"/>
      <c r="U112" s="4"/>
    </row>
    <row r="113" spans="1:21" x14ac:dyDescent="0.2">
      <c r="A113" s="774"/>
      <c r="B113" s="4"/>
      <c r="C113" s="23"/>
      <c r="D113" s="23"/>
      <c r="E113" s="23"/>
      <c r="F113" s="23"/>
      <c r="G113" s="23"/>
      <c r="H113" s="23"/>
      <c r="I113" s="23"/>
      <c r="J113" s="23"/>
      <c r="K113" s="23"/>
      <c r="L113" s="23"/>
      <c r="M113" s="23"/>
      <c r="N113" s="23"/>
      <c r="O113" s="23"/>
      <c r="P113" s="4"/>
      <c r="Q113" s="23"/>
      <c r="R113" s="23"/>
      <c r="S113" s="4"/>
      <c r="T113" s="4"/>
      <c r="U113" s="4"/>
    </row>
    <row r="114" spans="1:21" x14ac:dyDescent="0.2">
      <c r="A114" s="774"/>
      <c r="B114" s="4"/>
      <c r="C114" s="23"/>
      <c r="D114" s="23"/>
      <c r="E114" s="23"/>
      <c r="F114" s="23"/>
      <c r="G114" s="23"/>
      <c r="H114" s="23"/>
      <c r="I114" s="23"/>
      <c r="J114" s="23"/>
      <c r="K114" s="23"/>
      <c r="L114" s="23"/>
      <c r="M114" s="23"/>
      <c r="N114" s="23"/>
      <c r="O114" s="23"/>
      <c r="P114" s="4"/>
      <c r="Q114" s="23"/>
      <c r="R114" s="23"/>
      <c r="S114" s="4"/>
      <c r="T114" s="4"/>
      <c r="U114" s="4"/>
    </row>
    <row r="115" spans="1:21" x14ac:dyDescent="0.2">
      <c r="A115" s="774"/>
      <c r="B115" s="4"/>
      <c r="C115" s="23"/>
      <c r="D115" s="23"/>
      <c r="E115" s="23"/>
      <c r="F115" s="23"/>
      <c r="G115" s="23"/>
      <c r="H115" s="23"/>
      <c r="I115" s="23"/>
      <c r="J115" s="23"/>
      <c r="K115" s="23"/>
      <c r="L115" s="23"/>
      <c r="M115" s="23"/>
      <c r="N115" s="23"/>
      <c r="O115" s="23"/>
      <c r="P115" s="4"/>
      <c r="Q115" s="23"/>
      <c r="R115" s="23"/>
      <c r="S115" s="4"/>
      <c r="T115" s="4"/>
      <c r="U115" s="4"/>
    </row>
    <row r="116" spans="1:21" x14ac:dyDescent="0.2">
      <c r="A116" s="774"/>
      <c r="B116" s="4"/>
      <c r="C116" s="23"/>
      <c r="D116" s="23"/>
      <c r="E116" s="23"/>
      <c r="F116" s="23"/>
      <c r="G116" s="23"/>
      <c r="H116" s="23"/>
      <c r="I116" s="23"/>
      <c r="J116" s="23"/>
      <c r="K116" s="23"/>
      <c r="L116" s="23"/>
      <c r="M116" s="23"/>
      <c r="N116" s="23"/>
      <c r="O116" s="23"/>
      <c r="P116" s="4"/>
      <c r="Q116" s="23"/>
      <c r="R116" s="23"/>
      <c r="S116" s="4"/>
      <c r="T116" s="4"/>
      <c r="U116" s="4"/>
    </row>
    <row r="117" spans="1:21" x14ac:dyDescent="0.2">
      <c r="C117" s="212"/>
      <c r="D117" s="212"/>
      <c r="E117" s="212"/>
      <c r="F117" s="212"/>
      <c r="G117" s="212"/>
      <c r="H117" s="212"/>
      <c r="I117" s="212"/>
      <c r="J117" s="212"/>
      <c r="K117" s="212"/>
      <c r="L117" s="212"/>
      <c r="M117" s="212"/>
      <c r="N117" s="212"/>
      <c r="O117" s="212"/>
    </row>
    <row r="118" spans="1:21" x14ac:dyDescent="0.2">
      <c r="C118" s="212"/>
      <c r="D118" s="212"/>
      <c r="E118" s="212"/>
      <c r="F118" s="212"/>
      <c r="G118" s="212"/>
      <c r="H118" s="212"/>
      <c r="I118" s="212"/>
      <c r="J118" s="212"/>
      <c r="K118" s="212"/>
      <c r="L118" s="212"/>
      <c r="M118" s="212"/>
      <c r="N118" s="212"/>
      <c r="O118" s="212"/>
    </row>
    <row r="119" spans="1:21" x14ac:dyDescent="0.2">
      <c r="C119" s="212"/>
      <c r="D119" s="212"/>
      <c r="E119" s="212"/>
      <c r="F119" s="212"/>
      <c r="G119" s="212"/>
      <c r="H119" s="212"/>
      <c r="I119" s="212"/>
      <c r="J119" s="212"/>
      <c r="K119" s="212"/>
      <c r="L119" s="212"/>
      <c r="M119" s="212"/>
      <c r="N119" s="212"/>
      <c r="O119" s="212"/>
    </row>
    <row r="120" spans="1:21" x14ac:dyDescent="0.2">
      <c r="C120" s="212"/>
      <c r="D120" s="212"/>
      <c r="E120" s="212"/>
      <c r="F120" s="212"/>
      <c r="G120" s="212"/>
      <c r="H120" s="212"/>
      <c r="I120" s="212"/>
      <c r="J120" s="212"/>
      <c r="K120" s="212"/>
      <c r="L120" s="212"/>
      <c r="M120" s="212"/>
      <c r="N120" s="212"/>
      <c r="O120" s="212"/>
    </row>
    <row r="121" spans="1:21" x14ac:dyDescent="0.2">
      <c r="C121" s="212"/>
      <c r="D121" s="212"/>
      <c r="E121" s="212"/>
      <c r="F121" s="212"/>
      <c r="G121" s="212"/>
      <c r="H121" s="212"/>
      <c r="I121" s="212"/>
      <c r="J121" s="212"/>
      <c r="K121" s="212"/>
      <c r="L121" s="212"/>
      <c r="M121" s="212"/>
      <c r="N121" s="212"/>
      <c r="O121" s="212"/>
    </row>
    <row r="122" spans="1:21" x14ac:dyDescent="0.2">
      <c r="C122" s="212"/>
      <c r="D122" s="212"/>
      <c r="E122" s="212"/>
      <c r="F122" s="212"/>
      <c r="G122" s="212"/>
      <c r="H122" s="212"/>
      <c r="I122" s="212"/>
      <c r="J122" s="212"/>
      <c r="K122" s="212"/>
      <c r="L122" s="212"/>
      <c r="M122" s="212"/>
      <c r="N122" s="212"/>
      <c r="O122" s="212"/>
    </row>
    <row r="123" spans="1:21" x14ac:dyDescent="0.2">
      <c r="C123" s="212"/>
      <c r="D123" s="212"/>
      <c r="E123" s="212"/>
      <c r="F123" s="212"/>
      <c r="G123" s="212"/>
      <c r="H123" s="212"/>
      <c r="I123" s="212"/>
      <c r="J123" s="212"/>
      <c r="K123" s="212"/>
      <c r="L123" s="212"/>
      <c r="M123" s="212"/>
      <c r="N123" s="212"/>
      <c r="O123" s="212"/>
    </row>
    <row r="124" spans="1:21" x14ac:dyDescent="0.2">
      <c r="C124" s="212"/>
      <c r="D124" s="212"/>
      <c r="E124" s="212"/>
      <c r="F124" s="212"/>
      <c r="G124" s="212"/>
      <c r="H124" s="212"/>
      <c r="I124" s="212"/>
      <c r="J124" s="212"/>
      <c r="K124" s="212"/>
      <c r="L124" s="212"/>
      <c r="M124" s="212"/>
      <c r="N124" s="212"/>
      <c r="O124" s="212"/>
    </row>
    <row r="125" spans="1:21" x14ac:dyDescent="0.2">
      <c r="C125" s="212"/>
      <c r="D125" s="212"/>
      <c r="E125" s="212"/>
      <c r="F125" s="212"/>
      <c r="G125" s="212"/>
      <c r="H125" s="212"/>
      <c r="I125" s="212"/>
      <c r="J125" s="212"/>
      <c r="K125" s="212"/>
      <c r="L125" s="212"/>
      <c r="M125" s="212"/>
      <c r="N125" s="212"/>
      <c r="O125" s="212"/>
    </row>
    <row r="126" spans="1:21" x14ac:dyDescent="0.2">
      <c r="C126" s="212"/>
      <c r="D126" s="212"/>
      <c r="E126" s="212"/>
      <c r="F126" s="212"/>
      <c r="G126" s="212"/>
      <c r="H126" s="212"/>
      <c r="I126" s="212"/>
      <c r="J126" s="212"/>
      <c r="K126" s="212"/>
      <c r="L126" s="212"/>
      <c r="M126" s="212"/>
      <c r="N126" s="212"/>
      <c r="O126" s="212"/>
    </row>
    <row r="127" spans="1:21" x14ac:dyDescent="0.2">
      <c r="C127" s="212"/>
      <c r="D127" s="212"/>
      <c r="E127" s="212"/>
      <c r="F127" s="212"/>
      <c r="G127" s="212"/>
      <c r="H127" s="212"/>
      <c r="I127" s="212"/>
      <c r="J127" s="212"/>
      <c r="K127" s="212"/>
      <c r="L127" s="212"/>
      <c r="M127" s="212"/>
      <c r="N127" s="212"/>
      <c r="O127" s="212"/>
    </row>
    <row r="128" spans="1:21" x14ac:dyDescent="0.2">
      <c r="C128" s="212"/>
      <c r="D128" s="212"/>
      <c r="E128" s="212"/>
      <c r="F128" s="212"/>
      <c r="G128" s="212"/>
      <c r="H128" s="212"/>
      <c r="I128" s="212"/>
      <c r="J128" s="212"/>
      <c r="K128" s="212"/>
      <c r="L128" s="212"/>
      <c r="M128" s="212"/>
      <c r="N128" s="212"/>
      <c r="O128" s="212"/>
    </row>
    <row r="129" spans="3:3" x14ac:dyDescent="0.2">
      <c r="C129" s="212"/>
    </row>
    <row r="130" spans="3:3" x14ac:dyDescent="0.2">
      <c r="C130" s="212"/>
    </row>
    <row r="131" spans="3:3" x14ac:dyDescent="0.2">
      <c r="C131" s="212"/>
    </row>
    <row r="132" spans="3:3" x14ac:dyDescent="0.2">
      <c r="C132" s="212"/>
    </row>
    <row r="133" spans="3:3" x14ac:dyDescent="0.2">
      <c r="C133" s="212"/>
    </row>
    <row r="134" spans="3:3" x14ac:dyDescent="0.2">
      <c r="C134" s="212"/>
    </row>
    <row r="135" spans="3:3" x14ac:dyDescent="0.2">
      <c r="C135" s="212"/>
    </row>
    <row r="136" spans="3:3" x14ac:dyDescent="0.2">
      <c r="C136" s="212"/>
    </row>
    <row r="137" spans="3:3" x14ac:dyDescent="0.2">
      <c r="C137" s="212"/>
    </row>
    <row r="138" spans="3:3" x14ac:dyDescent="0.2">
      <c r="C138" s="212"/>
    </row>
    <row r="139" spans="3:3" x14ac:dyDescent="0.2">
      <c r="C139" s="212"/>
    </row>
    <row r="140" spans="3:3" x14ac:dyDescent="0.2">
      <c r="C140" s="212"/>
    </row>
    <row r="141" spans="3:3" x14ac:dyDescent="0.2">
      <c r="C141" s="212"/>
    </row>
    <row r="142" spans="3:3" x14ac:dyDescent="0.2">
      <c r="C142" s="212"/>
    </row>
    <row r="143" spans="3:3" x14ac:dyDescent="0.2">
      <c r="C143" s="212"/>
    </row>
    <row r="144" spans="3:3" x14ac:dyDescent="0.2">
      <c r="C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row r="160" spans="3:3" x14ac:dyDescent="0.2">
      <c r="C160" s="212"/>
    </row>
    <row r="161" spans="3:3" x14ac:dyDescent="0.2">
      <c r="C161" s="212"/>
    </row>
    <row r="162" spans="3:3" x14ac:dyDescent="0.2">
      <c r="C162" s="212"/>
    </row>
    <row r="163" spans="3:3" x14ac:dyDescent="0.2">
      <c r="C163" s="212"/>
    </row>
    <row r="164" spans="3:3" x14ac:dyDescent="0.2">
      <c r="C164" s="212"/>
    </row>
    <row r="165" spans="3:3" x14ac:dyDescent="0.2">
      <c r="C165" s="212"/>
    </row>
    <row r="166" spans="3:3" x14ac:dyDescent="0.2">
      <c r="C166" s="212"/>
    </row>
    <row r="167" spans="3:3" x14ac:dyDescent="0.2">
      <c r="C167" s="212"/>
    </row>
    <row r="168" spans="3:3" x14ac:dyDescent="0.2">
      <c r="C168" s="212"/>
    </row>
    <row r="169" spans="3:3" x14ac:dyDescent="0.2">
      <c r="C169" s="212"/>
    </row>
  </sheetData>
  <phoneticPr fontId="0" type="noConversion"/>
  <hyperlinks>
    <hyperlink ref="A1" location="'Working Budget with funding det'!A1" display="Main " xr:uid="{00000000-0004-0000-0C00-000000000000}"/>
    <hyperlink ref="B1" location="'Table of Contents'!A1" display="TOC" xr:uid="{00000000-0004-0000-0C00-000001000000}"/>
  </hyperlinks>
  <pageMargins left="0.75" right="0.75" top="1" bottom="1" header="0.5" footer="0.5"/>
  <pageSetup scale="91" orientation="landscape" r:id="rId1"/>
  <headerFooter alignWithMargins="0">
    <oddFooter xml:space="preserve">&amp;L&amp;D     &amp;T&amp;C&amp;F&amp;R&amp;A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pageSetUpPr fitToPage="1"/>
  </sheetPr>
  <dimension ref="A1:V192"/>
  <sheetViews>
    <sheetView workbookViewId="0">
      <selection activeCell="P15" sqref="P15"/>
    </sheetView>
  </sheetViews>
  <sheetFormatPr defaultRowHeight="12.75" x14ac:dyDescent="0.2"/>
  <cols>
    <col min="1" max="1" width="8.83203125" style="783"/>
    <col min="2" max="2" width="36.6640625" customWidth="1"/>
    <col min="3" max="3" width="14.5" style="1" hidden="1" customWidth="1"/>
    <col min="4" max="12" width="14.5" style="106" hidden="1" customWidth="1"/>
    <col min="13" max="15" width="14.5" style="106" customWidth="1"/>
    <col min="16" max="16" width="14.5" customWidth="1"/>
    <col min="17" max="18" width="14.5" style="1" customWidth="1"/>
    <col min="19" max="21" width="14.5" customWidth="1"/>
    <col min="22" max="22" width="14.6640625" style="2" customWidth="1"/>
  </cols>
  <sheetData>
    <row r="1" spans="1:21" x14ac:dyDescent="0.2">
      <c r="A1" s="772" t="s">
        <v>847</v>
      </c>
      <c r="B1" s="308" t="s">
        <v>197</v>
      </c>
      <c r="D1" s="212"/>
      <c r="E1" s="212"/>
      <c r="F1" s="212"/>
      <c r="G1" s="212"/>
      <c r="H1" s="212"/>
      <c r="I1" s="212"/>
      <c r="J1" s="212"/>
      <c r="K1" s="212"/>
      <c r="L1" s="212"/>
      <c r="M1" s="212"/>
      <c r="N1" s="212"/>
      <c r="O1" s="212"/>
    </row>
    <row r="2" spans="1:21" ht="15" x14ac:dyDescent="0.25">
      <c r="A2" s="773" t="s">
        <v>815</v>
      </c>
      <c r="B2" s="43"/>
      <c r="D2" s="212"/>
      <c r="E2" s="126"/>
      <c r="F2" s="212"/>
      <c r="G2" s="212"/>
      <c r="H2" s="212"/>
      <c r="I2" s="126" t="s">
        <v>816</v>
      </c>
      <c r="J2" s="126"/>
      <c r="K2" s="126"/>
      <c r="L2" s="126"/>
      <c r="M2" s="126"/>
      <c r="N2" s="126"/>
      <c r="O2" s="126"/>
      <c r="P2" s="58" t="s">
        <v>622</v>
      </c>
      <c r="S2" s="44" t="s">
        <v>899</v>
      </c>
    </row>
    <row r="3" spans="1:21" ht="13.5" thickBot="1" x14ac:dyDescent="0.25">
      <c r="A3" s="774"/>
      <c r="B3" s="4"/>
      <c r="C3" s="23"/>
      <c r="D3" s="23"/>
      <c r="E3" s="23"/>
      <c r="F3" s="23"/>
      <c r="G3" s="23"/>
      <c r="H3" s="23"/>
      <c r="I3" s="23"/>
      <c r="J3" s="23"/>
      <c r="K3" s="23"/>
      <c r="L3" s="23"/>
      <c r="M3" s="23"/>
      <c r="N3" s="23"/>
      <c r="O3" s="23"/>
      <c r="P3" s="4"/>
      <c r="Q3" s="23"/>
      <c r="R3" s="23"/>
      <c r="S3" s="4"/>
      <c r="U3" s="4"/>
    </row>
    <row r="4" spans="1:21"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1"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1" x14ac:dyDescent="0.2">
      <c r="A6" s="776"/>
      <c r="B6" s="202"/>
      <c r="C6" s="113"/>
      <c r="D6" s="113"/>
      <c r="E6" s="113"/>
      <c r="F6" s="113"/>
      <c r="G6" s="113"/>
      <c r="H6" s="113"/>
      <c r="I6" s="83"/>
      <c r="J6" s="83"/>
      <c r="K6" s="83"/>
      <c r="L6" s="83"/>
      <c r="M6" s="83"/>
      <c r="N6" s="83"/>
      <c r="O6" s="83"/>
      <c r="P6" s="113"/>
      <c r="Q6" s="83" t="s">
        <v>823</v>
      </c>
      <c r="R6" s="83" t="s">
        <v>585</v>
      </c>
      <c r="S6" s="45" t="s">
        <v>824</v>
      </c>
    </row>
    <row r="7" spans="1:21"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1" ht="13.5" thickTop="1" x14ac:dyDescent="0.2">
      <c r="A8" s="796"/>
      <c r="B8" s="203"/>
      <c r="C8" s="118"/>
      <c r="D8" s="18"/>
      <c r="E8" s="18"/>
      <c r="F8" s="18"/>
      <c r="G8" s="18"/>
      <c r="H8" s="18"/>
      <c r="I8" s="18"/>
      <c r="J8" s="18"/>
      <c r="K8" s="19"/>
      <c r="L8" s="19"/>
      <c r="M8" s="19"/>
      <c r="N8" s="19"/>
      <c r="O8" s="19"/>
      <c r="P8" s="18"/>
      <c r="Q8" s="19"/>
      <c r="R8" s="19"/>
      <c r="S8" s="19"/>
    </row>
    <row r="9" spans="1:21" x14ac:dyDescent="0.2">
      <c r="A9" s="779"/>
      <c r="B9" s="60"/>
      <c r="C9" s="116"/>
      <c r="D9" s="13"/>
      <c r="E9" s="13"/>
      <c r="F9" s="13"/>
      <c r="G9" s="13"/>
      <c r="H9" s="13"/>
      <c r="I9" s="13"/>
      <c r="J9" s="13"/>
      <c r="K9" s="14"/>
      <c r="L9" s="14"/>
      <c r="M9" s="14"/>
      <c r="N9" s="14"/>
      <c r="O9" s="14"/>
      <c r="P9" s="13"/>
      <c r="Q9" s="14"/>
      <c r="R9" s="14"/>
      <c r="S9" s="14"/>
    </row>
    <row r="10" spans="1:21" ht="13.5" thickBot="1" x14ac:dyDescent="0.25">
      <c r="A10" s="779">
        <v>5780</v>
      </c>
      <c r="B10" s="60" t="s">
        <v>90</v>
      </c>
      <c r="C10" s="117">
        <v>44620</v>
      </c>
      <c r="D10" s="15">
        <v>24500</v>
      </c>
      <c r="E10" s="15">
        <v>41400</v>
      </c>
      <c r="F10" s="15">
        <v>55839.67</v>
      </c>
      <c r="G10" s="15">
        <v>58400.800000000003</v>
      </c>
      <c r="H10" s="15">
        <v>43309.74</v>
      </c>
      <c r="I10" s="15">
        <v>20200</v>
      </c>
      <c r="J10" s="15">
        <v>29700</v>
      </c>
      <c r="K10" s="16">
        <v>60000</v>
      </c>
      <c r="L10" s="16">
        <v>18500</v>
      </c>
      <c r="M10" s="16">
        <v>60000</v>
      </c>
      <c r="N10" s="16">
        <f>60000-31350</f>
        <v>28650</v>
      </c>
      <c r="O10" s="16">
        <v>50000</v>
      </c>
      <c r="P10" s="15">
        <v>40725</v>
      </c>
      <c r="Q10" s="16">
        <v>50000</v>
      </c>
      <c r="R10" s="16"/>
      <c r="S10" s="16"/>
    </row>
    <row r="11" spans="1:21" x14ac:dyDescent="0.2">
      <c r="A11" s="779"/>
      <c r="B11" s="61" t="s">
        <v>838</v>
      </c>
      <c r="C11" s="118">
        <f t="shared" ref="C11:Q11" si="0">+C10</f>
        <v>44620</v>
      </c>
      <c r="D11" s="18">
        <f t="shared" si="0"/>
        <v>24500</v>
      </c>
      <c r="E11" s="18">
        <f t="shared" si="0"/>
        <v>41400</v>
      </c>
      <c r="F11" s="18">
        <f>+F10</f>
        <v>55839.67</v>
      </c>
      <c r="G11" s="18">
        <f>+G10</f>
        <v>58400.800000000003</v>
      </c>
      <c r="H11" s="18">
        <f>+H10</f>
        <v>43309.74</v>
      </c>
      <c r="I11" s="18">
        <f t="shared" si="0"/>
        <v>20200</v>
      </c>
      <c r="J11" s="18">
        <f t="shared" ref="J11" si="1">+J10</f>
        <v>29700</v>
      </c>
      <c r="K11" s="34">
        <f t="shared" ref="K11:O11" si="2">+K10</f>
        <v>60000</v>
      </c>
      <c r="L11" s="34">
        <f t="shared" si="2"/>
        <v>18500</v>
      </c>
      <c r="M11" s="34">
        <f t="shared" si="2"/>
        <v>60000</v>
      </c>
      <c r="N11" s="34">
        <f t="shared" ref="N11" si="3">+N10</f>
        <v>28650</v>
      </c>
      <c r="O11" s="34">
        <f t="shared" si="2"/>
        <v>50000</v>
      </c>
      <c r="P11" s="18">
        <f t="shared" si="0"/>
        <v>40725</v>
      </c>
      <c r="Q11" s="34">
        <f t="shared" si="0"/>
        <v>50000</v>
      </c>
      <c r="R11" s="34"/>
      <c r="S11" s="34">
        <f>+S10</f>
        <v>0</v>
      </c>
    </row>
    <row r="12" spans="1:21" x14ac:dyDescent="0.2">
      <c r="A12" s="779"/>
      <c r="B12" s="60"/>
      <c r="C12" s="116"/>
      <c r="D12" s="13"/>
      <c r="E12" s="13"/>
      <c r="F12" s="13"/>
      <c r="G12" s="13"/>
      <c r="H12" s="13"/>
      <c r="I12" s="13"/>
      <c r="J12" s="13"/>
      <c r="K12" s="14"/>
      <c r="L12" s="14"/>
      <c r="M12" s="14"/>
      <c r="N12" s="14"/>
      <c r="O12" s="14"/>
      <c r="P12" s="13"/>
      <c r="Q12" s="14"/>
      <c r="R12" s="14"/>
      <c r="S12" s="14"/>
    </row>
    <row r="13" spans="1:21" x14ac:dyDescent="0.2">
      <c r="A13" s="779"/>
      <c r="B13" s="60"/>
      <c r="C13" s="116"/>
      <c r="D13" s="13"/>
      <c r="E13" s="13"/>
      <c r="F13" s="13"/>
      <c r="G13" s="13"/>
      <c r="H13" s="13"/>
      <c r="I13" s="13"/>
      <c r="J13" s="13"/>
      <c r="K13" s="14"/>
      <c r="L13" s="14"/>
      <c r="M13" s="14"/>
      <c r="N13" s="14"/>
      <c r="O13" s="14"/>
      <c r="P13" s="13"/>
      <c r="Q13" s="14"/>
      <c r="R13" s="14"/>
      <c r="S13" s="14"/>
    </row>
    <row r="14" spans="1:21" ht="13.5" thickBot="1" x14ac:dyDescent="0.25">
      <c r="A14" s="780"/>
      <c r="B14" s="602" t="s">
        <v>900</v>
      </c>
      <c r="C14" s="596">
        <f t="shared" ref="C14:Q14" si="4">+C11</f>
        <v>44620</v>
      </c>
      <c r="D14" s="21">
        <f t="shared" si="4"/>
        <v>24500</v>
      </c>
      <c r="E14" s="21">
        <f>+E11</f>
        <v>41400</v>
      </c>
      <c r="F14" s="21">
        <f>+F11</f>
        <v>55839.67</v>
      </c>
      <c r="G14" s="21">
        <f>+G11</f>
        <v>58400.800000000003</v>
      </c>
      <c r="H14" s="21">
        <f>+H11</f>
        <v>43309.74</v>
      </c>
      <c r="I14" s="21">
        <f t="shared" si="4"/>
        <v>20200</v>
      </c>
      <c r="J14" s="21">
        <f t="shared" ref="J14" si="5">+J11</f>
        <v>29700</v>
      </c>
      <c r="K14" s="22">
        <f t="shared" ref="K14:O14" si="6">+K11</f>
        <v>60000</v>
      </c>
      <c r="L14" s="22">
        <f t="shared" si="6"/>
        <v>18500</v>
      </c>
      <c r="M14" s="22">
        <f t="shared" si="6"/>
        <v>60000</v>
      </c>
      <c r="N14" s="22">
        <f t="shared" ref="N14" si="7">+N11</f>
        <v>28650</v>
      </c>
      <c r="O14" s="22">
        <f t="shared" si="6"/>
        <v>50000</v>
      </c>
      <c r="P14" s="21">
        <f t="shared" si="4"/>
        <v>40725</v>
      </c>
      <c r="Q14" s="22">
        <f t="shared" si="4"/>
        <v>50000</v>
      </c>
      <c r="R14" s="22">
        <f>+Q14</f>
        <v>50000</v>
      </c>
      <c r="S14" s="22">
        <f>+Q14</f>
        <v>50000</v>
      </c>
    </row>
    <row r="15" spans="1:21" ht="13.5" thickTop="1" x14ac:dyDescent="0.2">
      <c r="A15" s="774"/>
      <c r="B15" s="603"/>
      <c r="C15" s="24"/>
      <c r="D15" s="24"/>
      <c r="E15" s="24"/>
      <c r="F15" s="24"/>
      <c r="G15" s="24"/>
      <c r="H15" s="24"/>
      <c r="I15" s="24"/>
      <c r="J15" s="24"/>
      <c r="K15" s="24"/>
      <c r="L15" s="24"/>
      <c r="M15" s="24"/>
      <c r="N15" s="24"/>
      <c r="O15" s="24"/>
      <c r="P15" s="199" t="s">
        <v>843</v>
      </c>
      <c r="Q15" s="1116">
        <f>+Q14-O14</f>
        <v>0</v>
      </c>
      <c r="R15" s="1117">
        <f>ROUND((+Q15/O14),4)</f>
        <v>0</v>
      </c>
      <c r="S15" s="25"/>
      <c r="T15" s="25"/>
      <c r="U15" s="25"/>
    </row>
    <row r="16" spans="1:21" x14ac:dyDescent="0.2">
      <c r="A16" s="63"/>
      <c r="B16" s="603"/>
      <c r="C16" s="23"/>
      <c r="D16" s="23"/>
      <c r="E16" s="23"/>
      <c r="F16" s="23"/>
      <c r="G16" s="23"/>
      <c r="H16" s="23"/>
      <c r="I16" s="23"/>
      <c r="J16" s="23"/>
      <c r="K16" s="23"/>
      <c r="L16" s="23"/>
      <c r="M16" s="23"/>
      <c r="N16" s="23"/>
      <c r="O16" s="23"/>
      <c r="P16" s="25"/>
      <c r="Q16" s="277"/>
      <c r="R16" s="277"/>
      <c r="S16" s="567"/>
      <c r="T16" s="25"/>
      <c r="U16" s="25"/>
    </row>
    <row r="17" spans="1:21" x14ac:dyDescent="0.2">
      <c r="A17" s="774"/>
      <c r="B17" s="4"/>
      <c r="C17" s="23"/>
      <c r="D17" s="23"/>
      <c r="E17" s="23"/>
      <c r="F17" s="23"/>
      <c r="G17" s="23"/>
      <c r="H17" s="616"/>
      <c r="I17" s="616"/>
      <c r="J17" s="616"/>
      <c r="K17" s="25"/>
      <c r="L17" s="25"/>
      <c r="M17" s="25"/>
      <c r="N17" s="25"/>
      <c r="O17" s="25"/>
      <c r="P17" s="617"/>
      <c r="Q17" s="24"/>
      <c r="R17" s="24"/>
      <c r="S17" s="25"/>
      <c r="T17" s="25"/>
      <c r="U17" s="25"/>
    </row>
    <row r="18" spans="1:21" x14ac:dyDescent="0.2">
      <c r="A18" s="774"/>
      <c r="B18" s="4"/>
      <c r="C18" s="24"/>
      <c r="D18" s="24"/>
      <c r="E18" s="24"/>
      <c r="F18" s="24"/>
      <c r="G18" s="24"/>
      <c r="H18" s="24"/>
      <c r="I18" s="24"/>
      <c r="J18" s="24"/>
      <c r="K18" s="24"/>
      <c r="L18" s="24"/>
      <c r="M18" s="24"/>
      <c r="N18" s="24"/>
      <c r="O18" s="24"/>
      <c r="P18" s="25"/>
      <c r="Q18" s="24"/>
      <c r="R18" s="24"/>
      <c r="S18" s="25"/>
      <c r="T18" s="25"/>
      <c r="U18" s="25"/>
    </row>
    <row r="19" spans="1:21" x14ac:dyDescent="0.2">
      <c r="A19" s="774"/>
      <c r="B19" s="4"/>
      <c r="C19" s="24"/>
      <c r="D19" s="24"/>
      <c r="E19" s="24"/>
      <c r="F19" s="24"/>
      <c r="G19" s="24"/>
      <c r="H19" s="24"/>
      <c r="I19" s="24"/>
      <c r="J19" s="24"/>
      <c r="K19" s="24"/>
      <c r="L19" s="24"/>
      <c r="M19" s="24"/>
      <c r="N19" s="24"/>
      <c r="O19" s="24"/>
      <c r="P19" s="25"/>
      <c r="Q19" s="24"/>
      <c r="R19" s="24"/>
      <c r="S19" s="25"/>
      <c r="T19" s="25"/>
      <c r="U19" s="25"/>
    </row>
    <row r="20" spans="1:21" x14ac:dyDescent="0.2">
      <c r="A20" s="774"/>
      <c r="B20" s="4"/>
      <c r="C20" s="24"/>
      <c r="D20" s="24"/>
      <c r="E20" s="24"/>
      <c r="F20" s="24"/>
      <c r="G20" s="24"/>
      <c r="H20" s="24"/>
      <c r="I20" s="24"/>
      <c r="J20" s="24"/>
      <c r="K20" s="24"/>
      <c r="L20" s="24"/>
      <c r="M20" s="24"/>
      <c r="N20" s="24"/>
      <c r="O20" s="24"/>
      <c r="P20" s="25"/>
      <c r="Q20" s="24"/>
      <c r="R20" s="24"/>
      <c r="S20" s="25"/>
      <c r="T20" s="25"/>
      <c r="U20" s="25"/>
    </row>
    <row r="21" spans="1:21" x14ac:dyDescent="0.2">
      <c r="A21" s="774"/>
      <c r="B21" s="4"/>
      <c r="C21" s="24"/>
      <c r="D21" s="24"/>
      <c r="E21" s="24"/>
      <c r="F21" s="24"/>
      <c r="G21" s="24"/>
      <c r="H21" s="24"/>
      <c r="I21" s="24"/>
      <c r="J21" s="24"/>
      <c r="K21" s="24"/>
      <c r="L21" s="24"/>
      <c r="M21" s="24"/>
      <c r="N21" s="24"/>
      <c r="O21" s="24"/>
      <c r="P21" s="25"/>
      <c r="Q21" s="24"/>
      <c r="R21" s="24"/>
      <c r="S21" s="25"/>
      <c r="T21" s="25"/>
      <c r="U21" s="25"/>
    </row>
    <row r="22" spans="1:21" x14ac:dyDescent="0.2">
      <c r="A22" s="774"/>
      <c r="B22" s="4"/>
      <c r="C22" s="24"/>
      <c r="D22" s="24"/>
      <c r="E22" s="24"/>
      <c r="F22" s="24"/>
      <c r="G22" s="24"/>
      <c r="H22" s="24"/>
      <c r="I22" s="24"/>
      <c r="J22" s="24"/>
      <c r="K22" s="24"/>
      <c r="L22" s="24"/>
      <c r="M22" s="24"/>
      <c r="N22" s="24"/>
      <c r="O22" s="24"/>
      <c r="P22" s="25"/>
      <c r="Q22" s="24"/>
      <c r="R22" s="24"/>
      <c r="S22" s="25"/>
      <c r="T22" s="25"/>
      <c r="U22" s="25"/>
    </row>
    <row r="23" spans="1:21" x14ac:dyDescent="0.2">
      <c r="A23" s="774"/>
      <c r="B23" s="4"/>
      <c r="C23" s="24"/>
      <c r="D23" s="24"/>
      <c r="E23" s="24"/>
      <c r="F23" s="24"/>
      <c r="G23" s="24"/>
      <c r="H23" s="24"/>
      <c r="I23" s="24"/>
      <c r="J23" s="24"/>
      <c r="K23" s="24"/>
      <c r="L23" s="24"/>
      <c r="M23" s="24"/>
      <c r="N23" s="24"/>
      <c r="O23" s="24"/>
      <c r="P23" s="25"/>
      <c r="Q23" s="24"/>
      <c r="R23" s="24"/>
      <c r="S23" s="25"/>
      <c r="T23" s="25"/>
      <c r="U23" s="25"/>
    </row>
    <row r="24" spans="1:21" x14ac:dyDescent="0.2">
      <c r="A24" s="774"/>
      <c r="B24" s="4"/>
      <c r="C24" s="24"/>
      <c r="D24" s="24"/>
      <c r="E24" s="24"/>
      <c r="F24" s="24"/>
      <c r="G24" s="24"/>
      <c r="H24" s="24"/>
      <c r="I24" s="24"/>
      <c r="J24" s="24"/>
      <c r="K24" s="24"/>
      <c r="L24" s="24"/>
      <c r="M24" s="24"/>
      <c r="N24" s="24"/>
      <c r="O24" s="24"/>
      <c r="P24" s="25"/>
      <c r="Q24" s="24"/>
      <c r="R24" s="24"/>
      <c r="S24" s="25"/>
      <c r="T24" s="25"/>
      <c r="U24" s="25"/>
    </row>
    <row r="25" spans="1:21" x14ac:dyDescent="0.2">
      <c r="A25" s="774"/>
      <c r="B25" s="4"/>
      <c r="C25" s="24"/>
      <c r="D25" s="24"/>
      <c r="E25" s="24"/>
      <c r="F25" s="24"/>
      <c r="G25" s="24"/>
      <c r="H25" s="24"/>
      <c r="I25" s="24"/>
      <c r="J25" s="24"/>
      <c r="K25" s="24"/>
      <c r="L25" s="24"/>
      <c r="M25" s="24"/>
      <c r="N25" s="24"/>
      <c r="O25" s="24"/>
      <c r="P25" s="25"/>
      <c r="Q25" s="24"/>
      <c r="R25" s="24"/>
      <c r="S25" s="25"/>
      <c r="T25" s="25"/>
      <c r="U25" s="25"/>
    </row>
    <row r="26" spans="1:21" x14ac:dyDescent="0.2">
      <c r="A26" s="774"/>
      <c r="B26" s="4"/>
      <c r="C26" s="24"/>
      <c r="D26" s="24"/>
      <c r="E26" s="24"/>
      <c r="F26" s="24"/>
      <c r="G26" s="24"/>
      <c r="H26" s="24"/>
      <c r="I26" s="24"/>
      <c r="J26" s="24"/>
      <c r="K26" s="24"/>
      <c r="L26" s="24"/>
      <c r="M26" s="24"/>
      <c r="N26" s="24"/>
      <c r="O26" s="24"/>
      <c r="P26" s="25"/>
      <c r="Q26" s="24"/>
      <c r="R26" s="24"/>
      <c r="S26" s="25"/>
      <c r="T26" s="25"/>
      <c r="U26" s="25"/>
    </row>
    <row r="27" spans="1:21" x14ac:dyDescent="0.2">
      <c r="A27" s="774"/>
      <c r="B27" s="4"/>
      <c r="C27" s="23"/>
      <c r="D27" s="23"/>
      <c r="E27" s="23"/>
      <c r="F27" s="23"/>
      <c r="G27" s="23"/>
      <c r="H27" s="23"/>
      <c r="I27" s="23"/>
      <c r="J27" s="23"/>
      <c r="K27" s="23"/>
      <c r="L27" s="23"/>
      <c r="M27" s="23"/>
      <c r="N27" s="23"/>
      <c r="O27" s="23"/>
      <c r="P27" s="25"/>
      <c r="Q27" s="23"/>
      <c r="R27" s="23"/>
      <c r="S27" s="25"/>
      <c r="T27" s="25"/>
      <c r="U27" s="25"/>
    </row>
    <row r="28" spans="1:21" x14ac:dyDescent="0.2">
      <c r="A28" s="774"/>
      <c r="B28" s="4"/>
      <c r="C28" s="23"/>
      <c r="D28" s="23"/>
      <c r="E28" s="23"/>
      <c r="F28" s="23"/>
      <c r="G28" s="23"/>
      <c r="H28" s="23"/>
      <c r="I28" s="23"/>
      <c r="J28" s="23"/>
      <c r="K28" s="23"/>
      <c r="L28" s="23"/>
      <c r="M28" s="23"/>
      <c r="N28" s="23"/>
      <c r="O28" s="23"/>
      <c r="P28" s="25"/>
      <c r="Q28" s="23"/>
      <c r="R28" s="23"/>
      <c r="S28" s="25"/>
      <c r="T28" s="25"/>
      <c r="U28" s="25"/>
    </row>
    <row r="29" spans="1:21" x14ac:dyDescent="0.2">
      <c r="A29" s="774"/>
      <c r="B29" s="4"/>
      <c r="C29" s="23"/>
      <c r="D29" s="23"/>
      <c r="E29" s="23"/>
      <c r="F29" s="23"/>
      <c r="G29" s="23"/>
      <c r="H29" s="23"/>
      <c r="I29" s="23"/>
      <c r="J29" s="23"/>
      <c r="K29" s="23"/>
      <c r="L29" s="23"/>
      <c r="M29" s="23"/>
      <c r="N29" s="23"/>
      <c r="O29" s="23"/>
      <c r="P29" s="25"/>
      <c r="Q29" s="23"/>
      <c r="R29" s="23"/>
      <c r="S29" s="25"/>
      <c r="T29" s="25"/>
      <c r="U29" s="25"/>
    </row>
    <row r="30" spans="1:21" x14ac:dyDescent="0.2">
      <c r="A30" s="774"/>
      <c r="B30" s="4"/>
      <c r="C30" s="23"/>
      <c r="D30" s="23"/>
      <c r="E30" s="23"/>
      <c r="F30" s="23"/>
      <c r="G30" s="23"/>
      <c r="H30" s="23"/>
      <c r="I30" s="23"/>
      <c r="J30" s="23"/>
      <c r="K30" s="23"/>
      <c r="L30" s="23"/>
      <c r="M30" s="23"/>
      <c r="N30" s="23"/>
      <c r="O30" s="23"/>
      <c r="P30" s="25"/>
      <c r="Q30" s="23"/>
      <c r="R30" s="23"/>
      <c r="S30" s="25"/>
      <c r="T30" s="25"/>
      <c r="U30" s="25"/>
    </row>
    <row r="31" spans="1:21" x14ac:dyDescent="0.2">
      <c r="A31" s="774"/>
      <c r="B31" s="4"/>
      <c r="C31" s="23"/>
      <c r="D31" s="23"/>
      <c r="E31" s="23"/>
      <c r="F31" s="23"/>
      <c r="G31" s="23"/>
      <c r="H31" s="23"/>
      <c r="I31" s="23"/>
      <c r="J31" s="23"/>
      <c r="K31" s="23"/>
      <c r="L31" s="23"/>
      <c r="M31" s="23"/>
      <c r="N31" s="23"/>
      <c r="O31" s="23"/>
      <c r="P31" s="25"/>
      <c r="Q31" s="23"/>
      <c r="R31" s="23"/>
      <c r="S31" s="25"/>
      <c r="T31" s="25"/>
      <c r="U31" s="25"/>
    </row>
    <row r="32" spans="1:21" x14ac:dyDescent="0.2">
      <c r="A32" s="774"/>
      <c r="B32" s="4"/>
      <c r="C32" s="23"/>
      <c r="D32" s="23"/>
      <c r="E32" s="23"/>
      <c r="F32" s="23"/>
      <c r="G32" s="23"/>
      <c r="H32" s="23"/>
      <c r="I32" s="23"/>
      <c r="J32" s="23"/>
      <c r="K32" s="23"/>
      <c r="L32" s="23"/>
      <c r="M32" s="23"/>
      <c r="N32" s="23"/>
      <c r="O32" s="23"/>
      <c r="P32" s="25"/>
      <c r="Q32" s="23"/>
      <c r="R32" s="23"/>
      <c r="S32" s="25"/>
      <c r="T32" s="25"/>
      <c r="U32" s="25"/>
    </row>
    <row r="33" spans="1:21" x14ac:dyDescent="0.2">
      <c r="A33" s="774"/>
      <c r="B33" s="4"/>
      <c r="C33" s="23"/>
      <c r="D33" s="23"/>
      <c r="E33" s="23"/>
      <c r="F33" s="23"/>
      <c r="G33" s="23"/>
      <c r="H33" s="23"/>
      <c r="I33" s="23"/>
      <c r="J33" s="23"/>
      <c r="K33" s="23"/>
      <c r="L33" s="23"/>
      <c r="M33" s="23"/>
      <c r="N33" s="23"/>
      <c r="O33" s="23"/>
      <c r="P33" s="25"/>
      <c r="Q33" s="23"/>
      <c r="R33" s="23"/>
      <c r="S33" s="25"/>
      <c r="T33" s="25"/>
      <c r="U33" s="25"/>
    </row>
    <row r="34" spans="1:21" x14ac:dyDescent="0.2">
      <c r="A34" s="774"/>
      <c r="B34" s="4"/>
      <c r="C34" s="23"/>
      <c r="D34" s="23"/>
      <c r="E34" s="23"/>
      <c r="F34" s="23"/>
      <c r="G34" s="23"/>
      <c r="H34" s="23"/>
      <c r="I34" s="23"/>
      <c r="J34" s="23"/>
      <c r="K34" s="23"/>
      <c r="L34" s="23"/>
      <c r="M34" s="23"/>
      <c r="N34" s="23"/>
      <c r="O34" s="23"/>
      <c r="P34" s="25"/>
      <c r="Q34" s="23"/>
      <c r="R34" s="23"/>
      <c r="S34" s="25"/>
      <c r="T34" s="25"/>
      <c r="U34" s="25"/>
    </row>
    <row r="35" spans="1:21" x14ac:dyDescent="0.2">
      <c r="A35" s="774"/>
      <c r="B35" s="4"/>
      <c r="C35" s="23"/>
      <c r="D35" s="23"/>
      <c r="E35" s="23"/>
      <c r="F35" s="23"/>
      <c r="G35" s="23"/>
      <c r="H35" s="23"/>
      <c r="I35" s="23"/>
      <c r="J35" s="23"/>
      <c r="K35" s="23"/>
      <c r="L35" s="23"/>
      <c r="M35" s="23"/>
      <c r="N35" s="23"/>
      <c r="O35" s="23"/>
      <c r="P35" s="25"/>
      <c r="Q35" s="23"/>
      <c r="R35" s="23"/>
      <c r="S35" s="25"/>
      <c r="T35" s="25"/>
      <c r="U35" s="25"/>
    </row>
    <row r="36" spans="1:21" x14ac:dyDescent="0.2">
      <c r="A36" s="774"/>
      <c r="B36" s="4"/>
      <c r="C36" s="23"/>
      <c r="D36" s="23"/>
      <c r="E36" s="23"/>
      <c r="F36" s="23"/>
      <c r="G36" s="23"/>
      <c r="H36" s="23"/>
      <c r="I36" s="23"/>
      <c r="J36" s="23"/>
      <c r="K36" s="23"/>
      <c r="L36" s="23"/>
      <c r="M36" s="23"/>
      <c r="N36" s="23"/>
      <c r="O36" s="23"/>
      <c r="P36" s="25"/>
      <c r="Q36" s="23"/>
      <c r="R36" s="23"/>
      <c r="S36" s="25"/>
      <c r="T36" s="25"/>
      <c r="U36" s="25"/>
    </row>
    <row r="37" spans="1:21" x14ac:dyDescent="0.2">
      <c r="A37" s="774"/>
      <c r="B37" s="4"/>
      <c r="C37" s="23"/>
      <c r="D37" s="23"/>
      <c r="E37" s="23"/>
      <c r="F37" s="23"/>
      <c r="G37" s="23"/>
      <c r="H37" s="23"/>
      <c r="I37" s="23"/>
      <c r="J37" s="23"/>
      <c r="K37" s="23"/>
      <c r="L37" s="23"/>
      <c r="M37" s="23"/>
      <c r="N37" s="23"/>
      <c r="O37" s="23"/>
      <c r="P37" s="25"/>
      <c r="Q37" s="23"/>
      <c r="R37" s="23"/>
      <c r="S37" s="25"/>
      <c r="T37" s="25"/>
      <c r="U37" s="25"/>
    </row>
    <row r="38" spans="1:21" x14ac:dyDescent="0.2">
      <c r="A38" s="774"/>
      <c r="B38" s="4"/>
      <c r="C38" s="23"/>
      <c r="D38" s="23"/>
      <c r="E38" s="23"/>
      <c r="F38" s="23"/>
      <c r="G38" s="23"/>
      <c r="H38" s="23"/>
      <c r="I38" s="23"/>
      <c r="J38" s="23"/>
      <c r="K38" s="23"/>
      <c r="L38" s="23"/>
      <c r="M38" s="23"/>
      <c r="N38" s="23"/>
      <c r="O38" s="23"/>
      <c r="P38" s="25"/>
      <c r="Q38" s="23"/>
      <c r="R38" s="23"/>
      <c r="S38" s="25"/>
      <c r="T38" s="25"/>
      <c r="U38" s="25"/>
    </row>
    <row r="39" spans="1:21" x14ac:dyDescent="0.2">
      <c r="A39" s="774"/>
      <c r="B39" s="4"/>
      <c r="C39" s="23"/>
      <c r="D39" s="23"/>
      <c r="E39" s="23"/>
      <c r="F39" s="23"/>
      <c r="G39" s="23"/>
      <c r="H39" s="23"/>
      <c r="I39" s="23"/>
      <c r="J39" s="23"/>
      <c r="K39" s="23"/>
      <c r="L39" s="23"/>
      <c r="M39" s="23"/>
      <c r="N39" s="23"/>
      <c r="O39" s="23"/>
      <c r="P39" s="25"/>
      <c r="Q39" s="23"/>
      <c r="R39" s="23"/>
      <c r="S39" s="25"/>
      <c r="T39" s="25"/>
      <c r="U39" s="25"/>
    </row>
    <row r="40" spans="1:21" x14ac:dyDescent="0.2">
      <c r="A40" s="774"/>
      <c r="B40" s="4"/>
      <c r="C40" s="23"/>
      <c r="D40" s="23"/>
      <c r="E40" s="23"/>
      <c r="F40" s="23"/>
      <c r="G40" s="23"/>
      <c r="H40" s="23"/>
      <c r="I40" s="23"/>
      <c r="J40" s="23"/>
      <c r="K40" s="23"/>
      <c r="L40" s="23"/>
      <c r="M40" s="23"/>
      <c r="N40" s="23"/>
      <c r="O40" s="23"/>
      <c r="P40" s="25"/>
      <c r="Q40" s="23"/>
      <c r="R40" s="23"/>
      <c r="S40" s="25"/>
      <c r="T40" s="25"/>
      <c r="U40" s="25"/>
    </row>
    <row r="41" spans="1:21" x14ac:dyDescent="0.2">
      <c r="A41" s="774"/>
      <c r="B41" s="4"/>
      <c r="C41" s="23"/>
      <c r="D41" s="23"/>
      <c r="E41" s="23"/>
      <c r="F41" s="23"/>
      <c r="G41" s="23"/>
      <c r="H41" s="23"/>
      <c r="I41" s="23"/>
      <c r="J41" s="23"/>
      <c r="K41" s="23"/>
      <c r="L41" s="23"/>
      <c r="M41" s="23"/>
      <c r="N41" s="23"/>
      <c r="O41" s="23"/>
      <c r="P41" s="25"/>
      <c r="Q41" s="23"/>
      <c r="R41" s="23"/>
      <c r="S41" s="25"/>
      <c r="T41" s="25"/>
      <c r="U41" s="25"/>
    </row>
    <row r="42" spans="1:21" x14ac:dyDescent="0.2">
      <c r="A42" s="774"/>
      <c r="B42" s="4"/>
      <c r="C42" s="23"/>
      <c r="D42" s="23"/>
      <c r="E42" s="23"/>
      <c r="F42" s="23"/>
      <c r="G42" s="23"/>
      <c r="H42" s="23"/>
      <c r="I42" s="23"/>
      <c r="J42" s="23"/>
      <c r="K42" s="23"/>
      <c r="L42" s="23"/>
      <c r="M42" s="23"/>
      <c r="N42" s="23"/>
      <c r="O42" s="23"/>
      <c r="P42" s="25"/>
      <c r="Q42" s="23"/>
      <c r="R42" s="23"/>
      <c r="S42" s="25"/>
      <c r="T42" s="25"/>
      <c r="U42" s="25"/>
    </row>
    <row r="43" spans="1:21" x14ac:dyDescent="0.2">
      <c r="A43" s="774"/>
      <c r="B43" s="4"/>
      <c r="C43" s="23"/>
      <c r="D43" s="23"/>
      <c r="E43" s="23"/>
      <c r="F43" s="23"/>
      <c r="G43" s="23"/>
      <c r="H43" s="23"/>
      <c r="I43" s="23"/>
      <c r="J43" s="23"/>
      <c r="K43" s="23"/>
      <c r="L43" s="23"/>
      <c r="M43" s="23"/>
      <c r="N43" s="23"/>
      <c r="O43" s="23"/>
      <c r="P43" s="25"/>
      <c r="Q43" s="23"/>
      <c r="R43" s="23"/>
      <c r="S43" s="25"/>
      <c r="T43" s="25"/>
      <c r="U43" s="25"/>
    </row>
    <row r="44" spans="1:21" x14ac:dyDescent="0.2">
      <c r="A44" s="774"/>
      <c r="B44" s="4"/>
      <c r="C44" s="23"/>
      <c r="D44" s="23"/>
      <c r="E44" s="23"/>
      <c r="F44" s="23"/>
      <c r="G44" s="23"/>
      <c r="H44" s="23"/>
      <c r="I44" s="23"/>
      <c r="J44" s="23"/>
      <c r="K44" s="23"/>
      <c r="L44" s="23"/>
      <c r="M44" s="23"/>
      <c r="N44" s="23"/>
      <c r="O44" s="23"/>
      <c r="P44" s="25"/>
      <c r="Q44" s="23"/>
      <c r="R44" s="23"/>
      <c r="S44" s="25"/>
      <c r="T44" s="25"/>
      <c r="U44" s="25"/>
    </row>
    <row r="45" spans="1:21" x14ac:dyDescent="0.2">
      <c r="A45" s="774"/>
      <c r="B45" s="4"/>
      <c r="C45" s="23"/>
      <c r="D45" s="23"/>
      <c r="E45" s="23"/>
      <c r="F45" s="23"/>
      <c r="G45" s="23"/>
      <c r="H45" s="23"/>
      <c r="I45" s="23"/>
      <c r="J45" s="23"/>
      <c r="K45" s="23"/>
      <c r="L45" s="23"/>
      <c r="M45" s="23"/>
      <c r="N45" s="23"/>
      <c r="O45" s="23"/>
      <c r="P45" s="25"/>
      <c r="Q45" s="23"/>
      <c r="R45" s="23"/>
      <c r="S45" s="25"/>
      <c r="T45" s="25"/>
      <c r="U45" s="25"/>
    </row>
    <row r="46" spans="1:21" x14ac:dyDescent="0.2">
      <c r="A46" s="774"/>
      <c r="B46" s="4"/>
      <c r="C46" s="23"/>
      <c r="D46" s="23"/>
      <c r="E46" s="23"/>
      <c r="F46" s="23"/>
      <c r="G46" s="23"/>
      <c r="H46" s="23"/>
      <c r="I46" s="23"/>
      <c r="J46" s="23"/>
      <c r="K46" s="23"/>
      <c r="L46" s="23"/>
      <c r="M46" s="23"/>
      <c r="N46" s="23"/>
      <c r="O46" s="23"/>
      <c r="P46" s="25"/>
      <c r="Q46" s="23"/>
      <c r="R46" s="23"/>
      <c r="S46" s="25"/>
      <c r="T46" s="25"/>
      <c r="U46" s="25"/>
    </row>
    <row r="47" spans="1:21" x14ac:dyDescent="0.2">
      <c r="A47" s="774"/>
      <c r="B47" s="4"/>
      <c r="C47" s="23"/>
      <c r="D47" s="23"/>
      <c r="E47" s="23"/>
      <c r="F47" s="23"/>
      <c r="G47" s="23"/>
      <c r="H47" s="23"/>
      <c r="I47" s="23"/>
      <c r="J47" s="23"/>
      <c r="K47" s="23"/>
      <c r="L47" s="23"/>
      <c r="M47" s="23"/>
      <c r="N47" s="23"/>
      <c r="O47" s="23"/>
      <c r="P47" s="25"/>
      <c r="Q47" s="23"/>
      <c r="R47" s="23"/>
      <c r="S47" s="25"/>
      <c r="T47" s="25"/>
      <c r="U47" s="25"/>
    </row>
    <row r="48" spans="1:21" x14ac:dyDescent="0.2">
      <c r="A48" s="774"/>
      <c r="B48" s="4"/>
      <c r="C48" s="23"/>
      <c r="D48" s="23"/>
      <c r="E48" s="23"/>
      <c r="F48" s="23"/>
      <c r="G48" s="23"/>
      <c r="H48" s="23"/>
      <c r="I48" s="23"/>
      <c r="J48" s="23"/>
      <c r="K48" s="23"/>
      <c r="L48" s="23"/>
      <c r="M48" s="23"/>
      <c r="N48" s="23"/>
      <c r="O48" s="23"/>
      <c r="P48" s="25"/>
      <c r="Q48" s="23"/>
      <c r="R48" s="23"/>
      <c r="S48" s="25"/>
      <c r="T48" s="25"/>
      <c r="U48" s="25"/>
    </row>
    <row r="49" spans="1:21" x14ac:dyDescent="0.2">
      <c r="A49" s="774"/>
      <c r="B49" s="4"/>
      <c r="C49" s="23"/>
      <c r="D49" s="23"/>
      <c r="E49" s="23"/>
      <c r="F49" s="23"/>
      <c r="G49" s="23"/>
      <c r="H49" s="23"/>
      <c r="I49" s="23"/>
      <c r="J49" s="23"/>
      <c r="K49" s="23"/>
      <c r="L49" s="23"/>
      <c r="M49" s="23"/>
      <c r="N49" s="23"/>
      <c r="O49" s="23"/>
      <c r="P49" s="25"/>
      <c r="Q49" s="23"/>
      <c r="R49" s="23"/>
      <c r="S49" s="25"/>
      <c r="T49" s="25"/>
      <c r="U49" s="25"/>
    </row>
    <row r="50" spans="1:21" x14ac:dyDescent="0.2">
      <c r="A50" s="774"/>
      <c r="B50" s="4"/>
      <c r="C50" s="23"/>
      <c r="D50" s="23"/>
      <c r="E50" s="23"/>
      <c r="F50" s="23"/>
      <c r="G50" s="23"/>
      <c r="H50" s="23"/>
      <c r="I50" s="23"/>
      <c r="J50" s="23"/>
      <c r="K50" s="23"/>
      <c r="L50" s="23"/>
      <c r="M50" s="23"/>
      <c r="N50" s="23"/>
      <c r="O50" s="23"/>
      <c r="P50" s="25"/>
      <c r="Q50" s="23"/>
      <c r="R50" s="23"/>
      <c r="S50" s="25"/>
      <c r="T50" s="25"/>
      <c r="U50" s="25"/>
    </row>
    <row r="51" spans="1:21" x14ac:dyDescent="0.2">
      <c r="A51" s="774"/>
      <c r="B51" s="4"/>
      <c r="C51" s="23"/>
      <c r="D51" s="23"/>
      <c r="E51" s="23"/>
      <c r="F51" s="23"/>
      <c r="G51" s="23"/>
      <c r="H51" s="23"/>
      <c r="I51" s="23"/>
      <c r="J51" s="23"/>
      <c r="K51" s="23"/>
      <c r="L51" s="23"/>
      <c r="M51" s="23"/>
      <c r="N51" s="23"/>
      <c r="O51" s="23"/>
      <c r="P51" s="25"/>
      <c r="Q51" s="23"/>
      <c r="R51" s="23"/>
      <c r="S51" s="25"/>
      <c r="T51" s="25"/>
      <c r="U51" s="25"/>
    </row>
    <row r="52" spans="1:21" x14ac:dyDescent="0.2">
      <c r="A52" s="774"/>
      <c r="B52" s="4"/>
      <c r="C52" s="23"/>
      <c r="D52" s="23"/>
      <c r="E52" s="23"/>
      <c r="F52" s="23"/>
      <c r="G52" s="23"/>
      <c r="H52" s="23"/>
      <c r="I52" s="23"/>
      <c r="J52" s="23"/>
      <c r="K52" s="23"/>
      <c r="L52" s="23"/>
      <c r="M52" s="23"/>
      <c r="N52" s="23"/>
      <c r="O52" s="23"/>
      <c r="P52" s="25"/>
      <c r="Q52" s="23"/>
      <c r="R52" s="23"/>
      <c r="S52" s="25"/>
      <c r="T52" s="25"/>
      <c r="U52" s="25"/>
    </row>
    <row r="53" spans="1:21" x14ac:dyDescent="0.2">
      <c r="A53" s="774"/>
      <c r="B53" s="4"/>
      <c r="C53" s="23"/>
      <c r="D53" s="23"/>
      <c r="E53" s="23"/>
      <c r="F53" s="23"/>
      <c r="G53" s="23"/>
      <c r="H53" s="23"/>
      <c r="I53" s="23"/>
      <c r="J53" s="23"/>
      <c r="K53" s="23"/>
      <c r="L53" s="23"/>
      <c r="M53" s="23"/>
      <c r="N53" s="23"/>
      <c r="O53" s="23"/>
      <c r="P53" s="25"/>
      <c r="Q53" s="23"/>
      <c r="R53" s="23"/>
      <c r="S53" s="25"/>
      <c r="T53" s="25"/>
      <c r="U53" s="25"/>
    </row>
    <row r="54" spans="1:21" x14ac:dyDescent="0.2">
      <c r="A54" s="774"/>
      <c r="B54" s="4"/>
      <c r="C54" s="23"/>
      <c r="D54" s="23"/>
      <c r="E54" s="23"/>
      <c r="F54" s="23"/>
      <c r="G54" s="23"/>
      <c r="H54" s="23"/>
      <c r="I54" s="23"/>
      <c r="J54" s="23"/>
      <c r="K54" s="23"/>
      <c r="L54" s="23"/>
      <c r="M54" s="23"/>
      <c r="N54" s="23"/>
      <c r="O54" s="23"/>
      <c r="P54" s="25"/>
      <c r="Q54" s="23"/>
      <c r="R54" s="23"/>
      <c r="S54" s="25"/>
      <c r="T54" s="25"/>
      <c r="U54" s="25"/>
    </row>
    <row r="55" spans="1:21" x14ac:dyDescent="0.2">
      <c r="A55" s="774"/>
      <c r="B55" s="4"/>
      <c r="C55" s="23"/>
      <c r="D55" s="23"/>
      <c r="E55" s="23"/>
      <c r="F55" s="23"/>
      <c r="G55" s="23"/>
      <c r="H55" s="23"/>
      <c r="I55" s="23"/>
      <c r="J55" s="23"/>
      <c r="K55" s="23"/>
      <c r="L55" s="23"/>
      <c r="M55" s="23"/>
      <c r="N55" s="23"/>
      <c r="O55" s="23"/>
      <c r="P55" s="25"/>
      <c r="Q55" s="23"/>
      <c r="R55" s="23"/>
      <c r="S55" s="25"/>
      <c r="T55" s="25"/>
      <c r="U55" s="25"/>
    </row>
    <row r="56" spans="1:21" x14ac:dyDescent="0.2">
      <c r="A56" s="774"/>
      <c r="B56" s="4"/>
      <c r="C56" s="23"/>
      <c r="D56" s="23"/>
      <c r="E56" s="23"/>
      <c r="F56" s="23"/>
      <c r="G56" s="23"/>
      <c r="H56" s="23"/>
      <c r="I56" s="23"/>
      <c r="J56" s="23"/>
      <c r="K56" s="23"/>
      <c r="L56" s="23"/>
      <c r="M56" s="23"/>
      <c r="N56" s="23"/>
      <c r="O56" s="23"/>
      <c r="P56" s="25"/>
      <c r="Q56" s="23"/>
      <c r="R56" s="23"/>
      <c r="S56" s="25"/>
      <c r="T56" s="25"/>
      <c r="U56" s="25"/>
    </row>
    <row r="57" spans="1:21" x14ac:dyDescent="0.2">
      <c r="A57" s="774"/>
      <c r="B57" s="4"/>
      <c r="C57" s="23"/>
      <c r="D57" s="23"/>
      <c r="E57" s="23"/>
      <c r="F57" s="23"/>
      <c r="G57" s="23"/>
      <c r="H57" s="23"/>
      <c r="I57" s="23"/>
      <c r="J57" s="23"/>
      <c r="K57" s="23"/>
      <c r="L57" s="23"/>
      <c r="M57" s="23"/>
      <c r="N57" s="23"/>
      <c r="O57" s="23"/>
      <c r="P57" s="25"/>
      <c r="Q57" s="23"/>
      <c r="R57" s="23"/>
      <c r="S57" s="25"/>
      <c r="T57" s="25"/>
      <c r="U57" s="25"/>
    </row>
    <row r="58" spans="1:21" x14ac:dyDescent="0.2">
      <c r="A58" s="774"/>
      <c r="B58" s="4"/>
      <c r="C58" s="23"/>
      <c r="D58" s="23"/>
      <c r="E58" s="23"/>
      <c r="F58" s="23"/>
      <c r="G58" s="23"/>
      <c r="H58" s="23"/>
      <c r="I58" s="23"/>
      <c r="J58" s="23"/>
      <c r="K58" s="23"/>
      <c r="L58" s="23"/>
      <c r="M58" s="23"/>
      <c r="N58" s="23"/>
      <c r="O58" s="23"/>
      <c r="P58" s="25"/>
      <c r="Q58" s="23"/>
      <c r="R58" s="23"/>
      <c r="S58" s="25"/>
      <c r="T58" s="25"/>
      <c r="U58" s="25"/>
    </row>
    <row r="59" spans="1:21" x14ac:dyDescent="0.2">
      <c r="A59" s="774"/>
      <c r="B59" s="4"/>
      <c r="C59" s="23"/>
      <c r="D59" s="23"/>
      <c r="E59" s="23"/>
      <c r="F59" s="23"/>
      <c r="G59" s="23"/>
      <c r="H59" s="23"/>
      <c r="I59" s="23"/>
      <c r="J59" s="23"/>
      <c r="K59" s="23"/>
      <c r="L59" s="23"/>
      <c r="M59" s="23"/>
      <c r="N59" s="23"/>
      <c r="O59" s="23"/>
      <c r="P59" s="25"/>
      <c r="Q59" s="23"/>
      <c r="R59" s="23"/>
      <c r="S59" s="25"/>
      <c r="T59" s="25"/>
      <c r="U59" s="25"/>
    </row>
    <row r="60" spans="1:21" x14ac:dyDescent="0.2">
      <c r="A60" s="774"/>
      <c r="B60" s="4"/>
      <c r="C60" s="23"/>
      <c r="D60" s="23"/>
      <c r="E60" s="23"/>
      <c r="F60" s="23"/>
      <c r="G60" s="23"/>
      <c r="H60" s="23"/>
      <c r="I60" s="23"/>
      <c r="J60" s="23"/>
      <c r="K60" s="23"/>
      <c r="L60" s="23"/>
      <c r="M60" s="23"/>
      <c r="N60" s="23"/>
      <c r="O60" s="23"/>
      <c r="P60" s="25"/>
      <c r="Q60" s="23"/>
      <c r="R60" s="23"/>
      <c r="S60" s="25"/>
      <c r="T60" s="25"/>
      <c r="U60" s="25"/>
    </row>
    <row r="61" spans="1:21" x14ac:dyDescent="0.2">
      <c r="A61" s="774"/>
      <c r="B61" s="4"/>
      <c r="C61" s="23"/>
      <c r="D61" s="23"/>
      <c r="E61" s="23"/>
      <c r="F61" s="23"/>
      <c r="G61" s="23"/>
      <c r="H61" s="23"/>
      <c r="I61" s="23"/>
      <c r="J61" s="23"/>
      <c r="K61" s="23"/>
      <c r="L61" s="23"/>
      <c r="M61" s="23"/>
      <c r="N61" s="23"/>
      <c r="O61" s="23"/>
      <c r="P61" s="25"/>
      <c r="Q61" s="23"/>
      <c r="R61" s="23"/>
      <c r="S61" s="25"/>
      <c r="T61" s="25"/>
      <c r="U61" s="25"/>
    </row>
    <row r="62" spans="1:21" x14ac:dyDescent="0.2">
      <c r="A62" s="774"/>
      <c r="B62" s="4"/>
      <c r="C62" s="23"/>
      <c r="D62" s="23"/>
      <c r="E62" s="23"/>
      <c r="F62" s="23"/>
      <c r="G62" s="23"/>
      <c r="H62" s="23"/>
      <c r="I62" s="23"/>
      <c r="J62" s="23"/>
      <c r="K62" s="23"/>
      <c r="L62" s="23"/>
      <c r="M62" s="23"/>
      <c r="N62" s="23"/>
      <c r="O62" s="23"/>
      <c r="P62" s="25"/>
      <c r="Q62" s="23"/>
      <c r="R62" s="23"/>
      <c r="S62" s="25"/>
      <c r="T62" s="25"/>
      <c r="U62" s="25"/>
    </row>
    <row r="63" spans="1:21" x14ac:dyDescent="0.2">
      <c r="A63" s="774"/>
      <c r="B63" s="4"/>
      <c r="C63" s="23"/>
      <c r="D63" s="23"/>
      <c r="E63" s="23"/>
      <c r="F63" s="23"/>
      <c r="G63" s="23"/>
      <c r="H63" s="23"/>
      <c r="I63" s="23"/>
      <c r="J63" s="23"/>
      <c r="K63" s="23"/>
      <c r="L63" s="23"/>
      <c r="M63" s="23"/>
      <c r="N63" s="23"/>
      <c r="O63" s="23"/>
      <c r="P63" s="25"/>
      <c r="Q63" s="23"/>
      <c r="R63" s="23"/>
      <c r="S63" s="25"/>
      <c r="T63" s="25"/>
      <c r="U63" s="25"/>
    </row>
    <row r="64" spans="1:21" x14ac:dyDescent="0.2">
      <c r="A64" s="774"/>
      <c r="B64" s="4"/>
      <c r="C64" s="23"/>
      <c r="D64" s="23"/>
      <c r="E64" s="23"/>
      <c r="F64" s="23"/>
      <c r="G64" s="23"/>
      <c r="H64" s="23"/>
      <c r="I64" s="23"/>
      <c r="J64" s="23"/>
      <c r="K64" s="23"/>
      <c r="L64" s="23"/>
      <c r="M64" s="23"/>
      <c r="N64" s="23"/>
      <c r="O64" s="23"/>
      <c r="P64" s="25"/>
      <c r="Q64" s="23"/>
      <c r="R64" s="23"/>
      <c r="S64" s="25"/>
      <c r="T64" s="25"/>
      <c r="U64" s="25"/>
    </row>
    <row r="65" spans="1:21" x14ac:dyDescent="0.2">
      <c r="A65" s="774"/>
      <c r="B65" s="4"/>
      <c r="C65" s="23"/>
      <c r="D65" s="23"/>
      <c r="E65" s="23"/>
      <c r="F65" s="23"/>
      <c r="G65" s="23"/>
      <c r="H65" s="23"/>
      <c r="I65" s="23"/>
      <c r="J65" s="23"/>
      <c r="K65" s="23"/>
      <c r="L65" s="23"/>
      <c r="M65" s="23"/>
      <c r="N65" s="23"/>
      <c r="O65" s="23"/>
      <c r="P65" s="25"/>
      <c r="Q65" s="23"/>
      <c r="R65" s="23"/>
      <c r="S65" s="25"/>
      <c r="T65" s="25"/>
      <c r="U65" s="25"/>
    </row>
    <row r="66" spans="1:21" x14ac:dyDescent="0.2">
      <c r="A66" s="774"/>
      <c r="B66" s="4"/>
      <c r="C66" s="23"/>
      <c r="D66" s="23"/>
      <c r="E66" s="23"/>
      <c r="F66" s="23"/>
      <c r="G66" s="23"/>
      <c r="H66" s="23"/>
      <c r="I66" s="23"/>
      <c r="J66" s="23"/>
      <c r="K66" s="23"/>
      <c r="L66" s="23"/>
      <c r="M66" s="23"/>
      <c r="N66" s="23"/>
      <c r="O66" s="23"/>
      <c r="P66" s="25"/>
      <c r="Q66" s="23"/>
      <c r="R66" s="23"/>
      <c r="S66" s="25"/>
      <c r="T66" s="25"/>
      <c r="U66" s="25"/>
    </row>
    <row r="67" spans="1:21" x14ac:dyDescent="0.2">
      <c r="A67" s="774"/>
      <c r="B67" s="4"/>
      <c r="C67" s="23"/>
      <c r="D67" s="23"/>
      <c r="E67" s="23"/>
      <c r="F67" s="23"/>
      <c r="G67" s="23"/>
      <c r="H67" s="23"/>
      <c r="I67" s="23"/>
      <c r="J67" s="23"/>
      <c r="K67" s="23"/>
      <c r="L67" s="23"/>
      <c r="M67" s="23"/>
      <c r="N67" s="23"/>
      <c r="O67" s="23"/>
      <c r="P67" s="25"/>
      <c r="Q67" s="23"/>
      <c r="R67" s="23"/>
      <c r="S67" s="25"/>
      <c r="T67" s="25"/>
      <c r="U67" s="25"/>
    </row>
    <row r="68" spans="1:21" x14ac:dyDescent="0.2">
      <c r="A68" s="774"/>
      <c r="B68" s="4"/>
      <c r="C68" s="23"/>
      <c r="D68" s="23"/>
      <c r="E68" s="23"/>
      <c r="F68" s="23"/>
      <c r="G68" s="23"/>
      <c r="H68" s="23"/>
      <c r="I68" s="23"/>
      <c r="J68" s="23"/>
      <c r="K68" s="23"/>
      <c r="L68" s="23"/>
      <c r="M68" s="23"/>
      <c r="N68" s="23"/>
      <c r="O68" s="23"/>
      <c r="P68" s="25"/>
      <c r="Q68" s="23"/>
      <c r="R68" s="23"/>
      <c r="S68" s="25"/>
      <c r="T68" s="25"/>
      <c r="U68" s="25"/>
    </row>
    <row r="69" spans="1:21" x14ac:dyDescent="0.2">
      <c r="A69" s="774"/>
      <c r="B69" s="4"/>
      <c r="C69" s="23"/>
      <c r="D69" s="23"/>
      <c r="E69" s="23"/>
      <c r="F69" s="23"/>
      <c r="G69" s="23"/>
      <c r="H69" s="23"/>
      <c r="I69" s="23"/>
      <c r="J69" s="23"/>
      <c r="K69" s="23"/>
      <c r="L69" s="23"/>
      <c r="M69" s="23"/>
      <c r="N69" s="23"/>
      <c r="O69" s="23"/>
      <c r="P69" s="25"/>
      <c r="Q69" s="23"/>
      <c r="R69" s="23"/>
      <c r="S69" s="25"/>
      <c r="T69" s="25"/>
      <c r="U69" s="25"/>
    </row>
    <row r="70" spans="1:21" x14ac:dyDescent="0.2">
      <c r="A70" s="774"/>
      <c r="B70" s="4"/>
      <c r="C70" s="23"/>
      <c r="D70" s="23"/>
      <c r="E70" s="23"/>
      <c r="F70" s="23"/>
      <c r="G70" s="23"/>
      <c r="H70" s="23"/>
      <c r="I70" s="23"/>
      <c r="J70" s="23"/>
      <c r="K70" s="23"/>
      <c r="L70" s="23"/>
      <c r="M70" s="23"/>
      <c r="N70" s="23"/>
      <c r="O70" s="23"/>
      <c r="P70" s="25"/>
      <c r="Q70" s="23"/>
      <c r="R70" s="23"/>
      <c r="S70" s="25"/>
      <c r="T70" s="25"/>
      <c r="U70" s="25"/>
    </row>
    <row r="71" spans="1:21" x14ac:dyDescent="0.2">
      <c r="A71" s="774"/>
      <c r="B71" s="4"/>
      <c r="C71" s="23"/>
      <c r="D71" s="23"/>
      <c r="E71" s="23"/>
      <c r="F71" s="23"/>
      <c r="G71" s="23"/>
      <c r="H71" s="23"/>
      <c r="I71" s="23"/>
      <c r="J71" s="23"/>
      <c r="K71" s="23"/>
      <c r="L71" s="23"/>
      <c r="M71" s="23"/>
      <c r="N71" s="23"/>
      <c r="O71" s="23"/>
      <c r="P71" s="25"/>
      <c r="Q71" s="23"/>
      <c r="R71" s="23"/>
      <c r="S71" s="25"/>
      <c r="T71" s="25"/>
      <c r="U71" s="25"/>
    </row>
    <row r="72" spans="1:21" x14ac:dyDescent="0.2">
      <c r="A72" s="774"/>
      <c r="B72" s="4"/>
      <c r="C72" s="23"/>
      <c r="D72" s="23"/>
      <c r="E72" s="23"/>
      <c r="F72" s="23"/>
      <c r="G72" s="23"/>
      <c r="H72" s="23"/>
      <c r="I72" s="23"/>
      <c r="J72" s="23"/>
      <c r="K72" s="23"/>
      <c r="L72" s="23"/>
      <c r="M72" s="23"/>
      <c r="N72" s="23"/>
      <c r="O72" s="23"/>
      <c r="P72" s="25"/>
      <c r="Q72" s="23"/>
      <c r="R72" s="23"/>
      <c r="S72" s="25"/>
      <c r="T72" s="25"/>
      <c r="U72" s="25"/>
    </row>
    <row r="73" spans="1:21" x14ac:dyDescent="0.2">
      <c r="A73" s="774"/>
      <c r="B73" s="4"/>
      <c r="C73" s="23"/>
      <c r="D73" s="23"/>
      <c r="E73" s="23"/>
      <c r="F73" s="23"/>
      <c r="G73" s="23"/>
      <c r="H73" s="23"/>
      <c r="I73" s="23"/>
      <c r="J73" s="23"/>
      <c r="K73" s="23"/>
      <c r="L73" s="23"/>
      <c r="M73" s="23"/>
      <c r="N73" s="23"/>
      <c r="O73" s="23"/>
      <c r="P73" s="4"/>
      <c r="Q73" s="23"/>
      <c r="R73" s="23"/>
      <c r="S73" s="4"/>
      <c r="T73" s="4"/>
      <c r="U73" s="4"/>
    </row>
    <row r="74" spans="1:21" x14ac:dyDescent="0.2">
      <c r="A74" s="774"/>
      <c r="B74" s="4"/>
      <c r="C74" s="23"/>
      <c r="D74" s="23"/>
      <c r="E74" s="23"/>
      <c r="F74" s="23"/>
      <c r="G74" s="23"/>
      <c r="H74" s="23"/>
      <c r="I74" s="23"/>
      <c r="J74" s="23"/>
      <c r="K74" s="23"/>
      <c r="L74" s="23"/>
      <c r="M74" s="23"/>
      <c r="N74" s="23"/>
      <c r="O74" s="23"/>
      <c r="P74" s="4"/>
      <c r="Q74" s="23"/>
      <c r="R74" s="23"/>
      <c r="S74" s="4"/>
      <c r="T74" s="4"/>
      <c r="U74" s="4"/>
    </row>
    <row r="75" spans="1:21" x14ac:dyDescent="0.2">
      <c r="A75" s="774"/>
      <c r="B75" s="4"/>
      <c r="C75" s="23"/>
      <c r="D75" s="23"/>
      <c r="E75" s="23"/>
      <c r="F75" s="23"/>
      <c r="G75" s="23"/>
      <c r="H75" s="23"/>
      <c r="I75" s="23"/>
      <c r="J75" s="23"/>
      <c r="K75" s="23"/>
      <c r="L75" s="23"/>
      <c r="M75" s="23"/>
      <c r="N75" s="23"/>
      <c r="O75" s="23"/>
      <c r="P75" s="4"/>
      <c r="Q75" s="23"/>
      <c r="R75" s="23"/>
      <c r="S75" s="4"/>
      <c r="T75" s="4"/>
      <c r="U75" s="4"/>
    </row>
    <row r="76" spans="1:21" x14ac:dyDescent="0.2">
      <c r="A76" s="774"/>
      <c r="B76" s="4"/>
      <c r="C76" s="23"/>
      <c r="D76" s="23"/>
      <c r="E76" s="23"/>
      <c r="F76" s="23"/>
      <c r="G76" s="23"/>
      <c r="H76" s="23"/>
      <c r="I76" s="23"/>
      <c r="J76" s="23"/>
      <c r="K76" s="23"/>
      <c r="L76" s="23"/>
      <c r="M76" s="23"/>
      <c r="N76" s="23"/>
      <c r="O76" s="23"/>
      <c r="P76" s="4"/>
      <c r="Q76" s="23"/>
      <c r="R76" s="23"/>
      <c r="S76" s="4"/>
      <c r="T76" s="4"/>
      <c r="U76" s="4"/>
    </row>
    <row r="77" spans="1:21" x14ac:dyDescent="0.2">
      <c r="A77" s="774"/>
      <c r="B77" s="4"/>
      <c r="C77" s="23"/>
      <c r="D77" s="23"/>
      <c r="E77" s="23"/>
      <c r="F77" s="23"/>
      <c r="G77" s="23"/>
      <c r="H77" s="23"/>
      <c r="I77" s="23"/>
      <c r="J77" s="23"/>
      <c r="K77" s="23"/>
      <c r="L77" s="23"/>
      <c r="M77" s="23"/>
      <c r="N77" s="23"/>
      <c r="O77" s="23"/>
      <c r="P77" s="4"/>
      <c r="Q77" s="23"/>
      <c r="R77" s="23"/>
      <c r="S77" s="4"/>
      <c r="T77" s="4"/>
      <c r="U77" s="4"/>
    </row>
    <row r="78" spans="1:21" x14ac:dyDescent="0.2">
      <c r="A78" s="774"/>
      <c r="B78" s="4"/>
      <c r="C78" s="23"/>
      <c r="D78" s="23"/>
      <c r="E78" s="23"/>
      <c r="F78" s="23"/>
      <c r="G78" s="23"/>
      <c r="H78" s="23"/>
      <c r="I78" s="23"/>
      <c r="J78" s="23"/>
      <c r="K78" s="23"/>
      <c r="L78" s="23"/>
      <c r="M78" s="23"/>
      <c r="N78" s="23"/>
      <c r="O78" s="23"/>
      <c r="P78" s="4"/>
      <c r="Q78" s="23"/>
      <c r="R78" s="23"/>
      <c r="S78" s="4"/>
      <c r="T78" s="4"/>
      <c r="U78" s="4"/>
    </row>
    <row r="79" spans="1:21" x14ac:dyDescent="0.2">
      <c r="A79" s="774"/>
      <c r="B79" s="4"/>
      <c r="C79" s="23"/>
      <c r="D79" s="23"/>
      <c r="E79" s="23"/>
      <c r="F79" s="23"/>
      <c r="G79" s="23"/>
      <c r="H79" s="23"/>
      <c r="I79" s="23"/>
      <c r="J79" s="23"/>
      <c r="K79" s="23"/>
      <c r="L79" s="23"/>
      <c r="M79" s="23"/>
      <c r="N79" s="23"/>
      <c r="O79" s="23"/>
      <c r="P79" s="4"/>
      <c r="Q79" s="23"/>
      <c r="R79" s="23"/>
      <c r="S79" s="4"/>
      <c r="T79" s="4"/>
      <c r="U79" s="4"/>
    </row>
    <row r="80" spans="1:21" x14ac:dyDescent="0.2">
      <c r="A80" s="774"/>
      <c r="B80" s="4"/>
      <c r="C80" s="23"/>
      <c r="D80" s="23"/>
      <c r="E80" s="23"/>
      <c r="F80" s="23"/>
      <c r="G80" s="23"/>
      <c r="H80" s="23"/>
      <c r="I80" s="23"/>
      <c r="J80" s="23"/>
      <c r="K80" s="23"/>
      <c r="L80" s="23"/>
      <c r="M80" s="23"/>
      <c r="N80" s="23"/>
      <c r="O80" s="23"/>
      <c r="P80" s="4"/>
      <c r="Q80" s="23"/>
      <c r="R80" s="23"/>
      <c r="S80" s="4"/>
      <c r="T80" s="4"/>
      <c r="U80" s="4"/>
    </row>
    <row r="81" spans="1:21" x14ac:dyDescent="0.2">
      <c r="A81" s="774"/>
      <c r="B81" s="4"/>
      <c r="C81" s="23"/>
      <c r="D81" s="23"/>
      <c r="E81" s="23"/>
      <c r="F81" s="23"/>
      <c r="G81" s="23"/>
      <c r="H81" s="23"/>
      <c r="I81" s="23"/>
      <c r="J81" s="23"/>
      <c r="K81" s="23"/>
      <c r="L81" s="23"/>
      <c r="M81" s="23"/>
      <c r="N81" s="23"/>
      <c r="O81" s="23"/>
      <c r="P81" s="4"/>
      <c r="Q81" s="23"/>
      <c r="R81" s="23"/>
      <c r="S81" s="4"/>
      <c r="T81" s="4"/>
      <c r="U81" s="4"/>
    </row>
    <row r="82" spans="1:21" x14ac:dyDescent="0.2">
      <c r="A82" s="774"/>
      <c r="B82" s="4"/>
      <c r="C82" s="23"/>
      <c r="D82" s="23"/>
      <c r="E82" s="23"/>
      <c r="F82" s="23"/>
      <c r="G82" s="23"/>
      <c r="H82" s="23"/>
      <c r="I82" s="23"/>
      <c r="J82" s="23"/>
      <c r="K82" s="23"/>
      <c r="L82" s="23"/>
      <c r="M82" s="23"/>
      <c r="N82" s="23"/>
      <c r="O82" s="23"/>
      <c r="P82" s="4"/>
      <c r="Q82" s="23"/>
      <c r="R82" s="23"/>
      <c r="S82" s="4"/>
      <c r="T82" s="4"/>
      <c r="U82" s="4"/>
    </row>
    <row r="83" spans="1:21" x14ac:dyDescent="0.2">
      <c r="A83" s="774"/>
      <c r="B83" s="4"/>
      <c r="C83" s="23"/>
      <c r="D83" s="23"/>
      <c r="E83" s="23"/>
      <c r="F83" s="23"/>
      <c r="G83" s="23"/>
      <c r="H83" s="23"/>
      <c r="I83" s="23"/>
      <c r="J83" s="23"/>
      <c r="K83" s="23"/>
      <c r="L83" s="23"/>
      <c r="M83" s="23"/>
      <c r="N83" s="23"/>
      <c r="O83" s="23"/>
      <c r="P83" s="4"/>
      <c r="Q83" s="23"/>
      <c r="R83" s="23"/>
      <c r="S83" s="4"/>
      <c r="T83" s="4"/>
      <c r="U83" s="4"/>
    </row>
    <row r="84" spans="1:21" x14ac:dyDescent="0.2">
      <c r="A84" s="774"/>
      <c r="B84" s="4"/>
      <c r="C84" s="23"/>
      <c r="D84" s="23"/>
      <c r="E84" s="23"/>
      <c r="F84" s="23"/>
      <c r="G84" s="23"/>
      <c r="H84" s="23"/>
      <c r="I84" s="23"/>
      <c r="J84" s="23"/>
      <c r="K84" s="23"/>
      <c r="L84" s="23"/>
      <c r="M84" s="23"/>
      <c r="N84" s="23"/>
      <c r="O84" s="23"/>
      <c r="P84" s="4"/>
      <c r="Q84" s="23"/>
      <c r="R84" s="23"/>
      <c r="S84" s="4"/>
      <c r="T84" s="4"/>
      <c r="U84" s="4"/>
    </row>
    <row r="85" spans="1:21" x14ac:dyDescent="0.2">
      <c r="A85" s="774"/>
      <c r="B85" s="4"/>
      <c r="C85" s="23"/>
      <c r="D85" s="23"/>
      <c r="E85" s="23"/>
      <c r="F85" s="23"/>
      <c r="G85" s="23"/>
      <c r="H85" s="23"/>
      <c r="I85" s="23"/>
      <c r="J85" s="23"/>
      <c r="K85" s="23"/>
      <c r="L85" s="23"/>
      <c r="M85" s="23"/>
      <c r="N85" s="23"/>
      <c r="O85" s="23"/>
      <c r="P85" s="4"/>
      <c r="Q85" s="23"/>
      <c r="R85" s="23"/>
      <c r="S85" s="4"/>
      <c r="T85" s="4"/>
      <c r="U85" s="4"/>
    </row>
    <row r="86" spans="1:21" x14ac:dyDescent="0.2">
      <c r="A86" s="774"/>
      <c r="B86" s="4"/>
      <c r="C86" s="23"/>
      <c r="D86" s="23"/>
      <c r="E86" s="23"/>
      <c r="F86" s="23"/>
      <c r="G86" s="23"/>
      <c r="H86" s="23"/>
      <c r="I86" s="23"/>
      <c r="J86" s="23"/>
      <c r="K86" s="23"/>
      <c r="L86" s="23"/>
      <c r="M86" s="23"/>
      <c r="N86" s="23"/>
      <c r="O86" s="23"/>
      <c r="P86" s="4"/>
      <c r="Q86" s="23"/>
      <c r="R86" s="23"/>
      <c r="S86" s="4"/>
      <c r="T86" s="4"/>
      <c r="U86" s="4"/>
    </row>
    <row r="87" spans="1:21" x14ac:dyDescent="0.2">
      <c r="A87" s="774"/>
      <c r="B87" s="4"/>
      <c r="C87" s="23"/>
      <c r="D87" s="23"/>
      <c r="E87" s="23"/>
      <c r="F87" s="23"/>
      <c r="G87" s="23"/>
      <c r="H87" s="23"/>
      <c r="I87" s="23"/>
      <c r="J87" s="23"/>
      <c r="K87" s="23"/>
      <c r="L87" s="23"/>
      <c r="M87" s="23"/>
      <c r="N87" s="23"/>
      <c r="O87" s="23"/>
      <c r="P87" s="4"/>
      <c r="Q87" s="23"/>
      <c r="R87" s="23"/>
      <c r="S87" s="4"/>
      <c r="T87" s="4"/>
      <c r="U87" s="4"/>
    </row>
    <row r="88" spans="1:21" x14ac:dyDescent="0.2">
      <c r="A88" s="774"/>
      <c r="B88" s="4"/>
      <c r="C88" s="23"/>
      <c r="D88" s="23"/>
      <c r="E88" s="23"/>
      <c r="F88" s="23"/>
      <c r="G88" s="23"/>
      <c r="H88" s="23"/>
      <c r="I88" s="23"/>
      <c r="J88" s="23"/>
      <c r="K88" s="23"/>
      <c r="L88" s="23"/>
      <c r="M88" s="23"/>
      <c r="N88" s="23"/>
      <c r="O88" s="23"/>
      <c r="P88" s="4"/>
      <c r="Q88" s="23"/>
      <c r="R88" s="23"/>
      <c r="S88" s="4"/>
      <c r="T88" s="4"/>
      <c r="U88" s="4"/>
    </row>
    <row r="89" spans="1:21" x14ac:dyDescent="0.2">
      <c r="A89" s="774"/>
      <c r="B89" s="4"/>
      <c r="C89" s="23"/>
      <c r="D89" s="23"/>
      <c r="E89" s="23"/>
      <c r="F89" s="23"/>
      <c r="G89" s="23"/>
      <c r="H89" s="23"/>
      <c r="I89" s="23"/>
      <c r="J89" s="23"/>
      <c r="K89" s="23"/>
      <c r="L89" s="23"/>
      <c r="M89" s="23"/>
      <c r="N89" s="23"/>
      <c r="O89" s="23"/>
      <c r="P89" s="4"/>
      <c r="Q89" s="23"/>
      <c r="R89" s="23"/>
      <c r="S89" s="4"/>
      <c r="T89" s="4"/>
      <c r="U89" s="4"/>
    </row>
    <row r="90" spans="1:21" x14ac:dyDescent="0.2">
      <c r="A90" s="774"/>
      <c r="B90" s="4"/>
      <c r="C90" s="23"/>
      <c r="D90" s="23"/>
      <c r="E90" s="23"/>
      <c r="F90" s="23"/>
      <c r="G90" s="23"/>
      <c r="H90" s="23"/>
      <c r="I90" s="23"/>
      <c r="J90" s="23"/>
      <c r="K90" s="23"/>
      <c r="L90" s="23"/>
      <c r="M90" s="23"/>
      <c r="N90" s="23"/>
      <c r="O90" s="23"/>
      <c r="P90" s="4"/>
      <c r="Q90" s="23"/>
      <c r="R90" s="23"/>
      <c r="S90" s="4"/>
      <c r="T90" s="4"/>
      <c r="U90" s="4"/>
    </row>
    <row r="91" spans="1:21" x14ac:dyDescent="0.2">
      <c r="A91" s="774"/>
      <c r="B91" s="4"/>
      <c r="C91" s="23"/>
      <c r="D91" s="23"/>
      <c r="E91" s="23"/>
      <c r="F91" s="23"/>
      <c r="G91" s="23"/>
      <c r="H91" s="23"/>
      <c r="I91" s="23"/>
      <c r="J91" s="23"/>
      <c r="K91" s="23"/>
      <c r="L91" s="23"/>
      <c r="M91" s="23"/>
      <c r="N91" s="23"/>
      <c r="O91" s="23"/>
      <c r="P91" s="4"/>
      <c r="Q91" s="23"/>
      <c r="R91" s="23"/>
      <c r="S91" s="4"/>
      <c r="T91" s="4"/>
      <c r="U91" s="4"/>
    </row>
    <row r="92" spans="1:21" x14ac:dyDescent="0.2">
      <c r="A92" s="774"/>
      <c r="B92" s="4"/>
      <c r="C92" s="23"/>
      <c r="D92" s="23"/>
      <c r="E92" s="23"/>
      <c r="F92" s="23"/>
      <c r="G92" s="23"/>
      <c r="H92" s="23"/>
      <c r="I92" s="23"/>
      <c r="J92" s="23"/>
      <c r="K92" s="23"/>
      <c r="L92" s="23"/>
      <c r="M92" s="23"/>
      <c r="N92" s="23"/>
      <c r="O92" s="23"/>
      <c r="P92" s="4"/>
      <c r="Q92" s="23"/>
      <c r="R92" s="23"/>
      <c r="S92" s="4"/>
      <c r="T92" s="4"/>
      <c r="U92" s="4"/>
    </row>
    <row r="93" spans="1:21" x14ac:dyDescent="0.2">
      <c r="A93" s="774"/>
      <c r="B93" s="4"/>
      <c r="C93" s="23"/>
      <c r="D93" s="23"/>
      <c r="E93" s="23"/>
      <c r="F93" s="23"/>
      <c r="G93" s="23"/>
      <c r="H93" s="23"/>
      <c r="I93" s="23"/>
      <c r="J93" s="23"/>
      <c r="K93" s="23"/>
      <c r="L93" s="23"/>
      <c r="M93" s="23"/>
      <c r="N93" s="23"/>
      <c r="O93" s="23"/>
      <c r="P93" s="4"/>
      <c r="Q93" s="23"/>
      <c r="R93" s="23"/>
      <c r="S93" s="4"/>
      <c r="T93" s="4"/>
      <c r="U93" s="4"/>
    </row>
    <row r="94" spans="1:21" x14ac:dyDescent="0.2">
      <c r="A94" s="774"/>
      <c r="B94" s="4"/>
      <c r="C94" s="23"/>
      <c r="D94" s="23"/>
      <c r="E94" s="23"/>
      <c r="F94" s="23"/>
      <c r="G94" s="23"/>
      <c r="H94" s="23"/>
      <c r="I94" s="23"/>
      <c r="J94" s="23"/>
      <c r="K94" s="23"/>
      <c r="L94" s="23"/>
      <c r="M94" s="23"/>
      <c r="N94" s="23"/>
      <c r="O94" s="23"/>
      <c r="P94" s="4"/>
      <c r="Q94" s="23"/>
      <c r="R94" s="23"/>
      <c r="S94" s="4"/>
      <c r="T94" s="4"/>
      <c r="U94" s="4"/>
    </row>
    <row r="95" spans="1:21" x14ac:dyDescent="0.2">
      <c r="A95" s="774"/>
      <c r="B95" s="4"/>
      <c r="C95" s="23"/>
      <c r="D95" s="23"/>
      <c r="E95" s="23"/>
      <c r="F95" s="23"/>
      <c r="G95" s="23"/>
      <c r="H95" s="23"/>
      <c r="I95" s="23"/>
      <c r="J95" s="23"/>
      <c r="K95" s="23"/>
      <c r="L95" s="23"/>
      <c r="M95" s="23"/>
      <c r="N95" s="23"/>
      <c r="O95" s="23"/>
      <c r="P95" s="4"/>
      <c r="Q95" s="23"/>
      <c r="R95" s="23"/>
      <c r="S95" s="4"/>
      <c r="T95" s="4"/>
      <c r="U95" s="4"/>
    </row>
    <row r="96" spans="1:21" x14ac:dyDescent="0.2">
      <c r="A96" s="774"/>
      <c r="B96" s="4"/>
      <c r="C96" s="23"/>
      <c r="D96" s="23"/>
      <c r="E96" s="23"/>
      <c r="F96" s="23"/>
      <c r="G96" s="23"/>
      <c r="H96" s="23"/>
      <c r="I96" s="23"/>
      <c r="J96" s="23"/>
      <c r="K96" s="23"/>
      <c r="L96" s="23"/>
      <c r="M96" s="23"/>
      <c r="N96" s="23"/>
      <c r="O96" s="23"/>
      <c r="P96" s="4"/>
      <c r="Q96" s="23"/>
      <c r="R96" s="23"/>
      <c r="S96" s="4"/>
      <c r="T96" s="4"/>
      <c r="U96" s="4"/>
    </row>
    <row r="97" spans="1:21" x14ac:dyDescent="0.2">
      <c r="A97" s="774"/>
      <c r="B97" s="4"/>
      <c r="C97" s="23"/>
      <c r="D97" s="23"/>
      <c r="E97" s="23"/>
      <c r="F97" s="23"/>
      <c r="G97" s="23"/>
      <c r="H97" s="23"/>
      <c r="I97" s="23"/>
      <c r="J97" s="23"/>
      <c r="K97" s="23"/>
      <c r="L97" s="23"/>
      <c r="M97" s="23"/>
      <c r="N97" s="23"/>
      <c r="O97" s="23"/>
      <c r="P97" s="4"/>
      <c r="Q97" s="23"/>
      <c r="R97" s="23"/>
      <c r="S97" s="4"/>
      <c r="T97" s="4"/>
      <c r="U97" s="4"/>
    </row>
    <row r="98" spans="1:21" x14ac:dyDescent="0.2">
      <c r="A98" s="774"/>
      <c r="B98" s="4"/>
      <c r="C98" s="23"/>
      <c r="D98" s="23"/>
      <c r="E98" s="23"/>
      <c r="F98" s="23"/>
      <c r="G98" s="23"/>
      <c r="H98" s="23"/>
      <c r="I98" s="23"/>
      <c r="J98" s="23"/>
      <c r="K98" s="23"/>
      <c r="L98" s="23"/>
      <c r="M98" s="23"/>
      <c r="N98" s="23"/>
      <c r="O98" s="23"/>
      <c r="P98" s="4"/>
      <c r="Q98" s="23"/>
      <c r="R98" s="23"/>
      <c r="S98" s="4"/>
      <c r="T98" s="4"/>
      <c r="U98" s="4"/>
    </row>
    <row r="99" spans="1:21" x14ac:dyDescent="0.2">
      <c r="A99" s="774"/>
      <c r="B99" s="4"/>
      <c r="C99" s="23"/>
      <c r="D99" s="23"/>
      <c r="E99" s="23"/>
      <c r="F99" s="23"/>
      <c r="G99" s="23"/>
      <c r="H99" s="23"/>
      <c r="I99" s="23"/>
      <c r="J99" s="23"/>
      <c r="K99" s="23"/>
      <c r="L99" s="23"/>
      <c r="M99" s="23"/>
      <c r="N99" s="23"/>
      <c r="O99" s="23"/>
      <c r="P99" s="4"/>
      <c r="Q99" s="23"/>
      <c r="R99" s="23"/>
      <c r="S99" s="4"/>
      <c r="T99" s="4"/>
      <c r="U99" s="4"/>
    </row>
    <row r="100" spans="1:21" x14ac:dyDescent="0.2">
      <c r="A100" s="774"/>
      <c r="B100" s="4"/>
      <c r="C100" s="23"/>
      <c r="D100" s="23"/>
      <c r="E100" s="23"/>
      <c r="F100" s="23"/>
      <c r="G100" s="23"/>
      <c r="H100" s="23"/>
      <c r="I100" s="23"/>
      <c r="J100" s="23"/>
      <c r="K100" s="23"/>
      <c r="L100" s="23"/>
      <c r="M100" s="23"/>
      <c r="N100" s="23"/>
      <c r="O100" s="23"/>
      <c r="P100" s="4"/>
      <c r="Q100" s="23"/>
      <c r="R100" s="23"/>
      <c r="S100" s="4"/>
      <c r="T100" s="4"/>
      <c r="U100" s="4"/>
    </row>
    <row r="101" spans="1:21" x14ac:dyDescent="0.2">
      <c r="A101" s="774"/>
      <c r="B101" s="4"/>
      <c r="C101" s="23"/>
      <c r="D101" s="23"/>
      <c r="E101" s="23"/>
      <c r="F101" s="23"/>
      <c r="G101" s="23"/>
      <c r="H101" s="23"/>
      <c r="I101" s="23"/>
      <c r="J101" s="23"/>
      <c r="K101" s="23"/>
      <c r="L101" s="23"/>
      <c r="M101" s="23"/>
      <c r="N101" s="23"/>
      <c r="O101" s="23"/>
      <c r="P101" s="4"/>
      <c r="Q101" s="23"/>
      <c r="R101" s="23"/>
      <c r="S101" s="4"/>
      <c r="T101" s="4"/>
      <c r="U101" s="4"/>
    </row>
    <row r="102" spans="1:21" x14ac:dyDescent="0.2">
      <c r="A102" s="774"/>
      <c r="B102" s="4"/>
      <c r="C102" s="23"/>
      <c r="D102" s="23"/>
      <c r="E102" s="23"/>
      <c r="F102" s="23"/>
      <c r="G102" s="23"/>
      <c r="H102" s="23"/>
      <c r="I102" s="23"/>
      <c r="J102" s="23"/>
      <c r="K102" s="23"/>
      <c r="L102" s="23"/>
      <c r="M102" s="23"/>
      <c r="N102" s="23"/>
      <c r="O102" s="23"/>
      <c r="P102" s="4"/>
      <c r="Q102" s="23"/>
      <c r="R102" s="23"/>
      <c r="S102" s="4"/>
      <c r="T102" s="4"/>
      <c r="U102" s="4"/>
    </row>
    <row r="103" spans="1:21" x14ac:dyDescent="0.2">
      <c r="A103" s="774"/>
      <c r="B103" s="4"/>
      <c r="C103" s="23"/>
      <c r="D103" s="23"/>
      <c r="E103" s="23"/>
      <c r="F103" s="23"/>
      <c r="G103" s="23"/>
      <c r="H103" s="23"/>
      <c r="I103" s="23"/>
      <c r="J103" s="23"/>
      <c r="K103" s="23"/>
      <c r="L103" s="23"/>
      <c r="M103" s="23"/>
      <c r="N103" s="23"/>
      <c r="O103" s="23"/>
      <c r="P103" s="4"/>
      <c r="Q103" s="23"/>
      <c r="R103" s="23"/>
      <c r="S103" s="4"/>
      <c r="T103" s="4"/>
      <c r="U103" s="4"/>
    </row>
    <row r="104" spans="1:21" x14ac:dyDescent="0.2">
      <c r="A104" s="774"/>
      <c r="B104" s="4"/>
      <c r="C104" s="23"/>
      <c r="D104" s="23"/>
      <c r="E104" s="23"/>
      <c r="F104" s="23"/>
      <c r="G104" s="23"/>
      <c r="H104" s="23"/>
      <c r="I104" s="23"/>
      <c r="J104" s="23"/>
      <c r="K104" s="23"/>
      <c r="L104" s="23"/>
      <c r="M104" s="23"/>
      <c r="N104" s="23"/>
      <c r="O104" s="23"/>
      <c r="P104" s="4"/>
      <c r="Q104" s="23"/>
      <c r="R104" s="23"/>
      <c r="S104" s="4"/>
      <c r="T104" s="4"/>
      <c r="U104" s="4"/>
    </row>
    <row r="105" spans="1:21" x14ac:dyDescent="0.2">
      <c r="A105" s="774"/>
      <c r="B105" s="4"/>
      <c r="C105" s="23"/>
      <c r="D105" s="23"/>
      <c r="E105" s="23"/>
      <c r="F105" s="23"/>
      <c r="G105" s="23"/>
      <c r="H105" s="23"/>
      <c r="I105" s="23"/>
      <c r="J105" s="23"/>
      <c r="K105" s="23"/>
      <c r="L105" s="23"/>
      <c r="M105" s="23"/>
      <c r="N105" s="23"/>
      <c r="O105" s="23"/>
      <c r="P105" s="4"/>
      <c r="Q105" s="23"/>
      <c r="R105" s="23"/>
      <c r="S105" s="4"/>
      <c r="T105" s="4"/>
      <c r="U105" s="4"/>
    </row>
    <row r="106" spans="1:21" x14ac:dyDescent="0.2">
      <c r="A106" s="774"/>
      <c r="B106" s="4"/>
      <c r="C106" s="23"/>
      <c r="D106" s="23"/>
      <c r="E106" s="23"/>
      <c r="F106" s="23"/>
      <c r="G106" s="23"/>
      <c r="H106" s="23"/>
      <c r="I106" s="23"/>
      <c r="J106" s="23"/>
      <c r="K106" s="23"/>
      <c r="L106" s="23"/>
      <c r="M106" s="23"/>
      <c r="N106" s="23"/>
      <c r="O106" s="23"/>
      <c r="P106" s="4"/>
      <c r="Q106" s="23"/>
      <c r="R106" s="23"/>
      <c r="S106" s="4"/>
      <c r="T106" s="4"/>
      <c r="U106" s="4"/>
    </row>
    <row r="107" spans="1:21" x14ac:dyDescent="0.2">
      <c r="A107" s="774"/>
      <c r="B107" s="4"/>
      <c r="C107" s="23"/>
      <c r="D107" s="23"/>
      <c r="E107" s="23"/>
      <c r="F107" s="23"/>
      <c r="G107" s="23"/>
      <c r="H107" s="23"/>
      <c r="I107" s="23"/>
      <c r="J107" s="23"/>
      <c r="K107" s="23"/>
      <c r="L107" s="23"/>
      <c r="M107" s="23"/>
      <c r="N107" s="23"/>
      <c r="O107" s="23"/>
      <c r="P107" s="4"/>
      <c r="Q107" s="23"/>
      <c r="R107" s="23"/>
      <c r="S107" s="4"/>
      <c r="T107" s="4"/>
      <c r="U107" s="4"/>
    </row>
    <row r="108" spans="1:21" x14ac:dyDescent="0.2">
      <c r="A108" s="774"/>
      <c r="B108" s="4"/>
      <c r="C108" s="23"/>
      <c r="D108" s="23"/>
      <c r="E108" s="23"/>
      <c r="F108" s="23"/>
      <c r="G108" s="23"/>
      <c r="H108" s="23"/>
      <c r="I108" s="23"/>
      <c r="J108" s="23"/>
      <c r="K108" s="23"/>
      <c r="L108" s="23"/>
      <c r="M108" s="23"/>
      <c r="N108" s="23"/>
      <c r="O108" s="23"/>
      <c r="P108" s="4"/>
      <c r="Q108" s="23"/>
      <c r="R108" s="23"/>
      <c r="S108" s="4"/>
      <c r="T108" s="4"/>
      <c r="U108" s="4"/>
    </row>
    <row r="109" spans="1:21" x14ac:dyDescent="0.2">
      <c r="A109" s="774"/>
      <c r="B109" s="4"/>
      <c r="C109" s="23"/>
      <c r="D109" s="23"/>
      <c r="E109" s="23"/>
      <c r="F109" s="23"/>
      <c r="G109" s="23"/>
      <c r="H109" s="23"/>
      <c r="I109" s="23"/>
      <c r="J109" s="23"/>
      <c r="K109" s="23"/>
      <c r="L109" s="23"/>
      <c r="M109" s="23"/>
      <c r="N109" s="23"/>
      <c r="O109" s="23"/>
      <c r="P109" s="4"/>
      <c r="Q109" s="23"/>
      <c r="R109" s="23"/>
      <c r="S109" s="4"/>
      <c r="T109" s="4"/>
      <c r="U109" s="4"/>
    </row>
    <row r="110" spans="1:21" x14ac:dyDescent="0.2">
      <c r="A110" s="774"/>
      <c r="B110" s="4"/>
      <c r="C110" s="23"/>
      <c r="D110" s="23"/>
      <c r="E110" s="23"/>
      <c r="F110" s="23"/>
      <c r="G110" s="23"/>
      <c r="H110" s="23"/>
      <c r="I110" s="23"/>
      <c r="J110" s="23"/>
      <c r="K110" s="23"/>
      <c r="L110" s="23"/>
      <c r="M110" s="23"/>
      <c r="N110" s="23"/>
      <c r="O110" s="23"/>
      <c r="P110" s="4"/>
      <c r="Q110" s="23"/>
      <c r="R110" s="23"/>
      <c r="S110" s="4"/>
      <c r="T110" s="4"/>
      <c r="U110" s="4"/>
    </row>
    <row r="111" spans="1:21" x14ac:dyDescent="0.2">
      <c r="A111" s="774"/>
      <c r="B111" s="4"/>
      <c r="C111" s="23"/>
      <c r="D111" s="23"/>
      <c r="E111" s="23"/>
      <c r="F111" s="23"/>
      <c r="G111" s="23"/>
      <c r="H111" s="23"/>
      <c r="I111" s="23"/>
      <c r="J111" s="23"/>
      <c r="K111" s="23"/>
      <c r="L111" s="23"/>
      <c r="M111" s="23"/>
      <c r="N111" s="23"/>
      <c r="O111" s="23"/>
      <c r="P111" s="4"/>
      <c r="Q111" s="23"/>
      <c r="R111" s="23"/>
      <c r="S111" s="4"/>
      <c r="T111" s="4"/>
      <c r="U111" s="4"/>
    </row>
    <row r="112" spans="1:21" x14ac:dyDescent="0.2">
      <c r="A112" s="774"/>
      <c r="B112" s="4"/>
      <c r="C112" s="23"/>
      <c r="D112" s="23"/>
      <c r="E112" s="23"/>
      <c r="F112" s="23"/>
      <c r="G112" s="23"/>
      <c r="H112" s="23"/>
      <c r="I112" s="23"/>
      <c r="J112" s="23"/>
      <c r="K112" s="23"/>
      <c r="L112" s="23"/>
      <c r="M112" s="23"/>
      <c r="N112" s="23"/>
      <c r="O112" s="23"/>
      <c r="P112" s="4"/>
      <c r="Q112" s="23"/>
      <c r="R112" s="23"/>
      <c r="S112" s="4"/>
      <c r="T112" s="4"/>
      <c r="U112" s="4"/>
    </row>
    <row r="113" spans="1:21" x14ac:dyDescent="0.2">
      <c r="A113" s="774"/>
      <c r="B113" s="4"/>
      <c r="C113" s="23"/>
      <c r="D113" s="23"/>
      <c r="E113" s="23"/>
      <c r="F113" s="23"/>
      <c r="G113" s="23"/>
      <c r="H113" s="23"/>
      <c r="I113" s="23"/>
      <c r="J113" s="23"/>
      <c r="K113" s="23"/>
      <c r="L113" s="23"/>
      <c r="M113" s="23"/>
      <c r="N113" s="23"/>
      <c r="O113" s="23"/>
      <c r="P113" s="4"/>
      <c r="Q113" s="23"/>
      <c r="R113" s="23"/>
      <c r="S113" s="4"/>
      <c r="T113" s="4"/>
      <c r="U113" s="4"/>
    </row>
    <row r="114" spans="1:21" x14ac:dyDescent="0.2">
      <c r="A114" s="774"/>
      <c r="B114" s="4"/>
      <c r="C114" s="23"/>
      <c r="D114" s="23"/>
      <c r="E114" s="23"/>
      <c r="F114" s="23"/>
      <c r="G114" s="23"/>
      <c r="H114" s="23"/>
      <c r="I114" s="23"/>
      <c r="J114" s="23"/>
      <c r="K114" s="23"/>
      <c r="L114" s="23"/>
      <c r="M114" s="23"/>
      <c r="N114" s="23"/>
      <c r="O114" s="23"/>
      <c r="P114" s="4"/>
      <c r="Q114" s="23"/>
      <c r="R114" s="23"/>
      <c r="S114" s="4"/>
      <c r="T114" s="4"/>
      <c r="U114" s="4"/>
    </row>
    <row r="115" spans="1:21" x14ac:dyDescent="0.2">
      <c r="A115" s="774"/>
      <c r="B115" s="4"/>
      <c r="C115" s="23"/>
      <c r="D115" s="23"/>
      <c r="E115" s="23"/>
      <c r="F115" s="23"/>
      <c r="G115" s="23"/>
      <c r="H115" s="23"/>
      <c r="I115" s="23"/>
      <c r="J115" s="23"/>
      <c r="K115" s="23"/>
      <c r="L115" s="23"/>
      <c r="M115" s="23"/>
      <c r="N115" s="23"/>
      <c r="O115" s="23"/>
      <c r="P115" s="4"/>
      <c r="Q115" s="23"/>
      <c r="R115" s="23"/>
      <c r="S115" s="4"/>
      <c r="T115" s="4"/>
      <c r="U115" s="4"/>
    </row>
    <row r="116" spans="1:21" x14ac:dyDescent="0.2">
      <c r="A116" s="774"/>
      <c r="B116" s="4"/>
      <c r="C116" s="23"/>
      <c r="D116" s="23"/>
      <c r="E116" s="23"/>
      <c r="F116" s="23"/>
      <c r="G116" s="23"/>
      <c r="H116" s="23"/>
      <c r="I116" s="23"/>
      <c r="J116" s="23"/>
      <c r="K116" s="23"/>
      <c r="L116" s="23"/>
      <c r="M116" s="23"/>
      <c r="N116" s="23"/>
      <c r="O116" s="23"/>
      <c r="P116" s="4"/>
      <c r="Q116" s="23"/>
      <c r="R116" s="23"/>
      <c r="S116" s="4"/>
      <c r="T116" s="4"/>
      <c r="U116" s="4"/>
    </row>
    <row r="117" spans="1:21" x14ac:dyDescent="0.2">
      <c r="A117" s="774"/>
      <c r="B117" s="4"/>
      <c r="C117" s="23"/>
      <c r="D117" s="23"/>
      <c r="E117" s="23"/>
      <c r="F117" s="23"/>
      <c r="G117" s="23"/>
      <c r="H117" s="23"/>
      <c r="I117" s="23"/>
      <c r="J117" s="23"/>
      <c r="K117" s="23"/>
      <c r="L117" s="23"/>
      <c r="M117" s="23"/>
      <c r="N117" s="23"/>
      <c r="O117" s="23"/>
      <c r="P117" s="4"/>
      <c r="Q117" s="23"/>
      <c r="R117" s="23"/>
      <c r="S117" s="4"/>
      <c r="T117" s="4"/>
      <c r="U117" s="4"/>
    </row>
    <row r="118" spans="1:21" x14ac:dyDescent="0.2">
      <c r="A118" s="774"/>
      <c r="B118" s="4"/>
      <c r="C118" s="23"/>
      <c r="D118" s="23"/>
      <c r="E118" s="23"/>
      <c r="F118" s="23"/>
      <c r="G118" s="23"/>
      <c r="H118" s="23"/>
      <c r="I118" s="23"/>
      <c r="J118" s="23"/>
      <c r="K118" s="23"/>
      <c r="L118" s="23"/>
      <c r="M118" s="23"/>
      <c r="N118" s="23"/>
      <c r="O118" s="23"/>
      <c r="P118" s="4"/>
      <c r="Q118" s="23"/>
      <c r="R118" s="23"/>
      <c r="S118" s="4"/>
      <c r="T118" s="4"/>
      <c r="U118" s="4"/>
    </row>
    <row r="119" spans="1:21" x14ac:dyDescent="0.2">
      <c r="A119" s="774"/>
      <c r="B119" s="4"/>
      <c r="C119" s="23"/>
      <c r="D119" s="23"/>
      <c r="E119" s="23"/>
      <c r="F119" s="23"/>
      <c r="G119" s="23"/>
      <c r="H119" s="23"/>
      <c r="I119" s="23"/>
      <c r="J119" s="23"/>
      <c r="K119" s="23"/>
      <c r="L119" s="23"/>
      <c r="M119" s="23"/>
      <c r="N119" s="23"/>
      <c r="O119" s="23"/>
      <c r="P119" s="4"/>
      <c r="Q119" s="23"/>
      <c r="R119" s="23"/>
      <c r="S119" s="4"/>
      <c r="T119" s="4"/>
      <c r="U119" s="4"/>
    </row>
    <row r="120" spans="1:21" x14ac:dyDescent="0.2">
      <c r="A120" s="774"/>
      <c r="B120" s="4"/>
      <c r="C120" s="23"/>
      <c r="D120" s="23"/>
      <c r="E120" s="23"/>
      <c r="F120" s="23"/>
      <c r="G120" s="23"/>
      <c r="H120" s="23"/>
      <c r="I120" s="23"/>
      <c r="J120" s="23"/>
      <c r="K120" s="23"/>
      <c r="L120" s="23"/>
      <c r="M120" s="23"/>
      <c r="N120" s="23"/>
      <c r="O120" s="23"/>
      <c r="P120" s="4"/>
      <c r="Q120" s="23"/>
      <c r="R120" s="23"/>
      <c r="S120" s="4"/>
      <c r="T120" s="4"/>
      <c r="U120" s="4"/>
    </row>
    <row r="121" spans="1:21" x14ac:dyDescent="0.2">
      <c r="A121" s="774"/>
      <c r="B121" s="4"/>
      <c r="C121" s="23"/>
      <c r="D121" s="23"/>
      <c r="E121" s="23"/>
      <c r="F121" s="23"/>
      <c r="G121" s="23"/>
      <c r="H121" s="23"/>
      <c r="I121" s="23"/>
      <c r="J121" s="23"/>
      <c r="K121" s="23"/>
      <c r="L121" s="23"/>
      <c r="M121" s="23"/>
      <c r="N121" s="23"/>
      <c r="O121" s="23"/>
      <c r="P121" s="4"/>
      <c r="Q121" s="23"/>
      <c r="R121" s="23"/>
      <c r="S121" s="4"/>
      <c r="T121" s="4"/>
      <c r="U121" s="4"/>
    </row>
    <row r="122" spans="1:21" x14ac:dyDescent="0.2">
      <c r="A122" s="774"/>
      <c r="B122" s="4"/>
      <c r="C122" s="23"/>
      <c r="D122" s="23"/>
      <c r="E122" s="23"/>
      <c r="F122" s="23"/>
      <c r="G122" s="23"/>
      <c r="H122" s="23"/>
      <c r="I122" s="23"/>
      <c r="J122" s="23"/>
      <c r="K122" s="23"/>
      <c r="L122" s="23"/>
      <c r="M122" s="23"/>
      <c r="N122" s="23"/>
      <c r="O122" s="23"/>
      <c r="P122" s="4"/>
      <c r="Q122" s="23"/>
      <c r="R122" s="23"/>
      <c r="S122" s="4"/>
      <c r="T122" s="4"/>
      <c r="U122" s="4"/>
    </row>
    <row r="123" spans="1:21" x14ac:dyDescent="0.2">
      <c r="A123" s="774"/>
      <c r="B123" s="4"/>
      <c r="C123" s="23"/>
      <c r="D123" s="23"/>
      <c r="E123" s="23"/>
      <c r="F123" s="23"/>
      <c r="G123" s="23"/>
      <c r="H123" s="23"/>
      <c r="I123" s="23"/>
      <c r="J123" s="23"/>
      <c r="K123" s="23"/>
      <c r="L123" s="23"/>
      <c r="M123" s="23"/>
      <c r="N123" s="23"/>
      <c r="O123" s="23"/>
      <c r="P123" s="4"/>
      <c r="Q123" s="23"/>
      <c r="R123" s="23"/>
      <c r="S123" s="4"/>
      <c r="T123" s="4"/>
      <c r="U123" s="4"/>
    </row>
    <row r="124" spans="1:21" x14ac:dyDescent="0.2">
      <c r="A124" s="774"/>
      <c r="B124" s="4"/>
      <c r="C124" s="23"/>
      <c r="D124" s="23"/>
      <c r="E124" s="23"/>
      <c r="F124" s="23"/>
      <c r="G124" s="23"/>
      <c r="H124" s="23"/>
      <c r="I124" s="23"/>
      <c r="J124" s="23"/>
      <c r="K124" s="23"/>
      <c r="L124" s="23"/>
      <c r="M124" s="23"/>
      <c r="N124" s="23"/>
      <c r="O124" s="23"/>
      <c r="P124" s="4"/>
      <c r="Q124" s="23"/>
      <c r="R124" s="23"/>
      <c r="S124" s="4"/>
      <c r="T124" s="4"/>
      <c r="U124" s="4"/>
    </row>
    <row r="125" spans="1:21" x14ac:dyDescent="0.2">
      <c r="A125" s="774"/>
      <c r="B125" s="4"/>
      <c r="C125" s="23"/>
      <c r="D125" s="23"/>
      <c r="E125" s="23"/>
      <c r="F125" s="23"/>
      <c r="G125" s="23"/>
      <c r="H125" s="23"/>
      <c r="I125" s="23"/>
      <c r="J125" s="23"/>
      <c r="K125" s="23"/>
      <c r="L125" s="23"/>
      <c r="M125" s="23"/>
      <c r="N125" s="23"/>
      <c r="O125" s="23"/>
      <c r="P125" s="4"/>
      <c r="Q125" s="23"/>
      <c r="R125" s="23"/>
      <c r="S125" s="4"/>
      <c r="T125" s="4"/>
      <c r="U125" s="4"/>
    </row>
    <row r="126" spans="1:21" x14ac:dyDescent="0.2">
      <c r="A126" s="774"/>
      <c r="B126" s="4"/>
      <c r="C126" s="23"/>
      <c r="D126" s="23"/>
      <c r="E126" s="23"/>
      <c r="F126" s="23"/>
      <c r="G126" s="23"/>
      <c r="H126" s="23"/>
      <c r="I126" s="23"/>
      <c r="J126" s="23"/>
      <c r="K126" s="23"/>
      <c r="L126" s="23"/>
      <c r="M126" s="23"/>
      <c r="N126" s="23"/>
      <c r="O126" s="23"/>
      <c r="P126" s="4"/>
      <c r="Q126" s="23"/>
      <c r="R126" s="23"/>
      <c r="S126" s="4"/>
      <c r="T126" s="4"/>
      <c r="U126" s="4"/>
    </row>
    <row r="127" spans="1:21" x14ac:dyDescent="0.2">
      <c r="A127" s="774"/>
      <c r="B127" s="4"/>
      <c r="C127" s="23"/>
      <c r="D127" s="23"/>
      <c r="E127" s="23"/>
      <c r="F127" s="23"/>
      <c r="G127" s="23"/>
      <c r="H127" s="23"/>
      <c r="I127" s="23"/>
      <c r="J127" s="23"/>
      <c r="K127" s="23"/>
      <c r="L127" s="23"/>
      <c r="M127" s="23"/>
      <c r="N127" s="23"/>
      <c r="O127" s="23"/>
      <c r="P127" s="4"/>
      <c r="Q127" s="23"/>
      <c r="R127" s="23"/>
      <c r="S127" s="4"/>
      <c r="T127" s="4"/>
      <c r="U127" s="4"/>
    </row>
    <row r="128" spans="1:21" x14ac:dyDescent="0.2">
      <c r="A128" s="774"/>
      <c r="B128" s="4"/>
      <c r="C128" s="23"/>
      <c r="D128" s="23"/>
      <c r="E128" s="23"/>
      <c r="F128" s="23"/>
      <c r="G128" s="23"/>
      <c r="H128" s="23"/>
      <c r="I128" s="23"/>
      <c r="J128" s="23"/>
      <c r="K128" s="23"/>
      <c r="L128" s="23"/>
      <c r="M128" s="23"/>
      <c r="N128" s="23"/>
      <c r="O128" s="23"/>
      <c r="P128" s="4"/>
      <c r="Q128" s="23"/>
      <c r="R128" s="23"/>
      <c r="S128" s="4"/>
      <c r="T128" s="4"/>
      <c r="U128" s="4"/>
    </row>
    <row r="129" spans="1:21" x14ac:dyDescent="0.2">
      <c r="A129" s="774"/>
      <c r="B129" s="4"/>
      <c r="C129" s="23"/>
      <c r="D129" s="23"/>
      <c r="E129" s="23"/>
      <c r="F129" s="23"/>
      <c r="G129" s="23"/>
      <c r="H129" s="23"/>
      <c r="I129" s="23"/>
      <c r="J129" s="23"/>
      <c r="K129" s="23"/>
      <c r="L129" s="23"/>
      <c r="M129" s="23"/>
      <c r="N129" s="23"/>
      <c r="O129" s="23"/>
      <c r="P129" s="4"/>
      <c r="Q129" s="23"/>
      <c r="R129" s="23"/>
      <c r="S129" s="4"/>
      <c r="T129" s="4"/>
      <c r="U129" s="4"/>
    </row>
    <row r="130" spans="1:21" x14ac:dyDescent="0.2">
      <c r="A130" s="774"/>
      <c r="B130" s="4"/>
      <c r="C130" s="23"/>
      <c r="D130" s="23"/>
      <c r="E130" s="23"/>
      <c r="F130" s="23"/>
      <c r="G130" s="23"/>
      <c r="H130" s="23"/>
      <c r="I130" s="23"/>
      <c r="J130" s="23"/>
      <c r="K130" s="23"/>
      <c r="L130" s="23"/>
      <c r="M130" s="23"/>
      <c r="N130" s="23"/>
      <c r="O130" s="23"/>
      <c r="P130" s="4"/>
      <c r="Q130" s="23"/>
      <c r="R130" s="23"/>
      <c r="S130" s="4"/>
      <c r="T130" s="4"/>
      <c r="U130" s="4"/>
    </row>
    <row r="131" spans="1:21" x14ac:dyDescent="0.2">
      <c r="A131" s="774"/>
      <c r="B131" s="4"/>
      <c r="C131" s="23"/>
      <c r="D131" s="23"/>
      <c r="E131" s="23"/>
      <c r="F131" s="23"/>
      <c r="G131" s="23"/>
      <c r="H131" s="23"/>
      <c r="I131" s="23"/>
      <c r="J131" s="23"/>
      <c r="K131" s="23"/>
      <c r="L131" s="23"/>
      <c r="M131" s="23"/>
      <c r="N131" s="23"/>
      <c r="O131" s="23"/>
      <c r="P131" s="4"/>
      <c r="Q131" s="23"/>
      <c r="R131" s="23"/>
      <c r="S131" s="4"/>
      <c r="T131" s="4"/>
      <c r="U131" s="4"/>
    </row>
    <row r="132" spans="1:21" x14ac:dyDescent="0.2">
      <c r="A132" s="774"/>
      <c r="B132" s="4"/>
      <c r="C132" s="23"/>
      <c r="D132" s="23"/>
      <c r="E132" s="23"/>
      <c r="F132" s="23"/>
      <c r="G132" s="23"/>
      <c r="H132" s="23"/>
      <c r="I132" s="23"/>
      <c r="J132" s="23"/>
      <c r="K132" s="23"/>
      <c r="L132" s="23"/>
      <c r="M132" s="23"/>
      <c r="N132" s="23"/>
      <c r="O132" s="23"/>
      <c r="P132" s="4"/>
      <c r="Q132" s="23"/>
      <c r="R132" s="23"/>
      <c r="S132" s="4"/>
      <c r="T132" s="4"/>
      <c r="U132" s="4"/>
    </row>
    <row r="133" spans="1:21" x14ac:dyDescent="0.2">
      <c r="A133" s="774"/>
      <c r="B133" s="4"/>
      <c r="C133" s="23"/>
      <c r="D133" s="23"/>
      <c r="E133" s="23"/>
      <c r="F133" s="23"/>
      <c r="G133" s="23"/>
      <c r="H133" s="23"/>
      <c r="I133" s="23"/>
      <c r="J133" s="23"/>
      <c r="K133" s="23"/>
      <c r="L133" s="23"/>
      <c r="M133" s="23"/>
      <c r="N133" s="23"/>
      <c r="O133" s="23"/>
      <c r="P133" s="4"/>
      <c r="Q133" s="23"/>
      <c r="R133" s="23"/>
      <c r="S133" s="4"/>
      <c r="T133" s="4"/>
      <c r="U133" s="4"/>
    </row>
    <row r="134" spans="1:21" x14ac:dyDescent="0.2">
      <c r="A134" s="774"/>
      <c r="B134" s="4"/>
      <c r="C134" s="23"/>
      <c r="D134" s="23"/>
      <c r="E134" s="23"/>
      <c r="F134" s="23"/>
      <c r="G134" s="23"/>
      <c r="H134" s="23"/>
      <c r="I134" s="23"/>
      <c r="J134" s="23"/>
      <c r="K134" s="23"/>
      <c r="L134" s="23"/>
      <c r="M134" s="23"/>
      <c r="N134" s="23"/>
      <c r="O134" s="23"/>
      <c r="P134" s="4"/>
      <c r="Q134" s="23"/>
      <c r="R134" s="23"/>
      <c r="S134" s="4"/>
      <c r="T134" s="4"/>
      <c r="U134" s="4"/>
    </row>
    <row r="135" spans="1:21" x14ac:dyDescent="0.2">
      <c r="A135" s="774"/>
      <c r="B135" s="4"/>
      <c r="C135" s="23"/>
      <c r="D135" s="23"/>
      <c r="E135" s="23"/>
      <c r="F135" s="23"/>
      <c r="G135" s="23"/>
      <c r="H135" s="23"/>
      <c r="I135" s="23"/>
      <c r="J135" s="23"/>
      <c r="K135" s="23"/>
      <c r="L135" s="23"/>
      <c r="M135" s="23"/>
      <c r="N135" s="23"/>
      <c r="O135" s="23"/>
      <c r="P135" s="4"/>
      <c r="Q135" s="23"/>
      <c r="R135" s="23"/>
      <c r="S135" s="4"/>
      <c r="T135" s="4"/>
      <c r="U135" s="4"/>
    </row>
    <row r="136" spans="1:21" x14ac:dyDescent="0.2">
      <c r="A136" s="774"/>
      <c r="B136" s="4"/>
      <c r="C136" s="23"/>
      <c r="D136" s="23"/>
      <c r="E136" s="23"/>
      <c r="F136" s="23"/>
      <c r="G136" s="23"/>
      <c r="H136" s="23"/>
      <c r="I136" s="23"/>
      <c r="J136" s="23"/>
      <c r="K136" s="23"/>
      <c r="L136" s="23"/>
      <c r="M136" s="23"/>
      <c r="N136" s="23"/>
      <c r="O136" s="23"/>
      <c r="P136" s="4"/>
      <c r="Q136" s="23"/>
      <c r="R136" s="23"/>
      <c r="S136" s="4"/>
      <c r="T136" s="4"/>
      <c r="U136" s="4"/>
    </row>
    <row r="137" spans="1:21" x14ac:dyDescent="0.2">
      <c r="A137" s="774"/>
      <c r="B137" s="4"/>
      <c r="C137" s="23"/>
      <c r="D137" s="23"/>
      <c r="E137" s="23"/>
      <c r="F137" s="23"/>
      <c r="G137" s="23"/>
      <c r="H137" s="23"/>
      <c r="I137" s="23"/>
      <c r="J137" s="23"/>
      <c r="K137" s="23"/>
      <c r="L137" s="23"/>
      <c r="M137" s="23"/>
      <c r="N137" s="23"/>
      <c r="O137" s="23"/>
      <c r="P137" s="4"/>
      <c r="Q137" s="23"/>
      <c r="R137" s="23"/>
      <c r="S137" s="4"/>
      <c r="T137" s="4"/>
      <c r="U137" s="4"/>
    </row>
    <row r="138" spans="1:21" x14ac:dyDescent="0.2">
      <c r="A138" s="774"/>
      <c r="B138" s="4"/>
      <c r="C138" s="23"/>
      <c r="D138" s="23"/>
      <c r="E138" s="23"/>
      <c r="F138" s="23"/>
      <c r="G138" s="23"/>
      <c r="H138" s="23"/>
      <c r="I138" s="23"/>
      <c r="J138" s="23"/>
      <c r="K138" s="23"/>
      <c r="L138" s="23"/>
      <c r="M138" s="23"/>
      <c r="N138" s="23"/>
      <c r="O138" s="23"/>
      <c r="P138" s="4"/>
      <c r="Q138" s="23"/>
      <c r="R138" s="23"/>
      <c r="S138" s="4"/>
      <c r="T138" s="4"/>
      <c r="U138" s="4"/>
    </row>
    <row r="139" spans="1:21" x14ac:dyDescent="0.2">
      <c r="A139" s="774"/>
      <c r="B139" s="4"/>
      <c r="C139" s="23"/>
      <c r="D139" s="23"/>
      <c r="E139" s="23"/>
      <c r="F139" s="23"/>
      <c r="G139" s="23"/>
      <c r="H139" s="23"/>
      <c r="I139" s="23"/>
      <c r="J139" s="23"/>
      <c r="K139" s="23"/>
      <c r="L139" s="23"/>
      <c r="M139" s="23"/>
      <c r="N139" s="23"/>
      <c r="O139" s="23"/>
      <c r="P139" s="4"/>
      <c r="Q139" s="23"/>
      <c r="R139" s="23"/>
      <c r="S139" s="4"/>
      <c r="T139" s="4"/>
      <c r="U139" s="4"/>
    </row>
    <row r="140" spans="1:21" x14ac:dyDescent="0.2">
      <c r="A140" s="774"/>
      <c r="B140" s="4"/>
      <c r="C140" s="23"/>
      <c r="D140" s="23"/>
      <c r="E140" s="23"/>
      <c r="F140" s="23"/>
      <c r="G140" s="23"/>
      <c r="H140" s="23"/>
      <c r="I140" s="23"/>
      <c r="J140" s="23"/>
      <c r="K140" s="23"/>
      <c r="L140" s="23"/>
      <c r="M140" s="23"/>
      <c r="N140" s="23"/>
      <c r="O140" s="23"/>
      <c r="P140" s="4"/>
      <c r="Q140" s="23"/>
      <c r="R140" s="23"/>
      <c r="S140" s="4"/>
      <c r="T140" s="4"/>
      <c r="U140" s="4"/>
    </row>
    <row r="141" spans="1:21" x14ac:dyDescent="0.2">
      <c r="A141" s="774"/>
      <c r="B141" s="4"/>
      <c r="C141" s="23"/>
      <c r="D141" s="23"/>
      <c r="E141" s="23"/>
      <c r="F141" s="23"/>
      <c r="G141" s="23"/>
      <c r="H141" s="23"/>
      <c r="I141" s="23"/>
      <c r="J141" s="23"/>
      <c r="K141" s="23"/>
      <c r="L141" s="23"/>
      <c r="M141" s="23"/>
      <c r="N141" s="23"/>
      <c r="O141" s="23"/>
      <c r="P141" s="4"/>
      <c r="Q141" s="23"/>
      <c r="R141" s="23"/>
      <c r="S141" s="4"/>
      <c r="T141" s="4"/>
      <c r="U141" s="4"/>
    </row>
    <row r="142" spans="1:21" x14ac:dyDescent="0.2">
      <c r="A142" s="774"/>
      <c r="B142" s="4"/>
      <c r="C142" s="23"/>
      <c r="D142" s="23"/>
      <c r="E142" s="23"/>
      <c r="F142" s="23"/>
      <c r="G142" s="23"/>
      <c r="H142" s="23"/>
      <c r="I142" s="23"/>
      <c r="J142" s="23"/>
      <c r="K142" s="23"/>
      <c r="L142" s="23"/>
      <c r="M142" s="23"/>
      <c r="N142" s="23"/>
      <c r="O142" s="23"/>
      <c r="P142" s="4"/>
      <c r="Q142" s="23"/>
      <c r="R142" s="23"/>
      <c r="S142" s="4"/>
      <c r="T142" s="4"/>
      <c r="U142" s="4"/>
    </row>
    <row r="143" spans="1:21" x14ac:dyDescent="0.2">
      <c r="A143" s="774"/>
      <c r="B143" s="4"/>
      <c r="C143" s="23"/>
      <c r="D143" s="23"/>
      <c r="E143" s="23"/>
      <c r="F143" s="23"/>
      <c r="G143" s="23"/>
      <c r="H143" s="23"/>
      <c r="I143" s="23"/>
      <c r="J143" s="23"/>
      <c r="K143" s="23"/>
      <c r="L143" s="23"/>
      <c r="M143" s="23"/>
      <c r="N143" s="23"/>
      <c r="O143" s="23"/>
      <c r="P143" s="4"/>
      <c r="Q143" s="23"/>
      <c r="R143" s="23"/>
      <c r="S143" s="4"/>
      <c r="T143" s="4"/>
      <c r="U143" s="4"/>
    </row>
    <row r="144" spans="1:21" x14ac:dyDescent="0.2">
      <c r="A144" s="774"/>
      <c r="B144" s="4"/>
      <c r="C144" s="23"/>
      <c r="D144" s="23"/>
      <c r="E144" s="23"/>
      <c r="F144" s="23"/>
      <c r="G144" s="23"/>
      <c r="H144" s="23"/>
      <c r="I144" s="23"/>
      <c r="J144" s="23"/>
      <c r="K144" s="23"/>
      <c r="L144" s="23"/>
      <c r="M144" s="23"/>
      <c r="N144" s="23"/>
      <c r="O144" s="23"/>
      <c r="P144" s="4"/>
      <c r="Q144" s="23"/>
      <c r="R144" s="23"/>
      <c r="S144" s="4"/>
      <c r="T144" s="4"/>
      <c r="U144" s="4"/>
    </row>
    <row r="145" spans="1:21" x14ac:dyDescent="0.2">
      <c r="A145" s="774"/>
      <c r="B145" s="4"/>
      <c r="C145" s="23"/>
      <c r="D145" s="23"/>
      <c r="E145" s="23"/>
      <c r="F145" s="23"/>
      <c r="G145" s="23"/>
      <c r="H145" s="23"/>
      <c r="I145" s="23"/>
      <c r="J145" s="23"/>
      <c r="K145" s="23"/>
      <c r="L145" s="23"/>
      <c r="M145" s="23"/>
      <c r="N145" s="23"/>
      <c r="O145" s="23"/>
      <c r="P145" s="4"/>
      <c r="Q145" s="23"/>
      <c r="R145" s="23"/>
      <c r="S145" s="4"/>
      <c r="T145" s="4"/>
      <c r="U145" s="4"/>
    </row>
    <row r="146" spans="1:21" x14ac:dyDescent="0.2">
      <c r="C146" s="212"/>
      <c r="D146" s="212"/>
      <c r="E146" s="212"/>
      <c r="F146" s="212"/>
      <c r="G146" s="212"/>
      <c r="H146" s="212"/>
      <c r="I146" s="212"/>
      <c r="J146" s="212"/>
      <c r="K146" s="212"/>
      <c r="L146" s="212"/>
      <c r="M146" s="212"/>
      <c r="N146" s="212"/>
      <c r="O146" s="212"/>
    </row>
    <row r="147" spans="1:21" x14ac:dyDescent="0.2">
      <c r="C147" s="212"/>
      <c r="D147" s="212"/>
      <c r="E147" s="212"/>
      <c r="F147" s="212"/>
      <c r="G147" s="212"/>
      <c r="H147" s="212"/>
      <c r="I147" s="212"/>
      <c r="J147" s="212"/>
      <c r="K147" s="212"/>
      <c r="L147" s="212"/>
      <c r="M147" s="212"/>
      <c r="N147" s="212"/>
      <c r="O147" s="212"/>
    </row>
    <row r="148" spans="1:21" x14ac:dyDescent="0.2">
      <c r="C148" s="212"/>
      <c r="D148" s="212"/>
      <c r="E148" s="212"/>
      <c r="F148" s="212"/>
      <c r="G148" s="212"/>
      <c r="H148" s="212"/>
      <c r="I148" s="212"/>
      <c r="J148" s="212"/>
      <c r="K148" s="212"/>
      <c r="L148" s="212"/>
      <c r="M148" s="212"/>
      <c r="N148" s="212"/>
      <c r="O148" s="212"/>
    </row>
    <row r="149" spans="1:21" x14ac:dyDescent="0.2">
      <c r="C149" s="212"/>
      <c r="D149" s="212"/>
      <c r="E149" s="212"/>
      <c r="F149" s="212"/>
      <c r="G149" s="212"/>
      <c r="H149" s="212"/>
      <c r="I149" s="212"/>
      <c r="J149" s="212"/>
      <c r="K149" s="212"/>
      <c r="L149" s="212"/>
      <c r="M149" s="212"/>
      <c r="N149" s="212"/>
      <c r="O149" s="212"/>
    </row>
    <row r="150" spans="1:21" x14ac:dyDescent="0.2">
      <c r="C150" s="212"/>
      <c r="D150" s="212"/>
      <c r="E150" s="212"/>
      <c r="F150" s="212"/>
      <c r="G150" s="212"/>
      <c r="H150" s="212"/>
      <c r="I150" s="212"/>
      <c r="J150" s="212"/>
      <c r="K150" s="212"/>
      <c r="L150" s="212"/>
      <c r="M150" s="212"/>
      <c r="N150" s="212"/>
      <c r="O150" s="212"/>
    </row>
    <row r="151" spans="1:21" x14ac:dyDescent="0.2">
      <c r="C151" s="212"/>
      <c r="D151" s="212"/>
      <c r="E151" s="212"/>
      <c r="F151" s="212"/>
      <c r="G151" s="212"/>
      <c r="H151" s="212"/>
      <c r="I151" s="212"/>
      <c r="J151" s="212"/>
      <c r="K151" s="212"/>
      <c r="L151" s="212"/>
      <c r="M151" s="212"/>
      <c r="N151" s="212"/>
      <c r="O151" s="212"/>
    </row>
    <row r="152" spans="1:21" x14ac:dyDescent="0.2">
      <c r="C152" s="212"/>
      <c r="D152" s="212"/>
      <c r="E152" s="212"/>
      <c r="F152" s="212"/>
      <c r="G152" s="212"/>
      <c r="H152" s="212"/>
      <c r="I152" s="212"/>
      <c r="J152" s="212"/>
      <c r="K152" s="212"/>
      <c r="L152" s="212"/>
      <c r="M152" s="212"/>
      <c r="N152" s="212"/>
      <c r="O152" s="212"/>
    </row>
    <row r="153" spans="1:21" x14ac:dyDescent="0.2">
      <c r="C153" s="212"/>
      <c r="D153" s="212"/>
      <c r="E153" s="212"/>
      <c r="F153" s="212"/>
      <c r="G153" s="212"/>
      <c r="H153" s="212"/>
      <c r="I153" s="212"/>
      <c r="J153" s="212"/>
      <c r="K153" s="212"/>
      <c r="L153" s="212"/>
      <c r="M153" s="212"/>
      <c r="N153" s="212"/>
      <c r="O153" s="212"/>
    </row>
    <row r="154" spans="1:21" x14ac:dyDescent="0.2">
      <c r="C154" s="212"/>
      <c r="D154" s="212"/>
      <c r="E154" s="212"/>
      <c r="F154" s="212"/>
      <c r="G154" s="212"/>
      <c r="H154" s="212"/>
      <c r="I154" s="212"/>
      <c r="J154" s="212"/>
      <c r="K154" s="212"/>
      <c r="L154" s="212"/>
      <c r="M154" s="212"/>
      <c r="N154" s="212"/>
      <c r="O154" s="212"/>
    </row>
    <row r="155" spans="1:21" x14ac:dyDescent="0.2">
      <c r="C155" s="212"/>
      <c r="D155" s="212"/>
      <c r="E155" s="212"/>
      <c r="F155" s="212"/>
      <c r="G155" s="212"/>
      <c r="H155" s="212"/>
      <c r="I155" s="212"/>
      <c r="J155" s="212"/>
      <c r="K155" s="212"/>
      <c r="L155" s="212"/>
      <c r="M155" s="212"/>
      <c r="N155" s="212"/>
      <c r="O155" s="212"/>
    </row>
    <row r="156" spans="1:21" x14ac:dyDescent="0.2">
      <c r="C156" s="212"/>
      <c r="D156" s="212"/>
      <c r="E156" s="212"/>
      <c r="F156" s="212"/>
      <c r="G156" s="212"/>
      <c r="H156" s="212"/>
      <c r="I156" s="212"/>
      <c r="J156" s="212"/>
      <c r="K156" s="212"/>
      <c r="L156" s="212"/>
      <c r="M156" s="212"/>
      <c r="N156" s="212"/>
      <c r="O156" s="212"/>
    </row>
    <row r="157" spans="1:21" x14ac:dyDescent="0.2">
      <c r="C157" s="212"/>
      <c r="D157" s="212"/>
      <c r="E157" s="212"/>
      <c r="F157" s="212"/>
      <c r="G157" s="212"/>
      <c r="H157" s="212"/>
      <c r="I157" s="212"/>
      <c r="J157" s="212"/>
      <c r="K157" s="212"/>
      <c r="L157" s="212"/>
      <c r="M157" s="212"/>
      <c r="N157" s="212"/>
      <c r="O157" s="212"/>
    </row>
    <row r="158" spans="1:21" x14ac:dyDescent="0.2">
      <c r="C158" s="212"/>
      <c r="D158" s="212"/>
      <c r="E158" s="212"/>
      <c r="F158" s="212"/>
      <c r="G158" s="212"/>
      <c r="H158" s="212"/>
      <c r="I158" s="212"/>
      <c r="J158" s="212"/>
      <c r="K158" s="212"/>
      <c r="L158" s="212"/>
      <c r="M158" s="212"/>
      <c r="N158" s="212"/>
      <c r="O158" s="212"/>
    </row>
    <row r="159" spans="1:21" x14ac:dyDescent="0.2">
      <c r="C159" s="212"/>
      <c r="D159" s="212"/>
      <c r="E159" s="212"/>
      <c r="F159" s="212"/>
      <c r="G159" s="212"/>
      <c r="H159" s="212"/>
      <c r="I159" s="212"/>
      <c r="J159" s="212"/>
      <c r="K159" s="212"/>
      <c r="L159" s="212"/>
      <c r="M159" s="212"/>
      <c r="N159" s="212"/>
      <c r="O159" s="212"/>
    </row>
    <row r="160" spans="1:21" x14ac:dyDescent="0.2">
      <c r="C160" s="212"/>
      <c r="D160" s="212"/>
      <c r="E160" s="212"/>
      <c r="F160" s="212"/>
      <c r="G160" s="212"/>
      <c r="H160" s="212"/>
      <c r="I160" s="212"/>
      <c r="J160" s="212"/>
      <c r="K160" s="212"/>
      <c r="L160" s="212"/>
      <c r="M160" s="212"/>
      <c r="N160" s="212"/>
      <c r="O160" s="212"/>
    </row>
    <row r="161" spans="3:3" x14ac:dyDescent="0.2">
      <c r="C161" s="212"/>
    </row>
    <row r="162" spans="3:3" x14ac:dyDescent="0.2">
      <c r="C162" s="212"/>
    </row>
    <row r="163" spans="3:3" x14ac:dyDescent="0.2">
      <c r="C163" s="212"/>
    </row>
    <row r="164" spans="3:3" x14ac:dyDescent="0.2">
      <c r="C164" s="212"/>
    </row>
    <row r="165" spans="3:3" x14ac:dyDescent="0.2">
      <c r="C165" s="212"/>
    </row>
    <row r="166" spans="3:3" x14ac:dyDescent="0.2">
      <c r="C166" s="212"/>
    </row>
    <row r="167" spans="3:3" x14ac:dyDescent="0.2">
      <c r="C167" s="212"/>
    </row>
    <row r="168" spans="3:3" x14ac:dyDescent="0.2">
      <c r="C168" s="212"/>
    </row>
    <row r="169" spans="3:3" x14ac:dyDescent="0.2">
      <c r="C169" s="212"/>
    </row>
    <row r="170" spans="3:3" x14ac:dyDescent="0.2">
      <c r="C170" s="212"/>
    </row>
    <row r="171" spans="3:3" x14ac:dyDescent="0.2">
      <c r="C171" s="212"/>
    </row>
    <row r="172" spans="3:3" x14ac:dyDescent="0.2">
      <c r="C172" s="212"/>
    </row>
    <row r="173" spans="3:3" x14ac:dyDescent="0.2">
      <c r="C173" s="212"/>
    </row>
    <row r="174" spans="3:3" x14ac:dyDescent="0.2">
      <c r="C174" s="212"/>
    </row>
    <row r="175" spans="3:3" x14ac:dyDescent="0.2">
      <c r="C175" s="212"/>
    </row>
    <row r="176" spans="3:3" x14ac:dyDescent="0.2">
      <c r="C176" s="212"/>
    </row>
    <row r="177" spans="3:3" x14ac:dyDescent="0.2">
      <c r="C177" s="212"/>
    </row>
    <row r="178" spans="3:3" x14ac:dyDescent="0.2">
      <c r="C178" s="212"/>
    </row>
    <row r="179" spans="3:3" x14ac:dyDescent="0.2">
      <c r="C179" s="212"/>
    </row>
    <row r="180" spans="3:3" x14ac:dyDescent="0.2">
      <c r="C180" s="212"/>
    </row>
    <row r="181" spans="3:3" x14ac:dyDescent="0.2">
      <c r="C181" s="212"/>
    </row>
    <row r="182" spans="3:3" x14ac:dyDescent="0.2">
      <c r="C182" s="212"/>
    </row>
    <row r="183" spans="3:3" x14ac:dyDescent="0.2">
      <c r="C183" s="212"/>
    </row>
    <row r="184" spans="3:3" x14ac:dyDescent="0.2">
      <c r="C184" s="212"/>
    </row>
    <row r="185" spans="3:3" x14ac:dyDescent="0.2">
      <c r="C185" s="212"/>
    </row>
    <row r="186" spans="3:3" x14ac:dyDescent="0.2">
      <c r="C186" s="212"/>
    </row>
    <row r="187" spans="3:3" x14ac:dyDescent="0.2">
      <c r="C187" s="212"/>
    </row>
    <row r="188" spans="3:3" x14ac:dyDescent="0.2">
      <c r="C188" s="212"/>
    </row>
    <row r="189" spans="3:3" x14ac:dyDescent="0.2">
      <c r="C189" s="212"/>
    </row>
    <row r="190" spans="3:3" x14ac:dyDescent="0.2">
      <c r="C190" s="212"/>
    </row>
    <row r="191" spans="3:3" x14ac:dyDescent="0.2">
      <c r="C191" s="212"/>
    </row>
    <row r="192" spans="3:3" x14ac:dyDescent="0.2">
      <c r="C192" s="212"/>
    </row>
  </sheetData>
  <phoneticPr fontId="0" type="noConversion"/>
  <hyperlinks>
    <hyperlink ref="A1" location="'Working Budget with funding det'!A1" display="Main " xr:uid="{00000000-0004-0000-0D00-000000000000}"/>
    <hyperlink ref="B1" location="'Table of Contents'!A1" display="TOC" xr:uid="{00000000-0004-0000-0D00-000001000000}"/>
  </hyperlinks>
  <pageMargins left="0.75" right="0.75" top="1" bottom="1" header="0.5" footer="0.5"/>
  <pageSetup scale="92" orientation="landscape" horizontalDpi="300" verticalDpi="300" r:id="rId1"/>
  <headerFooter alignWithMargins="0">
    <oddFooter>&amp;L&amp;D     &amp;T&amp;C&amp;F&amp;R&amp;A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V215"/>
  <sheetViews>
    <sheetView workbookViewId="0">
      <pane ySplit="7" topLeftCell="A8" activePane="bottomLeft" state="frozen"/>
      <selection activeCell="P15" sqref="P15"/>
      <selection pane="bottomLeft" activeCell="P15" sqref="P15"/>
    </sheetView>
  </sheetViews>
  <sheetFormatPr defaultRowHeight="12.75" x14ac:dyDescent="0.2"/>
  <cols>
    <col min="1" max="1" width="11.33203125" style="783" customWidth="1"/>
    <col min="2" max="2" width="36.6640625" customWidth="1"/>
    <col min="3" max="3" width="14.5" style="1" hidden="1" customWidth="1"/>
    <col min="4" max="12" width="14.5" style="106" hidden="1" customWidth="1"/>
    <col min="13" max="15" width="14.5" style="106" customWidth="1"/>
    <col min="16" max="16" width="14.5" customWidth="1"/>
    <col min="17" max="19" width="14.5" style="1" customWidth="1"/>
    <col min="20" max="21" width="14.5" customWidth="1"/>
  </cols>
  <sheetData>
    <row r="1" spans="1:22" x14ac:dyDescent="0.2">
      <c r="A1" s="772" t="s">
        <v>847</v>
      </c>
      <c r="B1" s="308" t="s">
        <v>197</v>
      </c>
      <c r="D1" s="212"/>
      <c r="E1" s="212"/>
      <c r="F1" s="212"/>
      <c r="G1" s="212"/>
      <c r="H1" s="212"/>
      <c r="I1" s="212"/>
      <c r="J1" s="212"/>
      <c r="K1" s="212"/>
      <c r="L1" s="212"/>
      <c r="M1" s="212"/>
      <c r="N1" s="212"/>
      <c r="O1" s="212"/>
      <c r="S1"/>
    </row>
    <row r="2" spans="1:22" ht="15" x14ac:dyDescent="0.25">
      <c r="A2" s="773" t="s">
        <v>815</v>
      </c>
      <c r="B2" s="43"/>
      <c r="D2" s="212"/>
      <c r="E2" s="126"/>
      <c r="F2" s="212"/>
      <c r="G2" s="212"/>
      <c r="H2" s="212"/>
      <c r="I2" s="126" t="s">
        <v>816</v>
      </c>
      <c r="J2" s="126"/>
      <c r="K2" s="126"/>
      <c r="L2" s="126"/>
      <c r="M2" s="126"/>
      <c r="N2" s="126"/>
      <c r="O2" s="126"/>
      <c r="P2" s="58" t="s">
        <v>901</v>
      </c>
      <c r="Q2" s="212"/>
      <c r="R2" s="212"/>
      <c r="S2" s="44" t="s">
        <v>902</v>
      </c>
      <c r="V2" s="220"/>
    </row>
    <row r="3" spans="1:22" ht="13.5" thickBot="1" x14ac:dyDescent="0.25">
      <c r="A3" s="774"/>
      <c r="B3" s="4"/>
      <c r="C3" s="23"/>
      <c r="D3" s="23"/>
      <c r="E3" s="23"/>
      <c r="F3" s="23"/>
      <c r="G3" s="23"/>
      <c r="H3" s="23"/>
      <c r="I3" s="23"/>
      <c r="J3" s="23"/>
      <c r="K3" s="23"/>
      <c r="L3" s="23"/>
      <c r="M3" s="23"/>
      <c r="N3" s="23"/>
      <c r="O3" s="23"/>
      <c r="P3" s="4"/>
      <c r="Q3" s="23"/>
      <c r="R3" s="23"/>
      <c r="S3" s="4"/>
    </row>
    <row r="4" spans="1:22"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 t="s">
        <v>571</v>
      </c>
      <c r="R4" s="7" t="s">
        <v>571</v>
      </c>
      <c r="S4" s="7" t="s">
        <v>571</v>
      </c>
    </row>
    <row r="5" spans="1:22"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2" x14ac:dyDescent="0.2">
      <c r="A6" s="776"/>
      <c r="B6" s="202"/>
      <c r="C6" s="113"/>
      <c r="D6" s="113"/>
      <c r="E6" s="113"/>
      <c r="F6" s="113"/>
      <c r="G6" s="113"/>
      <c r="H6" s="113"/>
      <c r="I6" s="83"/>
      <c r="J6" s="83"/>
      <c r="K6" s="83"/>
      <c r="L6" s="83"/>
      <c r="M6" s="83"/>
      <c r="N6" s="83"/>
      <c r="O6" s="83"/>
      <c r="P6" s="113"/>
      <c r="Q6" s="83" t="s">
        <v>823</v>
      </c>
      <c r="R6" s="83" t="s">
        <v>585</v>
      </c>
      <c r="S6" s="45" t="s">
        <v>824</v>
      </c>
    </row>
    <row r="7" spans="1:22"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2" ht="13.5" thickTop="1" x14ac:dyDescent="0.2">
      <c r="A8" s="796"/>
      <c r="B8" s="203"/>
      <c r="C8" s="118"/>
      <c r="D8" s="18"/>
      <c r="E8" s="18"/>
      <c r="F8" s="18"/>
      <c r="G8" s="18"/>
      <c r="H8" s="18"/>
      <c r="I8" s="19"/>
      <c r="J8" s="19"/>
      <c r="K8" s="19"/>
      <c r="L8" s="19"/>
      <c r="M8" s="19"/>
      <c r="N8" s="19"/>
      <c r="O8" s="19"/>
      <c r="P8" s="18"/>
      <c r="Q8" s="19"/>
      <c r="R8" s="19"/>
      <c r="S8" s="19"/>
    </row>
    <row r="9" spans="1:22" ht="13.5" thickBot="1" x14ac:dyDescent="0.25">
      <c r="A9" s="779">
        <v>5111</v>
      </c>
      <c r="B9" s="90" t="s">
        <v>849</v>
      </c>
      <c r="C9" s="117">
        <v>62644.4</v>
      </c>
      <c r="D9" s="15">
        <f>129+62937</f>
        <v>63066</v>
      </c>
      <c r="E9" s="15">
        <v>64970</v>
      </c>
      <c r="F9" s="15">
        <v>66933</v>
      </c>
      <c r="G9" s="15">
        <v>68954</v>
      </c>
      <c r="H9" s="15">
        <v>69988</v>
      </c>
      <c r="I9" s="15">
        <v>71388</v>
      </c>
      <c r="J9" s="15">
        <v>73905</v>
      </c>
      <c r="K9" s="16">
        <v>75014</v>
      </c>
      <c r="L9" s="15">
        <v>75014</v>
      </c>
      <c r="M9" s="16">
        <v>76139</v>
      </c>
      <c r="N9" s="15">
        <v>76139</v>
      </c>
      <c r="O9" s="16">
        <f>2284+76139</f>
        <v>78423</v>
      </c>
      <c r="P9" s="15">
        <v>37703.49</v>
      </c>
      <c r="Q9" s="16">
        <f>ROUND(+P33,0)</f>
        <v>80384</v>
      </c>
      <c r="R9" s="16"/>
      <c r="S9" s="16"/>
    </row>
    <row r="10" spans="1:22" ht="13.5" hidden="1" thickBot="1" x14ac:dyDescent="0.25">
      <c r="A10" s="779">
        <v>5114</v>
      </c>
      <c r="B10" s="102" t="s">
        <v>850</v>
      </c>
      <c r="C10" s="600">
        <v>739.48</v>
      </c>
      <c r="D10" s="37">
        <v>1464.56</v>
      </c>
      <c r="E10" s="37">
        <v>1903.42</v>
      </c>
      <c r="F10" s="37">
        <v>1211.77</v>
      </c>
      <c r="G10" s="37"/>
      <c r="H10" s="37"/>
      <c r="I10" s="37">
        <v>0</v>
      </c>
      <c r="J10" s="37"/>
      <c r="K10" s="38"/>
      <c r="L10" s="37"/>
      <c r="M10" s="38"/>
      <c r="N10" s="37"/>
      <c r="O10" s="38"/>
      <c r="P10" s="37"/>
      <c r="Q10" s="38"/>
      <c r="R10" s="38"/>
      <c r="S10" s="38"/>
    </row>
    <row r="11" spans="1:22" x14ac:dyDescent="0.2">
      <c r="A11" s="779"/>
      <c r="B11" s="61" t="s">
        <v>828</v>
      </c>
      <c r="C11" s="118">
        <f t="shared" ref="C11:J11" si="0">SUM(C9:C10)</f>
        <v>63383.880000000005</v>
      </c>
      <c r="D11" s="18">
        <f t="shared" si="0"/>
        <v>64530.559999999998</v>
      </c>
      <c r="E11" s="18">
        <f t="shared" si="0"/>
        <v>66873.42</v>
      </c>
      <c r="F11" s="18">
        <f t="shared" si="0"/>
        <v>68144.77</v>
      </c>
      <c r="G11" s="18">
        <f t="shared" si="0"/>
        <v>68954</v>
      </c>
      <c r="H11" s="18">
        <f t="shared" si="0"/>
        <v>69988</v>
      </c>
      <c r="I11" s="18">
        <f t="shared" si="0"/>
        <v>71388</v>
      </c>
      <c r="J11" s="18">
        <f t="shared" si="0"/>
        <v>73905</v>
      </c>
      <c r="K11" s="19">
        <f>SUM(K9:K10)</f>
        <v>75014</v>
      </c>
      <c r="L11" s="18">
        <f t="shared" ref="L11:O11" si="1">SUM(L9:L10)</f>
        <v>75014</v>
      </c>
      <c r="M11" s="19">
        <f t="shared" si="1"/>
        <v>76139</v>
      </c>
      <c r="N11" s="18">
        <f t="shared" si="1"/>
        <v>76139</v>
      </c>
      <c r="O11" s="19">
        <f t="shared" si="1"/>
        <v>78423</v>
      </c>
      <c r="P11" s="18">
        <f>SUM(P8:P10)</f>
        <v>37703.49</v>
      </c>
      <c r="Q11" s="19">
        <f>SUM(Q9:Q10)</f>
        <v>80384</v>
      </c>
      <c r="R11" s="19"/>
      <c r="S11" s="19">
        <f>SUM(S9:S10)</f>
        <v>0</v>
      </c>
    </row>
    <row r="12" spans="1:22" x14ac:dyDescent="0.2">
      <c r="A12" s="779"/>
      <c r="B12" s="60"/>
      <c r="C12" s="116"/>
      <c r="D12" s="13"/>
      <c r="E12" s="13"/>
      <c r="F12" s="13"/>
      <c r="G12" s="13"/>
      <c r="H12" s="13"/>
      <c r="I12" s="13"/>
      <c r="J12" s="13"/>
      <c r="K12" s="14"/>
      <c r="L12" s="13"/>
      <c r="M12" s="14"/>
      <c r="N12" s="13"/>
      <c r="O12" s="14"/>
      <c r="P12" s="13"/>
      <c r="Q12" s="14"/>
      <c r="R12" s="14"/>
      <c r="S12" s="14"/>
    </row>
    <row r="13" spans="1:22" x14ac:dyDescent="0.2">
      <c r="A13" s="779">
        <v>5247</v>
      </c>
      <c r="B13" s="60" t="s">
        <v>903</v>
      </c>
      <c r="C13" s="116">
        <v>3734</v>
      </c>
      <c r="D13" s="13">
        <v>3809</v>
      </c>
      <c r="E13" s="13">
        <v>3885</v>
      </c>
      <c r="F13" s="13">
        <v>3963</v>
      </c>
      <c r="G13" s="13">
        <v>4082</v>
      </c>
      <c r="H13" s="13">
        <v>4204</v>
      </c>
      <c r="I13" s="128">
        <v>4289</v>
      </c>
      <c r="J13" s="128">
        <v>4375</v>
      </c>
      <c r="K13" s="14">
        <v>4485</v>
      </c>
      <c r="L13" s="128">
        <v>4593</v>
      </c>
      <c r="M13" s="14">
        <v>4826</v>
      </c>
      <c r="N13" s="128">
        <v>4754</v>
      </c>
      <c r="O13" s="14">
        <v>5500</v>
      </c>
      <c r="P13" s="13">
        <v>5259.25</v>
      </c>
      <c r="Q13" s="14">
        <v>5900</v>
      </c>
      <c r="R13" s="14"/>
      <c r="S13" s="14"/>
      <c r="T13" t="s">
        <v>904</v>
      </c>
    </row>
    <row r="14" spans="1:22" hidden="1" x14ac:dyDescent="0.2">
      <c r="A14" s="779">
        <v>5248</v>
      </c>
      <c r="B14" s="60" t="s">
        <v>905</v>
      </c>
      <c r="C14" s="116"/>
      <c r="D14" s="13">
        <v>0</v>
      </c>
      <c r="E14" s="13"/>
      <c r="F14" s="13"/>
      <c r="G14" s="13"/>
      <c r="H14" s="13"/>
      <c r="I14" s="13">
        <v>0</v>
      </c>
      <c r="J14" s="13"/>
      <c r="K14" s="14">
        <v>0</v>
      </c>
      <c r="L14" s="13"/>
      <c r="M14" s="14">
        <v>0</v>
      </c>
      <c r="N14" s="13"/>
      <c r="O14" s="14">
        <v>0</v>
      </c>
      <c r="P14" s="13"/>
      <c r="Q14" s="14">
        <v>0</v>
      </c>
      <c r="R14" s="14"/>
      <c r="S14" s="14"/>
    </row>
    <row r="15" spans="1:22" x14ac:dyDescent="0.2">
      <c r="A15" s="779">
        <v>5250</v>
      </c>
      <c r="B15" s="60" t="s">
        <v>906</v>
      </c>
      <c r="C15" s="116"/>
      <c r="D15" s="13"/>
      <c r="E15" s="13"/>
      <c r="F15" s="13"/>
      <c r="G15" s="13"/>
      <c r="H15" s="13"/>
      <c r="I15" s="13"/>
      <c r="J15" s="13"/>
      <c r="K15" s="14"/>
      <c r="L15" s="13"/>
      <c r="M15" s="14"/>
      <c r="N15" s="13"/>
      <c r="O15" s="14">
        <v>3500</v>
      </c>
      <c r="P15" s="13">
        <v>2382.5</v>
      </c>
      <c r="Q15" s="14"/>
      <c r="R15" s="14"/>
      <c r="S15" s="14"/>
    </row>
    <row r="16" spans="1:22" x14ac:dyDescent="0.2">
      <c r="A16" s="779">
        <v>5305</v>
      </c>
      <c r="B16" s="60" t="s">
        <v>895</v>
      </c>
      <c r="C16" s="116">
        <v>225</v>
      </c>
      <c r="D16" s="13">
        <v>134.18</v>
      </c>
      <c r="E16" s="13">
        <v>264.49</v>
      </c>
      <c r="F16" s="13">
        <v>137.47999999999999</v>
      </c>
      <c r="G16" s="13">
        <v>151.94999999999999</v>
      </c>
      <c r="H16" s="13">
        <v>138.47</v>
      </c>
      <c r="I16" s="13">
        <v>139.37</v>
      </c>
      <c r="J16" s="13">
        <v>150.78</v>
      </c>
      <c r="K16" s="14">
        <v>160</v>
      </c>
      <c r="L16" s="13">
        <v>156.44999999999999</v>
      </c>
      <c r="M16" s="14">
        <v>160</v>
      </c>
      <c r="N16" s="13">
        <v>156.22</v>
      </c>
      <c r="O16" s="14">
        <v>175</v>
      </c>
      <c r="P16" s="13"/>
      <c r="Q16" s="14">
        <v>200</v>
      </c>
      <c r="R16" s="14"/>
      <c r="S16" s="14"/>
    </row>
    <row r="17" spans="1:21" x14ac:dyDescent="0.2">
      <c r="A17" s="779">
        <v>5314</v>
      </c>
      <c r="B17" s="60" t="s">
        <v>860</v>
      </c>
      <c r="C17" s="116">
        <v>290</v>
      </c>
      <c r="D17" s="13">
        <v>20</v>
      </c>
      <c r="E17" s="13">
        <v>340</v>
      </c>
      <c r="F17" s="13">
        <v>290</v>
      </c>
      <c r="G17" s="13">
        <v>290</v>
      </c>
      <c r="H17" s="13">
        <v>340</v>
      </c>
      <c r="I17" s="13">
        <v>0</v>
      </c>
      <c r="J17" s="13"/>
      <c r="K17" s="14">
        <v>350</v>
      </c>
      <c r="L17" s="13">
        <v>75</v>
      </c>
      <c r="M17" s="14">
        <v>350</v>
      </c>
      <c r="N17" s="13"/>
      <c r="O17" s="14">
        <v>350</v>
      </c>
      <c r="P17" s="13"/>
      <c r="Q17" s="14">
        <v>350</v>
      </c>
      <c r="R17" s="14"/>
      <c r="S17" s="14"/>
    </row>
    <row r="18" spans="1:21" x14ac:dyDescent="0.2">
      <c r="A18" s="779">
        <v>5315</v>
      </c>
      <c r="B18" s="60" t="s">
        <v>907</v>
      </c>
      <c r="C18" s="116"/>
      <c r="D18" s="13"/>
      <c r="E18" s="13"/>
      <c r="F18" s="13"/>
      <c r="G18" s="13"/>
      <c r="H18" s="13"/>
      <c r="I18" s="13"/>
      <c r="J18" s="13"/>
      <c r="K18" s="14"/>
      <c r="L18" s="13"/>
      <c r="M18" s="14"/>
      <c r="N18" s="13">
        <v>320.98</v>
      </c>
      <c r="O18" s="14"/>
      <c r="P18" s="13"/>
      <c r="Q18" s="14"/>
      <c r="R18" s="14"/>
      <c r="S18" s="14"/>
    </row>
    <row r="19" spans="1:21" x14ac:dyDescent="0.2">
      <c r="A19" s="779">
        <v>5341</v>
      </c>
      <c r="B19" s="60" t="s">
        <v>862</v>
      </c>
      <c r="C19" s="116">
        <v>209.06</v>
      </c>
      <c r="D19" s="13">
        <v>204.61</v>
      </c>
      <c r="E19" s="13">
        <v>206.02</v>
      </c>
      <c r="F19" s="13">
        <v>212.43</v>
      </c>
      <c r="G19" s="13">
        <v>217.4</v>
      </c>
      <c r="H19" s="13"/>
      <c r="I19" s="13"/>
      <c r="J19" s="13"/>
      <c r="K19" s="14"/>
      <c r="L19" s="13"/>
      <c r="M19" s="14"/>
      <c r="N19" s="13"/>
      <c r="O19" s="14"/>
      <c r="P19" s="13"/>
      <c r="Q19" s="14"/>
      <c r="R19" s="14"/>
      <c r="S19" s="14"/>
    </row>
    <row r="20" spans="1:21" x14ac:dyDescent="0.2">
      <c r="A20" s="779">
        <v>5344</v>
      </c>
      <c r="B20" s="60" t="s">
        <v>832</v>
      </c>
      <c r="C20" s="116">
        <v>53.02</v>
      </c>
      <c r="D20" s="13">
        <v>18.420000000000002</v>
      </c>
      <c r="E20" s="13">
        <v>29.4</v>
      </c>
      <c r="F20" s="13">
        <v>11.86</v>
      </c>
      <c r="G20" s="13">
        <v>9.33</v>
      </c>
      <c r="H20" s="13">
        <v>9.41</v>
      </c>
      <c r="I20" s="13">
        <v>78.010000000000005</v>
      </c>
      <c r="J20" s="13">
        <v>13.1</v>
      </c>
      <c r="K20" s="14">
        <v>25</v>
      </c>
      <c r="L20" s="13">
        <v>108.3</v>
      </c>
      <c r="M20" s="14">
        <v>25</v>
      </c>
      <c r="N20" s="13">
        <v>27.28</v>
      </c>
      <c r="O20" s="14">
        <v>36</v>
      </c>
      <c r="P20" s="13">
        <v>13.11</v>
      </c>
      <c r="Q20" s="14">
        <v>50</v>
      </c>
      <c r="R20" s="14"/>
      <c r="S20" s="14"/>
    </row>
    <row r="21" spans="1:21" x14ac:dyDescent="0.2">
      <c r="A21" s="779">
        <v>5380</v>
      </c>
      <c r="B21" s="12" t="s">
        <v>908</v>
      </c>
      <c r="C21" s="18"/>
      <c r="D21" s="18"/>
      <c r="E21" s="18"/>
      <c r="F21" s="18">
        <v>975</v>
      </c>
      <c r="G21" s="18"/>
      <c r="H21" s="18"/>
      <c r="I21" s="18"/>
      <c r="J21" s="18"/>
      <c r="K21" s="19"/>
      <c r="L21" s="18"/>
      <c r="M21" s="19"/>
      <c r="N21" s="18">
        <v>0</v>
      </c>
      <c r="O21" s="19">
        <v>1000</v>
      </c>
      <c r="P21" s="18"/>
      <c r="Q21" s="19"/>
      <c r="R21" s="19"/>
      <c r="S21" s="19"/>
    </row>
    <row r="22" spans="1:21" x14ac:dyDescent="0.2">
      <c r="A22" s="779">
        <v>5420</v>
      </c>
      <c r="B22" s="12" t="s">
        <v>864</v>
      </c>
      <c r="C22" s="18">
        <v>1648.08</v>
      </c>
      <c r="D22" s="18">
        <v>811.68</v>
      </c>
      <c r="E22" s="18">
        <v>2170.5300000000002</v>
      </c>
      <c r="F22" s="18">
        <v>1027.83</v>
      </c>
      <c r="G22" s="18">
        <v>1293.81</v>
      </c>
      <c r="H22" s="18">
        <v>1063.06</v>
      </c>
      <c r="I22" s="112">
        <v>1577.23</v>
      </c>
      <c r="J22" s="112">
        <v>1122.6400000000001</v>
      </c>
      <c r="K22" s="19">
        <v>1700</v>
      </c>
      <c r="L22" s="112">
        <v>1592.57</v>
      </c>
      <c r="M22" s="19">
        <v>1700</v>
      </c>
      <c r="N22" s="112">
        <v>1224.33</v>
      </c>
      <c r="O22" s="19">
        <v>1700</v>
      </c>
      <c r="P22" s="18">
        <v>787.36</v>
      </c>
      <c r="Q22" s="19">
        <f>+M72</f>
        <v>2300</v>
      </c>
      <c r="R22" s="19"/>
      <c r="S22" s="19"/>
    </row>
    <row r="23" spans="1:21" hidden="1" x14ac:dyDescent="0.2">
      <c r="A23" s="779">
        <v>5590</v>
      </c>
      <c r="B23" s="12" t="s">
        <v>909</v>
      </c>
      <c r="C23" s="18"/>
      <c r="D23" s="18"/>
      <c r="E23" s="18"/>
      <c r="F23" s="18">
        <v>1435.58</v>
      </c>
      <c r="G23" s="18"/>
      <c r="H23" s="18"/>
      <c r="I23" s="112"/>
      <c r="J23" s="112">
        <v>757.32</v>
      </c>
      <c r="K23" s="19"/>
      <c r="L23" s="112"/>
      <c r="M23" s="19"/>
      <c r="N23" s="112"/>
      <c r="O23" s="19"/>
      <c r="P23" s="18"/>
      <c r="Q23" s="19"/>
      <c r="R23" s="19"/>
      <c r="S23" s="19"/>
    </row>
    <row r="24" spans="1:21" x14ac:dyDescent="0.2">
      <c r="A24" s="779">
        <v>5710</v>
      </c>
      <c r="B24" s="12" t="s">
        <v>869</v>
      </c>
      <c r="C24" s="18">
        <v>85.52</v>
      </c>
      <c r="D24" s="18">
        <v>21.21</v>
      </c>
      <c r="E24" s="18">
        <v>117.08</v>
      </c>
      <c r="F24" s="18">
        <v>189.15</v>
      </c>
      <c r="G24" s="18">
        <v>49.86</v>
      </c>
      <c r="H24" s="18">
        <v>107.21</v>
      </c>
      <c r="I24" s="18">
        <v>0</v>
      </c>
      <c r="J24" s="18"/>
      <c r="K24" s="19">
        <v>150</v>
      </c>
      <c r="L24" s="18"/>
      <c r="M24" s="19">
        <v>150</v>
      </c>
      <c r="N24" s="18"/>
      <c r="O24" s="19">
        <v>150</v>
      </c>
      <c r="P24" s="18"/>
      <c r="Q24" s="19">
        <v>266</v>
      </c>
      <c r="R24" s="19"/>
      <c r="S24" s="19"/>
    </row>
    <row r="25" spans="1:21" ht="13.5" thickBot="1" x14ac:dyDescent="0.25">
      <c r="A25" s="779">
        <v>5730</v>
      </c>
      <c r="B25" s="12" t="s">
        <v>870</v>
      </c>
      <c r="C25" s="15">
        <v>50</v>
      </c>
      <c r="D25" s="15">
        <v>50</v>
      </c>
      <c r="E25" s="15">
        <v>50</v>
      </c>
      <c r="F25" s="15">
        <v>50</v>
      </c>
      <c r="G25" s="15">
        <v>50</v>
      </c>
      <c r="H25" s="15">
        <v>50</v>
      </c>
      <c r="I25" s="15">
        <v>50</v>
      </c>
      <c r="J25" s="15">
        <v>50</v>
      </c>
      <c r="K25" s="16">
        <v>50</v>
      </c>
      <c r="L25" s="15">
        <v>50</v>
      </c>
      <c r="M25" s="16">
        <v>50</v>
      </c>
      <c r="N25" s="15">
        <v>50</v>
      </c>
      <c r="O25" s="16">
        <v>50</v>
      </c>
      <c r="P25" s="15">
        <v>50</v>
      </c>
      <c r="Q25" s="16">
        <v>50</v>
      </c>
      <c r="R25" s="16"/>
      <c r="S25" s="16"/>
    </row>
    <row r="26" spans="1:21" x14ac:dyDescent="0.2">
      <c r="A26" s="779"/>
      <c r="B26" s="17" t="s">
        <v>838</v>
      </c>
      <c r="C26" s="35">
        <f t="shared" ref="C26:I26" si="2">SUM(C13:C25)</f>
        <v>6294.6800000000012</v>
      </c>
      <c r="D26" s="35">
        <f t="shared" si="2"/>
        <v>5069.1000000000004</v>
      </c>
      <c r="E26" s="35">
        <f t="shared" si="2"/>
        <v>7062.52</v>
      </c>
      <c r="F26" s="35">
        <f>SUM(F13:F25)</f>
        <v>8292.33</v>
      </c>
      <c r="G26" s="35">
        <f>SUM(G13:G25)</f>
        <v>6144.3499999999995</v>
      </c>
      <c r="H26" s="35">
        <f>SUM(H13:H25)</f>
        <v>5912.1500000000005</v>
      </c>
      <c r="I26" s="35">
        <f t="shared" si="2"/>
        <v>6133.6100000000006</v>
      </c>
      <c r="J26" s="35">
        <f t="shared" ref="J26" si="3">SUM(J13:J25)</f>
        <v>6468.84</v>
      </c>
      <c r="K26" s="36">
        <f>SUM(K13:K25)</f>
        <v>6920</v>
      </c>
      <c r="L26" s="35">
        <f t="shared" ref="L26:O26" si="4">SUM(L13:L25)</f>
        <v>6575.32</v>
      </c>
      <c r="M26" s="36">
        <f t="shared" si="4"/>
        <v>7261</v>
      </c>
      <c r="N26" s="35">
        <f t="shared" ref="N26" si="5">SUM(N13:N25)</f>
        <v>6532.81</v>
      </c>
      <c r="O26" s="36">
        <f t="shared" si="4"/>
        <v>12461</v>
      </c>
      <c r="P26" s="35">
        <f>SUM(P13:P25)</f>
        <v>8492.2199999999993</v>
      </c>
      <c r="Q26" s="36">
        <f>SUM(Q13:Q25)</f>
        <v>9116</v>
      </c>
      <c r="R26" s="36"/>
      <c r="S26" s="36">
        <f>SUM(S13:S25)</f>
        <v>0</v>
      </c>
    </row>
    <row r="27" spans="1:21" x14ac:dyDescent="0.2">
      <c r="A27" s="779"/>
      <c r="B27" s="12"/>
      <c r="C27" s="13"/>
      <c r="D27" s="13"/>
      <c r="E27" s="13"/>
      <c r="F27" s="13"/>
      <c r="G27" s="13"/>
      <c r="H27" s="13"/>
      <c r="I27" s="13"/>
      <c r="J27" s="13"/>
      <c r="K27" s="14"/>
      <c r="L27" s="13"/>
      <c r="M27" s="14"/>
      <c r="N27" s="13"/>
      <c r="O27" s="14"/>
      <c r="P27" s="13"/>
      <c r="Q27" s="14"/>
      <c r="R27" s="14"/>
      <c r="S27" s="14"/>
    </row>
    <row r="28" spans="1:21" ht="13.5" thickBot="1" x14ac:dyDescent="0.25">
      <c r="A28" s="780"/>
      <c r="B28" s="20" t="s">
        <v>910</v>
      </c>
      <c r="C28" s="21">
        <f t="shared" ref="C28:Q28" si="6">+C26+C11</f>
        <v>69678.560000000012</v>
      </c>
      <c r="D28" s="21">
        <f t="shared" si="6"/>
        <v>69599.66</v>
      </c>
      <c r="E28" s="21">
        <f t="shared" si="6"/>
        <v>73935.94</v>
      </c>
      <c r="F28" s="21">
        <f t="shared" si="6"/>
        <v>76437.100000000006</v>
      </c>
      <c r="G28" s="21">
        <f t="shared" si="6"/>
        <v>75098.350000000006</v>
      </c>
      <c r="H28" s="21">
        <f t="shared" si="6"/>
        <v>75900.149999999994</v>
      </c>
      <c r="I28" s="21">
        <f t="shared" si="6"/>
        <v>77521.61</v>
      </c>
      <c r="J28" s="21">
        <f t="shared" si="6"/>
        <v>80373.84</v>
      </c>
      <c r="K28" s="39">
        <f t="shared" si="6"/>
        <v>81934</v>
      </c>
      <c r="L28" s="21">
        <f t="shared" si="6"/>
        <v>81589.320000000007</v>
      </c>
      <c r="M28" s="39">
        <f t="shared" si="6"/>
        <v>83400</v>
      </c>
      <c r="N28" s="21">
        <f t="shared" ref="N28" si="7">+N26+N11</f>
        <v>82671.81</v>
      </c>
      <c r="O28" s="39">
        <f t="shared" si="6"/>
        <v>90884</v>
      </c>
      <c r="P28" s="21">
        <f t="shared" si="6"/>
        <v>46195.71</v>
      </c>
      <c r="Q28" s="39">
        <f t="shared" si="6"/>
        <v>89500</v>
      </c>
      <c r="R28" s="39">
        <f>+Q28</f>
        <v>89500</v>
      </c>
      <c r="S28" s="39">
        <f>+Q28</f>
        <v>89500</v>
      </c>
    </row>
    <row r="29" spans="1:21" ht="13.5" thickTop="1" x14ac:dyDescent="0.2">
      <c r="A29" s="774"/>
      <c r="B29" s="4"/>
      <c r="C29" s="24"/>
      <c r="D29" s="24"/>
      <c r="E29" s="24"/>
      <c r="F29" s="24"/>
      <c r="G29" s="24"/>
      <c r="H29" s="24"/>
      <c r="I29" s="24"/>
      <c r="J29" s="24"/>
      <c r="K29" s="24"/>
      <c r="L29" s="24"/>
      <c r="M29" s="24"/>
      <c r="N29" s="24"/>
      <c r="O29" s="24"/>
      <c r="P29" s="199" t="s">
        <v>843</v>
      </c>
      <c r="Q29" s="1116">
        <f>+Q28-O28</f>
        <v>-1384</v>
      </c>
      <c r="R29" s="1117">
        <f>ROUND((+Q29/O28),4)</f>
        <v>-1.52E-2</v>
      </c>
      <c r="S29" s="23"/>
      <c r="T29" s="25"/>
      <c r="U29" s="25"/>
    </row>
    <row r="30" spans="1:21" ht="13.5" thickBot="1" x14ac:dyDescent="0.25">
      <c r="A30" s="774" t="s">
        <v>911</v>
      </c>
      <c r="B30" s="4"/>
      <c r="D30" s="212"/>
      <c r="E30" s="212"/>
      <c r="F30" s="212"/>
      <c r="G30" s="212"/>
      <c r="H30" s="212"/>
      <c r="I30" s="212"/>
      <c r="J30" s="212"/>
      <c r="K30" s="212"/>
      <c r="L30" s="212"/>
      <c r="M30" s="212"/>
      <c r="N30" s="212"/>
      <c r="O30" s="212"/>
      <c r="S30" s="25"/>
    </row>
    <row r="31" spans="1:21" ht="13.5" thickTop="1" x14ac:dyDescent="0.2">
      <c r="A31" s="824" t="s">
        <v>912</v>
      </c>
      <c r="B31" s="99"/>
      <c r="D31" s="294"/>
      <c r="E31" s="212"/>
      <c r="F31" s="212"/>
      <c r="G31" s="212"/>
      <c r="H31" s="212"/>
      <c r="I31" s="212"/>
      <c r="J31" s="212"/>
      <c r="K31" s="212"/>
      <c r="L31" s="212"/>
      <c r="M31" s="269" t="s">
        <v>873</v>
      </c>
      <c r="N31" s="138"/>
      <c r="O31" s="150"/>
      <c r="P31" s="150" t="s">
        <v>875</v>
      </c>
      <c r="S31" s="205"/>
    </row>
    <row r="32" spans="1:21" ht="13.5" thickBot="1" x14ac:dyDescent="0.25">
      <c r="A32" s="825" t="s">
        <v>913</v>
      </c>
      <c r="B32" s="101" t="s">
        <v>878</v>
      </c>
      <c r="D32" s="296"/>
      <c r="E32" s="212"/>
      <c r="F32" s="212"/>
      <c r="G32" s="212"/>
      <c r="H32" s="212"/>
      <c r="I32" s="212"/>
      <c r="J32" s="212"/>
      <c r="K32" s="212"/>
      <c r="L32" s="212"/>
      <c r="M32" s="287">
        <v>45108</v>
      </c>
      <c r="N32" s="141"/>
      <c r="O32" s="142"/>
      <c r="P32" s="142" t="s">
        <v>881</v>
      </c>
      <c r="S32" s="205"/>
    </row>
    <row r="33" spans="1:19" ht="13.5" thickTop="1" x14ac:dyDescent="0.2">
      <c r="A33" s="133">
        <v>36416</v>
      </c>
      <c r="B33" s="102" t="s">
        <v>914</v>
      </c>
      <c r="D33" s="18"/>
      <c r="E33" s="212"/>
      <c r="F33" s="212"/>
      <c r="G33" s="212"/>
      <c r="H33" s="212"/>
      <c r="I33" s="212"/>
      <c r="J33" s="212"/>
      <c r="K33" s="212"/>
      <c r="L33" s="212"/>
      <c r="M33" s="18" t="s">
        <v>915</v>
      </c>
      <c r="N33" s="18"/>
      <c r="O33" s="18"/>
      <c r="P33" s="214">
        <f>+'NAGE &amp; Non-Union Wages'!L10</f>
        <v>80384</v>
      </c>
      <c r="S33" s="25"/>
    </row>
    <row r="34" spans="1:19" ht="13.5" thickBot="1" x14ac:dyDescent="0.25">
      <c r="A34" s="774"/>
      <c r="B34" s="4"/>
      <c r="C34" s="24"/>
      <c r="D34" s="24"/>
      <c r="E34" s="24"/>
      <c r="F34" s="212"/>
      <c r="G34" s="212"/>
      <c r="H34" s="212"/>
      <c r="I34" s="24"/>
      <c r="J34" s="24"/>
      <c r="K34" s="24"/>
      <c r="L34" s="24"/>
      <c r="M34" s="24"/>
      <c r="N34" s="24"/>
      <c r="O34" s="24"/>
      <c r="P34" s="24"/>
      <c r="Q34" s="149"/>
      <c r="R34" s="149"/>
      <c r="S34" s="25"/>
    </row>
    <row r="35" spans="1:19" ht="13.5" thickTop="1" x14ac:dyDescent="0.2">
      <c r="A35" s="775"/>
      <c r="B35" s="6"/>
      <c r="C35" s="114" t="s">
        <v>280</v>
      </c>
      <c r="D35" s="230" t="s">
        <v>280</v>
      </c>
      <c r="E35" s="230" t="s">
        <v>280</v>
      </c>
      <c r="F35" s="212"/>
      <c r="G35" s="212"/>
      <c r="H35" s="212"/>
      <c r="I35" s="212"/>
      <c r="J35" s="212"/>
      <c r="K35" s="212"/>
      <c r="L35" s="212"/>
      <c r="M35" s="370" t="s">
        <v>279</v>
      </c>
      <c r="N35" s="371" t="s">
        <v>826</v>
      </c>
      <c r="O35" s="372" t="s">
        <v>840</v>
      </c>
      <c r="P35" s="371" t="s">
        <v>841</v>
      </c>
      <c r="Q35" s="373"/>
      <c r="R35" s="569"/>
      <c r="S35" s="372"/>
    </row>
    <row r="36" spans="1:19" ht="13.5" thickBot="1" x14ac:dyDescent="0.25">
      <c r="A36" s="790" t="s">
        <v>825</v>
      </c>
      <c r="B36" s="374"/>
      <c r="C36" s="375" t="s">
        <v>267</v>
      </c>
      <c r="D36" s="375" t="s">
        <v>268</v>
      </c>
      <c r="E36" s="376" t="s">
        <v>269</v>
      </c>
      <c r="F36" s="212"/>
      <c r="G36" s="212"/>
      <c r="H36" s="212"/>
      <c r="I36" s="212"/>
      <c r="J36" s="212"/>
      <c r="K36" s="212"/>
      <c r="L36" s="212"/>
      <c r="M36" s="377" t="s">
        <v>277</v>
      </c>
      <c r="N36" s="377" t="s">
        <v>571</v>
      </c>
      <c r="O36" s="376" t="s">
        <v>843</v>
      </c>
      <c r="P36" s="378" t="s">
        <v>843</v>
      </c>
      <c r="Q36" s="379" t="s">
        <v>844</v>
      </c>
      <c r="R36" s="570"/>
      <c r="S36" s="377"/>
    </row>
    <row r="37" spans="1:19" ht="13.5" thickTop="1" x14ac:dyDescent="0.2">
      <c r="A37" s="797"/>
      <c r="B37" s="394"/>
      <c r="C37" s="383"/>
      <c r="D37" s="383"/>
      <c r="E37" s="383"/>
      <c r="F37" s="212"/>
      <c r="G37" s="212"/>
      <c r="H37" s="212"/>
      <c r="I37" s="212"/>
      <c r="J37" s="212"/>
      <c r="K37" s="212"/>
      <c r="L37" s="212"/>
      <c r="M37" s="384"/>
      <c r="N37" s="383"/>
      <c r="O37" s="384"/>
      <c r="P37" s="383"/>
      <c r="Q37" s="385"/>
      <c r="R37" s="572"/>
      <c r="S37" s="386"/>
    </row>
    <row r="38" spans="1:19" x14ac:dyDescent="0.2">
      <c r="A38" s="795">
        <v>5111</v>
      </c>
      <c r="B38" s="387" t="s">
        <v>849</v>
      </c>
      <c r="C38" s="393">
        <v>62644.4</v>
      </c>
      <c r="D38" s="393">
        <f>129+62937</f>
        <v>63066</v>
      </c>
      <c r="E38" s="393">
        <v>64970</v>
      </c>
      <c r="F38" s="212"/>
      <c r="G38" s="212"/>
      <c r="H38" s="212"/>
      <c r="I38" s="212"/>
      <c r="J38" s="212"/>
      <c r="K38" s="212"/>
      <c r="L38" s="212"/>
      <c r="M38" s="390">
        <f>+O9</f>
        <v>78423</v>
      </c>
      <c r="N38" s="547">
        <f>+Q9</f>
        <v>80384</v>
      </c>
      <c r="O38" s="386">
        <f t="shared" ref="O38:O44" si="8">+N38-M38</f>
        <v>1961</v>
      </c>
      <c r="P38" s="392">
        <f t="shared" ref="P38:P44" si="9">IF(M38+N38&lt;&gt;0,IF(M38&lt;&gt;0,IF(O38&lt;&gt;0,ROUND((+O38/M38),4),""),1),"")</f>
        <v>2.5000000000000001E-2</v>
      </c>
      <c r="Q38" s="385" t="s">
        <v>916</v>
      </c>
      <c r="R38" s="572"/>
      <c r="S38" s="386"/>
    </row>
    <row r="39" spans="1:19" ht="13.5" hidden="1" thickBot="1" x14ac:dyDescent="0.25">
      <c r="A39" s="795">
        <v>5114</v>
      </c>
      <c r="B39" s="387" t="s">
        <v>850</v>
      </c>
      <c r="C39" s="389">
        <v>739.48</v>
      </c>
      <c r="D39" s="389">
        <v>1464.56</v>
      </c>
      <c r="E39" s="389">
        <v>1903.42</v>
      </c>
      <c r="F39" s="212"/>
      <c r="G39" s="212"/>
      <c r="H39" s="212"/>
      <c r="I39" s="212"/>
      <c r="J39" s="212"/>
      <c r="K39" s="212"/>
      <c r="L39" s="212"/>
      <c r="M39" s="390"/>
      <c r="N39" s="547">
        <f>+Q10</f>
        <v>0</v>
      </c>
      <c r="O39" s="386">
        <f t="shared" si="8"/>
        <v>0</v>
      </c>
      <c r="P39" s="392" t="str">
        <f t="shared" si="9"/>
        <v/>
      </c>
      <c r="Q39" s="385"/>
      <c r="R39" s="572"/>
      <c r="S39" s="386"/>
    </row>
    <row r="40" spans="1:19" x14ac:dyDescent="0.2">
      <c r="A40" s="795">
        <v>5247</v>
      </c>
      <c r="B40" s="387" t="s">
        <v>903</v>
      </c>
      <c r="C40" s="391">
        <v>3734</v>
      </c>
      <c r="D40" s="391">
        <v>3809</v>
      </c>
      <c r="E40" s="391">
        <v>3885</v>
      </c>
      <c r="F40" s="212"/>
      <c r="G40" s="212"/>
      <c r="H40" s="212"/>
      <c r="I40" s="212"/>
      <c r="J40" s="212"/>
      <c r="K40" s="212"/>
      <c r="L40" s="212"/>
      <c r="M40" s="384">
        <f t="shared" ref="M40:M52" si="10">+O13</f>
        <v>5500</v>
      </c>
      <c r="N40" s="547">
        <f t="shared" ref="N40:N52" si="11">+Q13</f>
        <v>5900</v>
      </c>
      <c r="O40" s="386">
        <f t="shared" si="8"/>
        <v>400</v>
      </c>
      <c r="P40" s="392">
        <f t="shared" si="9"/>
        <v>7.2700000000000001E-2</v>
      </c>
      <c r="Q40" s="385" t="s">
        <v>917</v>
      </c>
      <c r="R40" s="572"/>
      <c r="S40" s="386"/>
    </row>
    <row r="41" spans="1:19" hidden="1" x14ac:dyDescent="0.2">
      <c r="A41" s="795">
        <v>5248</v>
      </c>
      <c r="B41" s="387" t="s">
        <v>905</v>
      </c>
      <c r="C41" s="391"/>
      <c r="D41" s="391">
        <v>0</v>
      </c>
      <c r="E41" s="391"/>
      <c r="F41" s="212"/>
      <c r="G41" s="212"/>
      <c r="H41" s="212"/>
      <c r="I41" s="212"/>
      <c r="J41" s="212"/>
      <c r="K41" s="212"/>
      <c r="L41" s="212"/>
      <c r="M41" s="384">
        <f t="shared" si="10"/>
        <v>0</v>
      </c>
      <c r="N41" s="547">
        <f t="shared" si="11"/>
        <v>0</v>
      </c>
      <c r="O41" s="386">
        <f t="shared" si="8"/>
        <v>0</v>
      </c>
      <c r="P41" s="392" t="str">
        <f t="shared" si="9"/>
        <v/>
      </c>
      <c r="Q41" s="385"/>
      <c r="R41" s="572"/>
      <c r="S41" s="386"/>
    </row>
    <row r="42" spans="1:19" x14ac:dyDescent="0.2">
      <c r="A42" s="795">
        <v>5250</v>
      </c>
      <c r="B42" s="387" t="s">
        <v>918</v>
      </c>
      <c r="C42" s="391"/>
      <c r="D42" s="391"/>
      <c r="E42" s="391"/>
      <c r="F42" s="212"/>
      <c r="G42" s="212"/>
      <c r="H42" s="212"/>
      <c r="I42" s="212"/>
      <c r="J42" s="212"/>
      <c r="K42" s="212"/>
      <c r="L42" s="212"/>
      <c r="M42" s="384">
        <f t="shared" si="10"/>
        <v>3500</v>
      </c>
      <c r="N42" s="547">
        <f t="shared" si="11"/>
        <v>0</v>
      </c>
      <c r="O42" s="386">
        <f t="shared" si="8"/>
        <v>-3500</v>
      </c>
      <c r="P42" s="392">
        <f t="shared" si="9"/>
        <v>-1</v>
      </c>
      <c r="Q42" s="385" t="s">
        <v>919</v>
      </c>
      <c r="R42" s="572"/>
      <c r="S42" s="386"/>
    </row>
    <row r="43" spans="1:19" x14ac:dyDescent="0.2">
      <c r="A43" s="795">
        <v>5305</v>
      </c>
      <c r="B43" s="387" t="s">
        <v>895</v>
      </c>
      <c r="C43" s="391">
        <v>225</v>
      </c>
      <c r="D43" s="391">
        <v>134.18</v>
      </c>
      <c r="E43" s="391">
        <v>264.49</v>
      </c>
      <c r="F43" s="212"/>
      <c r="G43" s="212"/>
      <c r="H43" s="212"/>
      <c r="I43" s="212"/>
      <c r="J43" s="212"/>
      <c r="K43" s="212"/>
      <c r="L43" s="212"/>
      <c r="M43" s="384">
        <f t="shared" si="10"/>
        <v>175</v>
      </c>
      <c r="N43" s="547">
        <f t="shared" si="11"/>
        <v>200</v>
      </c>
      <c r="O43" s="386">
        <f t="shared" si="8"/>
        <v>25</v>
      </c>
      <c r="P43" s="392">
        <f t="shared" si="9"/>
        <v>0.1429</v>
      </c>
      <c r="Q43" s="385" t="s">
        <v>2157</v>
      </c>
      <c r="R43" s="572"/>
      <c r="S43" s="386"/>
    </row>
    <row r="44" spans="1:19" ht="14.25" customHeight="1" x14ac:dyDescent="0.2">
      <c r="A44" s="795">
        <v>5314</v>
      </c>
      <c r="B44" s="387" t="s">
        <v>860</v>
      </c>
      <c r="C44" s="391">
        <v>290</v>
      </c>
      <c r="D44" s="391">
        <v>20</v>
      </c>
      <c r="E44" s="391">
        <v>340</v>
      </c>
      <c r="F44" s="212"/>
      <c r="G44" s="212"/>
      <c r="H44" s="212"/>
      <c r="I44" s="212"/>
      <c r="J44" s="212"/>
      <c r="K44" s="212"/>
      <c r="L44" s="212"/>
      <c r="M44" s="384">
        <f t="shared" si="10"/>
        <v>350</v>
      </c>
      <c r="N44" s="547">
        <f t="shared" si="11"/>
        <v>350</v>
      </c>
      <c r="O44" s="386">
        <f t="shared" si="8"/>
        <v>0</v>
      </c>
      <c r="P44" s="392" t="str">
        <f t="shared" si="9"/>
        <v/>
      </c>
      <c r="Q44" s="385"/>
      <c r="R44" s="572"/>
      <c r="S44" s="386"/>
    </row>
    <row r="45" spans="1:19" ht="14.25" customHeight="1" x14ac:dyDescent="0.2">
      <c r="A45" s="795">
        <v>5315</v>
      </c>
      <c r="B45" s="387" t="s">
        <v>907</v>
      </c>
      <c r="C45" s="391"/>
      <c r="D45" s="391"/>
      <c r="E45" s="391"/>
      <c r="F45" s="212"/>
      <c r="G45" s="212"/>
      <c r="H45" s="212"/>
      <c r="I45" s="212"/>
      <c r="J45" s="212"/>
      <c r="K45" s="212"/>
      <c r="L45" s="212"/>
      <c r="M45" s="384">
        <f t="shared" si="10"/>
        <v>0</v>
      </c>
      <c r="N45" s="547">
        <f t="shared" si="11"/>
        <v>0</v>
      </c>
      <c r="O45" s="386"/>
      <c r="P45" s="392"/>
      <c r="Q45" s="385"/>
      <c r="R45" s="572"/>
      <c r="S45" s="386"/>
    </row>
    <row r="46" spans="1:19" x14ac:dyDescent="0.2">
      <c r="A46" s="795">
        <v>5341</v>
      </c>
      <c r="B46" s="387" t="s">
        <v>862</v>
      </c>
      <c r="C46" s="391">
        <v>209.06</v>
      </c>
      <c r="D46" s="391">
        <v>204.61</v>
      </c>
      <c r="E46" s="391">
        <v>206.02</v>
      </c>
      <c r="F46" s="212"/>
      <c r="G46" s="212"/>
      <c r="H46" s="212"/>
      <c r="I46" s="212"/>
      <c r="J46" s="212"/>
      <c r="K46" s="212"/>
      <c r="L46" s="212"/>
      <c r="M46" s="384">
        <f t="shared" si="10"/>
        <v>0</v>
      </c>
      <c r="N46" s="547">
        <f t="shared" si="11"/>
        <v>0</v>
      </c>
      <c r="O46" s="386">
        <f t="shared" ref="O46:O52" si="12">+N46-M46</f>
        <v>0</v>
      </c>
      <c r="P46" s="392" t="str">
        <f t="shared" ref="P46:P52" si="13">IF(M46+N46&lt;&gt;0,IF(M46&lt;&gt;0,IF(O46&lt;&gt;0,ROUND((+O46/M46),4),""),1),"")</f>
        <v/>
      </c>
      <c r="Q46" s="385"/>
      <c r="R46" s="572"/>
      <c r="S46" s="386"/>
    </row>
    <row r="47" spans="1:19" x14ac:dyDescent="0.2">
      <c r="A47" s="795">
        <v>5344</v>
      </c>
      <c r="B47" s="387" t="s">
        <v>832</v>
      </c>
      <c r="C47" s="391">
        <v>53.02</v>
      </c>
      <c r="D47" s="391">
        <v>18.420000000000002</v>
      </c>
      <c r="E47" s="391">
        <v>29.4</v>
      </c>
      <c r="F47" s="212"/>
      <c r="G47" s="212"/>
      <c r="H47" s="212"/>
      <c r="I47" s="212"/>
      <c r="J47" s="212"/>
      <c r="K47" s="212"/>
      <c r="L47" s="212"/>
      <c r="M47" s="384">
        <f t="shared" si="10"/>
        <v>36</v>
      </c>
      <c r="N47" s="547">
        <f t="shared" si="11"/>
        <v>50</v>
      </c>
      <c r="O47" s="386">
        <f t="shared" si="12"/>
        <v>14</v>
      </c>
      <c r="P47" s="392">
        <f t="shared" si="13"/>
        <v>0.38890000000000002</v>
      </c>
      <c r="Q47" s="385" t="s">
        <v>2155</v>
      </c>
      <c r="R47" s="572"/>
      <c r="S47" s="386"/>
    </row>
    <row r="48" spans="1:19" x14ac:dyDescent="0.2">
      <c r="A48" s="795">
        <v>5380</v>
      </c>
      <c r="B48" s="387" t="s">
        <v>908</v>
      </c>
      <c r="C48" s="383"/>
      <c r="D48" s="383"/>
      <c r="E48" s="383"/>
      <c r="F48" s="212"/>
      <c r="G48" s="212"/>
      <c r="H48" s="212"/>
      <c r="I48" s="212"/>
      <c r="J48" s="212"/>
      <c r="K48" s="212"/>
      <c r="L48" s="212"/>
      <c r="M48" s="384">
        <f t="shared" si="10"/>
        <v>1000</v>
      </c>
      <c r="N48" s="547">
        <f t="shared" si="11"/>
        <v>0</v>
      </c>
      <c r="O48" s="386">
        <f t="shared" si="12"/>
        <v>-1000</v>
      </c>
      <c r="P48" s="392">
        <f t="shared" si="13"/>
        <v>-1</v>
      </c>
      <c r="Q48" s="385" t="s">
        <v>919</v>
      </c>
      <c r="R48" s="572"/>
      <c r="S48" s="386"/>
    </row>
    <row r="49" spans="1:20" x14ac:dyDescent="0.2">
      <c r="A49" s="795">
        <v>5420</v>
      </c>
      <c r="B49" s="387" t="s">
        <v>864</v>
      </c>
      <c r="C49" s="383">
        <v>1648.08</v>
      </c>
      <c r="D49" s="383">
        <v>811.68</v>
      </c>
      <c r="E49" s="383">
        <v>2170.5300000000002</v>
      </c>
      <c r="F49" s="212"/>
      <c r="G49" s="212"/>
      <c r="H49" s="212"/>
      <c r="I49" s="212"/>
      <c r="J49" s="212"/>
      <c r="K49" s="212"/>
      <c r="L49" s="212"/>
      <c r="M49" s="384">
        <f t="shared" si="10"/>
        <v>1700</v>
      </c>
      <c r="N49" s="547">
        <f t="shared" si="11"/>
        <v>2300</v>
      </c>
      <c r="O49" s="386">
        <f t="shared" si="12"/>
        <v>600</v>
      </c>
      <c r="P49" s="392">
        <f t="shared" si="13"/>
        <v>0.35289999999999999</v>
      </c>
      <c r="Q49" s="385" t="s">
        <v>920</v>
      </c>
      <c r="R49" s="572"/>
      <c r="S49" s="386"/>
    </row>
    <row r="50" spans="1:20" ht="12.75" customHeight="1" x14ac:dyDescent="0.2">
      <c r="A50" s="795">
        <v>5590</v>
      </c>
      <c r="B50" s="387" t="s">
        <v>909</v>
      </c>
      <c r="C50" s="383"/>
      <c r="D50" s="383"/>
      <c r="E50" s="383"/>
      <c r="F50" s="212"/>
      <c r="G50" s="212"/>
      <c r="H50" s="212"/>
      <c r="I50" s="212"/>
      <c r="J50" s="212"/>
      <c r="K50" s="212"/>
      <c r="L50" s="212"/>
      <c r="M50" s="384">
        <f t="shared" si="10"/>
        <v>0</v>
      </c>
      <c r="N50" s="547">
        <f t="shared" si="11"/>
        <v>0</v>
      </c>
      <c r="O50" s="386">
        <f t="shared" si="12"/>
        <v>0</v>
      </c>
      <c r="P50" s="392" t="str">
        <f t="shared" si="13"/>
        <v/>
      </c>
      <c r="Q50" s="385"/>
      <c r="R50" s="572"/>
      <c r="S50" s="386"/>
    </row>
    <row r="51" spans="1:20" x14ac:dyDescent="0.2">
      <c r="A51" s="795">
        <v>5710</v>
      </c>
      <c r="B51" s="387" t="s">
        <v>869</v>
      </c>
      <c r="C51" s="383">
        <v>85.52</v>
      </c>
      <c r="D51" s="383">
        <v>21.21</v>
      </c>
      <c r="E51" s="383">
        <v>117.08</v>
      </c>
      <c r="F51" s="212"/>
      <c r="G51" s="212"/>
      <c r="H51" s="212"/>
      <c r="I51" s="212"/>
      <c r="J51" s="212"/>
      <c r="K51" s="212"/>
      <c r="L51" s="212"/>
      <c r="M51" s="384">
        <f t="shared" si="10"/>
        <v>150</v>
      </c>
      <c r="N51" s="547">
        <f t="shared" si="11"/>
        <v>266</v>
      </c>
      <c r="O51" s="386">
        <f t="shared" si="12"/>
        <v>116</v>
      </c>
      <c r="P51" s="392">
        <f t="shared" si="13"/>
        <v>0.77329999999999999</v>
      </c>
      <c r="Q51" s="385" t="s">
        <v>2156</v>
      </c>
      <c r="R51" s="572"/>
      <c r="S51" s="386"/>
    </row>
    <row r="52" spans="1:20" ht="13.5" thickBot="1" x14ac:dyDescent="0.25">
      <c r="A52" s="795">
        <v>5730</v>
      </c>
      <c r="B52" s="387" t="s">
        <v>870</v>
      </c>
      <c r="C52" s="389">
        <v>50</v>
      </c>
      <c r="D52" s="389">
        <v>50</v>
      </c>
      <c r="E52" s="389">
        <v>50</v>
      </c>
      <c r="F52" s="212"/>
      <c r="G52" s="212"/>
      <c r="H52" s="212"/>
      <c r="I52" s="212"/>
      <c r="J52" s="212"/>
      <c r="K52" s="212"/>
      <c r="L52" s="212"/>
      <c r="M52" s="384">
        <f t="shared" si="10"/>
        <v>50</v>
      </c>
      <c r="N52" s="411">
        <f t="shared" si="11"/>
        <v>50</v>
      </c>
      <c r="O52" s="386">
        <f t="shared" si="12"/>
        <v>0</v>
      </c>
      <c r="P52" s="392" t="str">
        <f t="shared" si="13"/>
        <v/>
      </c>
      <c r="Q52" s="385"/>
      <c r="R52" s="572"/>
      <c r="S52" s="386"/>
    </row>
    <row r="53" spans="1:20" x14ac:dyDescent="0.2">
      <c r="A53" s="774"/>
      <c r="B53" s="4"/>
      <c r="C53" s="24"/>
      <c r="D53" s="24"/>
      <c r="E53" s="24"/>
      <c r="F53" s="24"/>
      <c r="G53" s="24"/>
      <c r="H53" s="212"/>
      <c r="I53" s="212"/>
      <c r="J53" s="212"/>
      <c r="K53" s="212"/>
      <c r="L53" s="212"/>
      <c r="M53" s="24"/>
      <c r="N53" s="24"/>
      <c r="O53" s="24"/>
      <c r="P53" s="24"/>
      <c r="Q53" s="149"/>
      <c r="R53" s="149"/>
      <c r="S53" s="25"/>
    </row>
    <row r="54" spans="1:20" x14ac:dyDescent="0.2">
      <c r="A54" s="774"/>
      <c r="B54" s="4" t="s">
        <v>846</v>
      </c>
      <c r="C54" s="23"/>
      <c r="D54" s="23"/>
      <c r="E54" s="23"/>
      <c r="F54" s="23"/>
      <c r="G54" s="23"/>
      <c r="H54" s="212"/>
      <c r="I54" s="212"/>
      <c r="J54" s="212"/>
      <c r="K54" s="212"/>
      <c r="L54" s="212"/>
      <c r="M54" s="616">
        <f>SUM(M38:M53)</f>
        <v>90884</v>
      </c>
      <c r="N54" s="616">
        <f>SUM(N38:N53)</f>
        <v>89500</v>
      </c>
      <c r="O54" s="25">
        <f>+N54-M54</f>
        <v>-1384</v>
      </c>
      <c r="P54" s="617">
        <f>IF(M54+N54&lt;&gt;0,IF(M54&lt;&gt;0,IF(O54&lt;&gt;0,ROUND((+O54/M54),4),""),1),"")</f>
        <v>-1.52E-2</v>
      </c>
      <c r="Q54" s="149"/>
      <c r="R54" s="149"/>
      <c r="S54" s="25"/>
    </row>
    <row r="55" spans="1:20" x14ac:dyDescent="0.2">
      <c r="A55" s="774"/>
      <c r="B55" s="4"/>
      <c r="C55" s="24"/>
      <c r="D55" s="24"/>
      <c r="E55" s="24"/>
      <c r="F55" s="24"/>
      <c r="G55" s="24"/>
      <c r="H55" s="24"/>
      <c r="I55" s="24"/>
      <c r="J55" s="24"/>
      <c r="K55" s="24"/>
      <c r="L55" s="24"/>
      <c r="M55" s="24"/>
      <c r="N55" s="24"/>
      <c r="O55" s="24"/>
      <c r="P55" s="24"/>
      <c r="Q55" s="149"/>
      <c r="R55" s="149"/>
      <c r="S55" s="25"/>
    </row>
    <row r="56" spans="1:20" x14ac:dyDescent="0.2">
      <c r="A56" s="774"/>
      <c r="B56" s="4"/>
      <c r="C56" s="24"/>
      <c r="D56" s="24"/>
      <c r="E56" s="24"/>
      <c r="F56" s="24"/>
      <c r="G56" s="24"/>
      <c r="H56" s="24"/>
      <c r="I56" s="24"/>
      <c r="J56" s="24"/>
      <c r="K56" s="24"/>
      <c r="L56" s="24"/>
      <c r="M56" s="24"/>
      <c r="N56" s="24"/>
      <c r="O56" s="24"/>
      <c r="P56" s="24"/>
      <c r="Q56" s="149"/>
      <c r="R56" s="149"/>
      <c r="S56" s="25"/>
    </row>
    <row r="57" spans="1:20" x14ac:dyDescent="0.2">
      <c r="A57" s="774"/>
      <c r="B57" s="4"/>
      <c r="C57" s="24"/>
      <c r="D57" s="24"/>
      <c r="E57" s="24"/>
      <c r="F57" s="24"/>
      <c r="G57" s="24"/>
      <c r="H57" s="24"/>
      <c r="I57" s="24"/>
      <c r="J57" s="24"/>
      <c r="K57" s="24"/>
      <c r="L57" s="24"/>
      <c r="M57" s="24"/>
      <c r="N57" s="24"/>
      <c r="O57" s="24"/>
      <c r="P57" s="24"/>
      <c r="Q57" s="149"/>
      <c r="R57" s="149"/>
      <c r="S57" s="25"/>
    </row>
    <row r="58" spans="1:20" x14ac:dyDescent="0.2">
      <c r="A58" s="774"/>
      <c r="B58" s="4"/>
      <c r="C58" s="24"/>
      <c r="D58" s="24"/>
      <c r="E58" s="24"/>
      <c r="F58" s="24"/>
      <c r="G58" s="24"/>
      <c r="H58" s="24"/>
      <c r="I58" s="24"/>
      <c r="J58" s="24"/>
      <c r="K58" s="24"/>
      <c r="L58" s="24"/>
      <c r="M58" s="24"/>
      <c r="N58" s="24"/>
      <c r="O58" s="24"/>
      <c r="P58" s="24"/>
      <c r="Q58" s="149"/>
      <c r="R58" s="149"/>
      <c r="S58" s="25"/>
    </row>
    <row r="59" spans="1:20" x14ac:dyDescent="0.2">
      <c r="A59" s="774"/>
      <c r="B59" s="4"/>
      <c r="C59" s="24"/>
      <c r="D59" s="24"/>
      <c r="E59" s="24"/>
      <c r="F59" s="24"/>
      <c r="G59" s="24"/>
      <c r="H59" s="24"/>
      <c r="I59" s="24"/>
      <c r="J59" s="24"/>
      <c r="K59" s="24"/>
      <c r="L59" s="24"/>
      <c r="M59" s="24"/>
      <c r="N59" s="24"/>
      <c r="O59" s="24"/>
      <c r="P59" s="24"/>
      <c r="Q59" s="149"/>
      <c r="R59" s="149"/>
      <c r="S59" s="25"/>
    </row>
    <row r="60" spans="1:20" x14ac:dyDescent="0.2">
      <c r="A60" s="774"/>
      <c r="B60" s="4"/>
      <c r="C60" s="24"/>
      <c r="D60" s="24"/>
      <c r="E60" s="24"/>
      <c r="F60" s="24"/>
      <c r="G60" s="24"/>
      <c r="H60" s="24"/>
      <c r="I60" s="24"/>
      <c r="J60" s="24"/>
      <c r="K60" s="24"/>
      <c r="L60" s="24"/>
      <c r="M60" s="24"/>
      <c r="N60" s="24"/>
      <c r="O60" s="24"/>
      <c r="P60" s="24"/>
      <c r="Q60" s="149"/>
      <c r="R60" s="149"/>
      <c r="S60" s="25"/>
    </row>
    <row r="61" spans="1:20" x14ac:dyDescent="0.2">
      <c r="A61" s="774"/>
      <c r="B61" s="4" t="s">
        <v>921</v>
      </c>
      <c r="C61" s="24"/>
      <c r="D61" s="24"/>
      <c r="E61" s="24"/>
      <c r="F61" s="24"/>
      <c r="G61" s="24"/>
      <c r="H61" s="24"/>
      <c r="I61" s="24"/>
      <c r="J61" s="24"/>
      <c r="K61" s="24"/>
      <c r="L61" s="24"/>
      <c r="M61" s="24"/>
      <c r="N61" s="24"/>
      <c r="O61" s="24"/>
      <c r="P61" s="24"/>
      <c r="Q61" s="25"/>
      <c r="R61" s="25"/>
      <c r="S61" s="25"/>
      <c r="T61" s="149"/>
    </row>
    <row r="62" spans="1:20" x14ac:dyDescent="0.2">
      <c r="A62" s="774"/>
      <c r="B62" s="4" t="s">
        <v>922</v>
      </c>
      <c r="C62" s="24"/>
      <c r="D62" s="1087"/>
      <c r="E62" s="1087"/>
      <c r="F62" s="1087"/>
      <c r="G62" s="1087"/>
      <c r="H62" s="1087"/>
      <c r="I62" s="1087"/>
      <c r="J62" s="1087"/>
      <c r="K62" s="1087"/>
      <c r="L62" s="1087"/>
      <c r="M62" s="1087"/>
      <c r="N62" s="1087"/>
      <c r="O62" s="1087"/>
      <c r="Q62" s="120"/>
      <c r="R62" s="120"/>
      <c r="S62" s="120"/>
    </row>
    <row r="63" spans="1:20" x14ac:dyDescent="0.2">
      <c r="A63" s="774"/>
      <c r="B63" s="4" t="s">
        <v>923</v>
      </c>
      <c r="C63" s="24"/>
      <c r="D63" s="1087"/>
      <c r="E63" s="1087"/>
      <c r="F63" s="1087"/>
      <c r="G63" s="1087"/>
      <c r="H63" s="1087"/>
      <c r="I63" s="1087"/>
      <c r="J63" s="1087"/>
      <c r="K63" s="1087"/>
      <c r="L63" s="1087"/>
      <c r="M63" s="1087"/>
      <c r="N63" s="1087"/>
      <c r="O63" s="1087"/>
      <c r="Q63" s="120"/>
      <c r="R63" s="120"/>
      <c r="S63" s="120"/>
    </row>
    <row r="64" spans="1:20" x14ac:dyDescent="0.2">
      <c r="A64" s="774"/>
      <c r="B64" s="4"/>
      <c r="C64" s="24"/>
      <c r="D64" s="1087"/>
      <c r="E64" s="1087"/>
      <c r="F64" s="1087"/>
      <c r="G64" s="1087"/>
      <c r="H64" s="1087"/>
      <c r="I64" s="1087"/>
      <c r="J64" s="1087"/>
      <c r="K64" s="1087"/>
      <c r="L64" s="1087"/>
      <c r="M64" s="1087"/>
      <c r="N64" s="1087"/>
      <c r="O64" s="1087"/>
      <c r="Q64" s="120"/>
      <c r="R64" s="120"/>
      <c r="S64" s="120"/>
    </row>
    <row r="65" spans="1:21" x14ac:dyDescent="0.2">
      <c r="A65" s="774"/>
      <c r="B65" s="4" t="s">
        <v>924</v>
      </c>
      <c r="C65" s="24" t="s">
        <v>925</v>
      </c>
      <c r="D65" s="1087"/>
      <c r="E65" s="1087"/>
      <c r="F65" s="1087"/>
      <c r="G65" s="1087"/>
      <c r="H65" s="1087"/>
      <c r="I65" s="1087"/>
      <c r="J65" s="1087"/>
      <c r="K65" s="1087"/>
      <c r="L65" s="1087"/>
      <c r="M65" s="1087"/>
      <c r="N65" s="1087"/>
      <c r="O65" s="1087"/>
      <c r="Q65" s="120"/>
      <c r="R65" s="120"/>
      <c r="S65" s="120"/>
    </row>
    <row r="66" spans="1:21" x14ac:dyDescent="0.2">
      <c r="A66" s="774"/>
      <c r="B66" s="4" t="s">
        <v>926</v>
      </c>
      <c r="C66" s="24"/>
      <c r="D66" s="24" t="s">
        <v>927</v>
      </c>
      <c r="E66" s="24"/>
      <c r="F66" s="24"/>
      <c r="G66" s="24">
        <v>770</v>
      </c>
      <c r="H66" s="24"/>
      <c r="I66" s="24"/>
      <c r="J66" s="24"/>
      <c r="K66" s="24"/>
      <c r="L66" s="24"/>
      <c r="M66" s="24">
        <v>300</v>
      </c>
      <c r="N66" s="24"/>
      <c r="O66" s="24"/>
      <c r="P66" s="25" t="s">
        <v>928</v>
      </c>
      <c r="Q66" s="24"/>
      <c r="R66" s="24"/>
      <c r="S66" s="24"/>
      <c r="T66" s="25"/>
      <c r="U66" s="25"/>
    </row>
    <row r="67" spans="1:21" x14ac:dyDescent="0.2">
      <c r="A67" s="774"/>
      <c r="B67" s="4" t="s">
        <v>929</v>
      </c>
      <c r="C67" s="24">
        <v>200</v>
      </c>
      <c r="D67" s="24"/>
      <c r="E67" s="24"/>
      <c r="F67" s="24"/>
      <c r="G67" s="24">
        <v>250</v>
      </c>
      <c r="H67" s="24"/>
      <c r="I67" s="24"/>
      <c r="J67" s="24"/>
      <c r="K67" s="24"/>
      <c r="L67" s="24"/>
      <c r="M67" s="24">
        <v>1200</v>
      </c>
      <c r="N67" s="24"/>
      <c r="O67" s="24"/>
      <c r="P67" s="25" t="s">
        <v>930</v>
      </c>
      <c r="Q67" s="24">
        <v>4</v>
      </c>
      <c r="R67" s="24"/>
      <c r="S67" s="24"/>
      <c r="T67" s="25"/>
      <c r="U67" s="25"/>
    </row>
    <row r="68" spans="1:21" x14ac:dyDescent="0.2">
      <c r="A68" s="774"/>
      <c r="B68" s="4" t="s">
        <v>931</v>
      </c>
      <c r="C68" s="24">
        <v>750</v>
      </c>
      <c r="D68" s="24" t="s">
        <v>932</v>
      </c>
      <c r="E68" s="24"/>
      <c r="F68" s="24"/>
      <c r="G68" s="24">
        <v>600</v>
      </c>
      <c r="H68" s="24"/>
      <c r="I68" s="24"/>
      <c r="J68" s="24"/>
      <c r="K68" s="24"/>
      <c r="L68" s="24"/>
      <c r="M68" s="24">
        <v>120</v>
      </c>
      <c r="N68" s="24"/>
      <c r="O68" s="24"/>
      <c r="P68" s="25" t="s">
        <v>933</v>
      </c>
      <c r="Q68" s="23">
        <v>3</v>
      </c>
      <c r="R68" s="23"/>
      <c r="S68" s="23"/>
      <c r="T68" s="25"/>
      <c r="U68" s="25"/>
    </row>
    <row r="69" spans="1:21" x14ac:dyDescent="0.2">
      <c r="A69" s="774"/>
      <c r="B69" s="4" t="s">
        <v>934</v>
      </c>
      <c r="C69" s="24">
        <v>120</v>
      </c>
      <c r="D69" s="24"/>
      <c r="E69" s="24"/>
      <c r="F69" s="24"/>
      <c r="G69" s="24">
        <v>120</v>
      </c>
      <c r="H69" s="24"/>
      <c r="I69" s="24"/>
      <c r="J69" s="24"/>
      <c r="K69" s="24"/>
      <c r="L69" s="24"/>
      <c r="M69" s="24">
        <v>500</v>
      </c>
      <c r="N69" s="24"/>
      <c r="O69" s="24"/>
      <c r="P69" s="25" t="s">
        <v>935</v>
      </c>
      <c r="Q69" s="23">
        <v>1</v>
      </c>
      <c r="R69" s="23"/>
      <c r="S69" s="23"/>
      <c r="T69" s="25"/>
      <c r="U69" s="25"/>
    </row>
    <row r="70" spans="1:21" x14ac:dyDescent="0.2">
      <c r="A70" s="774"/>
      <c r="B70" s="4" t="s">
        <v>936</v>
      </c>
      <c r="C70" s="129">
        <v>230</v>
      </c>
      <c r="D70" s="24"/>
      <c r="E70" s="24"/>
      <c r="F70" s="24"/>
      <c r="G70" s="24">
        <v>160</v>
      </c>
      <c r="H70" s="24"/>
      <c r="I70" s="24"/>
      <c r="J70" s="24"/>
      <c r="K70" s="24"/>
      <c r="L70" s="24"/>
      <c r="M70" s="24">
        <v>180</v>
      </c>
      <c r="N70" s="24"/>
      <c r="O70" s="24"/>
      <c r="P70" s="25" t="s">
        <v>937</v>
      </c>
      <c r="Q70" s="23">
        <v>1</v>
      </c>
      <c r="R70" s="23"/>
      <c r="S70" s="23"/>
      <c r="T70" s="25"/>
      <c r="U70" s="25"/>
    </row>
    <row r="71" spans="1:21" x14ac:dyDescent="0.2">
      <c r="A71" s="774"/>
      <c r="B71" s="4"/>
      <c r="C71" s="24">
        <f>SUM(C66:C70)</f>
        <v>1300</v>
      </c>
      <c r="D71" s="24"/>
      <c r="E71" s="24"/>
      <c r="F71" s="24"/>
      <c r="G71" s="24">
        <f>SUM(G66:G70)</f>
        <v>1900</v>
      </c>
      <c r="H71" s="24"/>
      <c r="I71" s="24"/>
      <c r="J71" s="24"/>
      <c r="K71" s="24"/>
      <c r="L71" s="24"/>
      <c r="M71" s="24"/>
      <c r="N71" s="24"/>
      <c r="O71" s="24"/>
      <c r="P71" s="25"/>
      <c r="Q71" s="23"/>
      <c r="R71" s="23"/>
      <c r="S71" s="23"/>
      <c r="T71" s="25"/>
      <c r="U71" s="25"/>
    </row>
    <row r="72" spans="1:21" x14ac:dyDescent="0.2">
      <c r="A72" s="774"/>
      <c r="B72" s="4"/>
      <c r="C72" s="24"/>
      <c r="D72" s="24"/>
      <c r="E72" s="24"/>
      <c r="F72" s="24"/>
      <c r="G72" s="24"/>
      <c r="H72" s="24"/>
      <c r="I72" s="24"/>
      <c r="J72" s="24"/>
      <c r="K72" s="24"/>
      <c r="L72" s="24"/>
      <c r="M72" s="24">
        <f>SUM(M66:M71)</f>
        <v>2300</v>
      </c>
      <c r="N72" s="24"/>
      <c r="O72" s="24"/>
      <c r="P72" s="23"/>
      <c r="Q72" s="23"/>
      <c r="R72" s="23"/>
      <c r="S72" s="23"/>
      <c r="T72" s="23"/>
      <c r="U72" s="23"/>
    </row>
    <row r="73" spans="1:21" x14ac:dyDescent="0.2">
      <c r="A73" s="774"/>
      <c r="B73" s="4"/>
      <c r="C73" s="24"/>
      <c r="D73" s="24"/>
      <c r="E73" s="24"/>
      <c r="F73" s="24"/>
      <c r="G73" s="24"/>
      <c r="H73" s="24"/>
      <c r="I73" s="24"/>
      <c r="J73" s="24"/>
      <c r="K73" s="24"/>
      <c r="L73" s="24"/>
      <c r="M73" s="24"/>
      <c r="N73" s="24"/>
      <c r="O73" s="24"/>
      <c r="P73" s="25"/>
      <c r="Q73" s="23"/>
      <c r="R73" s="23"/>
      <c r="S73" s="23"/>
      <c r="T73" s="25"/>
      <c r="U73" s="25"/>
    </row>
    <row r="74" spans="1:21" x14ac:dyDescent="0.2">
      <c r="A74" s="774"/>
      <c r="B74" s="4"/>
      <c r="C74" s="23"/>
      <c r="D74" s="23"/>
      <c r="E74" s="23"/>
      <c r="F74" s="23"/>
      <c r="G74" s="23"/>
      <c r="H74" s="23"/>
      <c r="I74" s="23"/>
      <c r="J74" s="23"/>
      <c r="K74" s="23"/>
      <c r="L74" s="23"/>
      <c r="M74" s="23"/>
      <c r="N74" s="23"/>
      <c r="O74" s="23"/>
      <c r="P74" s="25"/>
      <c r="Q74" s="23"/>
      <c r="R74" s="23"/>
      <c r="S74" s="23"/>
      <c r="T74" s="25"/>
      <c r="U74" s="25"/>
    </row>
    <row r="75" spans="1:21" x14ac:dyDescent="0.2">
      <c r="A75" s="774"/>
      <c r="B75" s="4"/>
      <c r="C75" s="23"/>
      <c r="D75" s="23"/>
      <c r="E75" s="23"/>
      <c r="F75" s="23"/>
      <c r="G75" s="23"/>
      <c r="H75" s="23"/>
      <c r="I75" s="23"/>
      <c r="J75" s="23"/>
      <c r="K75" s="23"/>
      <c r="L75" s="23"/>
      <c r="M75" s="23"/>
      <c r="N75" s="23"/>
      <c r="O75" s="23"/>
      <c r="P75" s="25"/>
      <c r="Q75" s="23"/>
      <c r="R75" s="23"/>
      <c r="S75" s="23"/>
      <c r="T75" s="25"/>
      <c r="U75" s="25"/>
    </row>
    <row r="76" spans="1:21" ht="15" x14ac:dyDescent="0.25">
      <c r="A76" s="822"/>
      <c r="B76" s="4"/>
      <c r="C76" s="23"/>
      <c r="D76" s="23"/>
      <c r="E76" s="23"/>
      <c r="F76" s="23"/>
      <c r="G76" s="23"/>
      <c r="H76" s="23"/>
      <c r="I76" s="23"/>
      <c r="J76" s="23"/>
      <c r="K76" s="23"/>
      <c r="L76" s="23"/>
      <c r="M76" s="23"/>
      <c r="N76" s="23"/>
      <c r="O76" s="23"/>
      <c r="P76" s="25"/>
      <c r="Q76" s="23"/>
      <c r="R76" s="23"/>
      <c r="S76" s="23"/>
      <c r="T76" s="25"/>
      <c r="U76" s="25"/>
    </row>
    <row r="77" spans="1:21" x14ac:dyDescent="0.2">
      <c r="A77" s="774"/>
      <c r="B77" s="4"/>
      <c r="C77" s="23"/>
      <c r="D77" s="23"/>
      <c r="E77" s="23"/>
      <c r="F77" s="23"/>
      <c r="G77" s="23"/>
      <c r="H77" s="23"/>
      <c r="I77" s="23"/>
      <c r="J77" s="23"/>
      <c r="K77" s="23"/>
      <c r="L77" s="23"/>
      <c r="M77" s="23"/>
      <c r="N77" s="23"/>
      <c r="O77" s="23"/>
      <c r="P77" s="25"/>
      <c r="Q77" s="23"/>
      <c r="R77" s="23"/>
      <c r="S77" s="23"/>
      <c r="T77" s="25"/>
      <c r="U77" s="25"/>
    </row>
    <row r="78" spans="1:21" x14ac:dyDescent="0.2">
      <c r="A78" s="774"/>
      <c r="B78" s="4"/>
      <c r="C78" s="23"/>
      <c r="D78" s="23"/>
      <c r="E78" s="23"/>
      <c r="F78" s="23"/>
      <c r="G78" s="23"/>
      <c r="H78" s="23"/>
      <c r="I78" s="23"/>
      <c r="J78" s="23"/>
      <c r="K78" s="23"/>
      <c r="L78" s="23"/>
      <c r="M78" s="23"/>
      <c r="N78" s="23"/>
      <c r="O78" s="23"/>
      <c r="P78" s="25"/>
      <c r="Q78" s="23"/>
      <c r="R78" s="23"/>
      <c r="S78" s="23"/>
      <c r="T78" s="25"/>
      <c r="U78" s="25"/>
    </row>
    <row r="79" spans="1:21" x14ac:dyDescent="0.2">
      <c r="A79" s="774"/>
      <c r="B79" s="4"/>
      <c r="C79" s="23"/>
      <c r="D79" s="23"/>
      <c r="E79" s="23"/>
      <c r="F79" s="23"/>
      <c r="G79" s="23"/>
      <c r="H79" s="23"/>
      <c r="I79" s="23"/>
      <c r="J79" s="23"/>
      <c r="K79" s="23"/>
      <c r="L79" s="23"/>
      <c r="M79" s="23"/>
      <c r="N79" s="23"/>
      <c r="O79" s="23"/>
      <c r="P79" s="25"/>
      <c r="Q79" s="23"/>
      <c r="R79" s="23"/>
      <c r="S79" s="23"/>
      <c r="T79" s="25"/>
      <c r="U79" s="25"/>
    </row>
    <row r="80" spans="1:21" x14ac:dyDescent="0.2">
      <c r="A80" s="774"/>
      <c r="B80" s="4"/>
      <c r="C80" s="23"/>
      <c r="D80" s="23"/>
      <c r="E80" s="23"/>
      <c r="F80" s="23"/>
      <c r="G80" s="23"/>
      <c r="H80" s="23"/>
      <c r="I80" s="23"/>
      <c r="J80" s="23"/>
      <c r="K80" s="23"/>
      <c r="L80" s="23"/>
      <c r="M80" s="23"/>
      <c r="N80" s="23"/>
      <c r="O80" s="23"/>
      <c r="P80" s="25"/>
      <c r="Q80" s="23"/>
      <c r="R80" s="23"/>
      <c r="S80" s="23"/>
      <c r="T80" s="25"/>
      <c r="U80" s="25"/>
    </row>
    <row r="81" spans="1:21" x14ac:dyDescent="0.2">
      <c r="A81" s="774"/>
      <c r="B81" s="4"/>
      <c r="C81" s="23"/>
      <c r="D81" s="23"/>
      <c r="E81" s="23"/>
      <c r="F81" s="23"/>
      <c r="G81" s="23"/>
      <c r="H81" s="23"/>
      <c r="I81" s="23"/>
      <c r="J81" s="23"/>
      <c r="K81" s="23"/>
      <c r="L81" s="23"/>
      <c r="M81" s="23"/>
      <c r="N81" s="23"/>
      <c r="O81" s="23"/>
      <c r="P81" s="25"/>
      <c r="Q81" s="23"/>
      <c r="R81" s="23"/>
      <c r="S81" s="23"/>
      <c r="T81" s="25"/>
      <c r="U81" s="25"/>
    </row>
    <row r="82" spans="1:21" x14ac:dyDescent="0.2">
      <c r="A82" s="774"/>
      <c r="B82" s="4"/>
      <c r="C82" s="23"/>
      <c r="D82" s="23"/>
      <c r="E82" s="23"/>
      <c r="F82" s="23"/>
      <c r="G82" s="23"/>
      <c r="H82" s="23"/>
      <c r="I82" s="23"/>
      <c r="J82" s="23"/>
      <c r="K82" s="23"/>
      <c r="L82" s="23"/>
      <c r="M82" s="23"/>
      <c r="N82" s="23"/>
      <c r="O82" s="23"/>
      <c r="P82" s="25"/>
      <c r="Q82" s="23"/>
      <c r="R82" s="23"/>
      <c r="S82" s="23"/>
      <c r="T82" s="25"/>
      <c r="U82" s="25"/>
    </row>
    <row r="83" spans="1:21" x14ac:dyDescent="0.2">
      <c r="A83" s="774"/>
      <c r="B83" s="4"/>
      <c r="C83" s="23"/>
      <c r="D83" s="23"/>
      <c r="E83" s="23"/>
      <c r="F83" s="23"/>
      <c r="G83" s="23"/>
      <c r="H83" s="23"/>
      <c r="I83" s="23"/>
      <c r="J83" s="23"/>
      <c r="K83" s="23"/>
      <c r="L83" s="23"/>
      <c r="M83" s="23"/>
      <c r="N83" s="23"/>
      <c r="O83" s="23"/>
      <c r="P83" s="25"/>
      <c r="Q83" s="23"/>
      <c r="R83" s="23"/>
      <c r="S83" s="23"/>
      <c r="T83" s="25"/>
      <c r="U83" s="25"/>
    </row>
    <row r="84" spans="1:21" x14ac:dyDescent="0.2">
      <c r="A84" s="774"/>
      <c r="B84" s="4"/>
      <c r="C84" s="97"/>
      <c r="D84" s="97"/>
      <c r="E84" s="97"/>
      <c r="F84" s="97"/>
      <c r="G84" s="97"/>
      <c r="H84" s="97"/>
      <c r="I84" s="97"/>
      <c r="J84" s="97"/>
      <c r="K84" s="97"/>
      <c r="L84" s="97"/>
      <c r="M84" s="97"/>
      <c r="N84" s="97"/>
      <c r="O84" s="97"/>
      <c r="P84" s="25"/>
      <c r="Q84" s="97"/>
      <c r="R84" s="97"/>
      <c r="S84" s="97"/>
      <c r="T84" s="25"/>
      <c r="U84" s="25"/>
    </row>
    <row r="85" spans="1:21" x14ac:dyDescent="0.2">
      <c r="A85" s="774"/>
      <c r="B85" s="4"/>
      <c r="C85" s="97"/>
      <c r="D85" s="97"/>
      <c r="E85" s="97"/>
      <c r="F85" s="97"/>
      <c r="G85" s="97"/>
      <c r="H85" s="97"/>
      <c r="I85" s="97"/>
      <c r="J85" s="97"/>
      <c r="K85" s="97"/>
      <c r="L85" s="97"/>
      <c r="M85" s="97"/>
      <c r="N85" s="97"/>
      <c r="O85" s="97"/>
      <c r="P85" s="25"/>
      <c r="Q85" s="97"/>
      <c r="R85" s="97"/>
      <c r="S85" s="97"/>
      <c r="T85" s="25"/>
      <c r="U85" s="25"/>
    </row>
    <row r="86" spans="1:21" x14ac:dyDescent="0.2">
      <c r="A86" s="774"/>
      <c r="B86" s="4"/>
      <c r="C86" s="97"/>
      <c r="D86" s="97"/>
      <c r="E86" s="97"/>
      <c r="F86" s="97"/>
      <c r="G86" s="97"/>
      <c r="H86" s="97"/>
      <c r="I86" s="97"/>
      <c r="J86" s="97"/>
      <c r="K86" s="97"/>
      <c r="L86" s="97"/>
      <c r="M86" s="97"/>
      <c r="N86" s="97"/>
      <c r="O86" s="97"/>
      <c r="P86" s="25"/>
      <c r="Q86" s="97"/>
      <c r="R86" s="97"/>
      <c r="S86" s="97"/>
      <c r="T86" s="25"/>
      <c r="U86" s="25"/>
    </row>
    <row r="87" spans="1:21" x14ac:dyDescent="0.2">
      <c r="A87" s="774"/>
      <c r="B87" s="4"/>
      <c r="C87" s="97"/>
      <c r="D87" s="97"/>
      <c r="E87" s="97"/>
      <c r="F87" s="97"/>
      <c r="G87" s="97"/>
      <c r="H87" s="97"/>
      <c r="I87" s="97"/>
      <c r="J87" s="97"/>
      <c r="K87" s="97"/>
      <c r="L87" s="97"/>
      <c r="M87" s="97"/>
      <c r="N87" s="97"/>
      <c r="O87" s="97"/>
      <c r="P87" s="25"/>
      <c r="Q87" s="97"/>
      <c r="R87" s="97"/>
      <c r="S87" s="97"/>
      <c r="T87" s="25"/>
      <c r="U87" s="25"/>
    </row>
    <row r="88" spans="1:21" x14ac:dyDescent="0.2">
      <c r="A88" s="774"/>
      <c r="B88" s="4"/>
      <c r="C88" s="97"/>
      <c r="D88" s="97"/>
      <c r="E88" s="97"/>
      <c r="F88" s="97"/>
      <c r="G88" s="97"/>
      <c r="H88" s="97"/>
      <c r="I88" s="97"/>
      <c r="J88" s="97"/>
      <c r="K88" s="97"/>
      <c r="L88" s="97"/>
      <c r="M88" s="97"/>
      <c r="N88" s="97"/>
      <c r="O88" s="97"/>
      <c r="P88" s="25"/>
      <c r="Q88" s="97"/>
      <c r="R88" s="97"/>
      <c r="S88" s="97"/>
      <c r="T88" s="25"/>
      <c r="U88" s="25"/>
    </row>
    <row r="89" spans="1:21" x14ac:dyDescent="0.2">
      <c r="A89" s="774"/>
      <c r="B89" s="4"/>
      <c r="C89" s="97"/>
      <c r="D89" s="97"/>
      <c r="E89" s="97"/>
      <c r="F89" s="97"/>
      <c r="G89" s="97"/>
      <c r="H89" s="97"/>
      <c r="I89" s="97"/>
      <c r="J89" s="97"/>
      <c r="K89" s="97"/>
      <c r="L89" s="97"/>
      <c r="M89" s="97"/>
      <c r="N89" s="97"/>
      <c r="O89" s="97"/>
      <c r="P89" s="25"/>
      <c r="Q89" s="97"/>
      <c r="R89" s="97"/>
      <c r="S89" s="97"/>
      <c r="T89" s="25"/>
      <c r="U89" s="25"/>
    </row>
    <row r="90" spans="1:21" x14ac:dyDescent="0.2">
      <c r="A90" s="774"/>
      <c r="B90" s="4"/>
      <c r="C90" s="97"/>
      <c r="D90" s="97"/>
      <c r="E90" s="97"/>
      <c r="F90" s="97"/>
      <c r="G90" s="97"/>
      <c r="H90" s="97"/>
      <c r="I90" s="97"/>
      <c r="J90" s="97"/>
      <c r="K90" s="97"/>
      <c r="L90" s="97"/>
      <c r="M90" s="97"/>
      <c r="N90" s="97"/>
      <c r="O90" s="97"/>
      <c r="P90" s="25"/>
      <c r="Q90" s="97"/>
      <c r="R90" s="97"/>
      <c r="S90" s="97"/>
      <c r="T90" s="25"/>
      <c r="U90" s="25"/>
    </row>
    <row r="91" spans="1:21" x14ac:dyDescent="0.2">
      <c r="A91" s="774"/>
      <c r="B91" s="4"/>
      <c r="C91" s="97"/>
      <c r="D91" s="97"/>
      <c r="E91" s="97"/>
      <c r="F91" s="97"/>
      <c r="G91" s="97"/>
      <c r="H91" s="97"/>
      <c r="I91" s="97"/>
      <c r="J91" s="97"/>
      <c r="K91" s="97"/>
      <c r="L91" s="97"/>
      <c r="M91" s="97"/>
      <c r="N91" s="97"/>
      <c r="O91" s="97"/>
      <c r="P91" s="25"/>
      <c r="Q91" s="97"/>
      <c r="R91" s="97"/>
      <c r="S91" s="97"/>
      <c r="T91" s="25"/>
      <c r="U91" s="25"/>
    </row>
    <row r="92" spans="1:21" x14ac:dyDescent="0.2">
      <c r="A92" s="774"/>
      <c r="B92" s="4"/>
      <c r="C92" s="97"/>
      <c r="D92" s="97"/>
      <c r="E92" s="97"/>
      <c r="F92" s="97"/>
      <c r="G92" s="97"/>
      <c r="H92" s="97"/>
      <c r="I92" s="97"/>
      <c r="J92" s="97"/>
      <c r="K92" s="97"/>
      <c r="L92" s="97"/>
      <c r="M92" s="97"/>
      <c r="N92" s="97"/>
      <c r="O92" s="97"/>
      <c r="P92" s="25"/>
      <c r="Q92" s="97"/>
      <c r="R92" s="97"/>
      <c r="S92" s="97"/>
      <c r="T92" s="25"/>
      <c r="U92" s="25"/>
    </row>
    <row r="93" spans="1:21" x14ac:dyDescent="0.2">
      <c r="A93" s="774"/>
      <c r="B93" s="4"/>
      <c r="C93" s="97"/>
      <c r="D93" s="97"/>
      <c r="E93" s="97"/>
      <c r="F93" s="97"/>
      <c r="G93" s="97"/>
      <c r="H93" s="97"/>
      <c r="I93" s="97"/>
      <c r="J93" s="97"/>
      <c r="K93" s="97"/>
      <c r="L93" s="97"/>
      <c r="M93" s="97"/>
      <c r="N93" s="97"/>
      <c r="O93" s="97"/>
      <c r="P93" s="25"/>
      <c r="Q93" s="97"/>
      <c r="R93" s="97"/>
      <c r="S93" s="97"/>
      <c r="T93" s="25"/>
      <c r="U93" s="25"/>
    </row>
    <row r="94" spans="1:21" x14ac:dyDescent="0.2">
      <c r="A94" s="774"/>
      <c r="B94" s="4"/>
      <c r="C94" s="23"/>
      <c r="D94" s="23"/>
      <c r="E94" s="23"/>
      <c r="F94" s="23"/>
      <c r="G94" s="23"/>
      <c r="H94" s="23"/>
      <c r="I94" s="23"/>
      <c r="J94" s="23"/>
      <c r="K94" s="23"/>
      <c r="L94" s="23"/>
      <c r="M94" s="23"/>
      <c r="N94" s="23"/>
      <c r="O94" s="23"/>
      <c r="P94" s="25"/>
      <c r="Q94" s="23"/>
      <c r="R94" s="23"/>
      <c r="S94" s="23"/>
      <c r="T94" s="25"/>
      <c r="U94" s="25"/>
    </row>
    <row r="95" spans="1:21" x14ac:dyDescent="0.2">
      <c r="A95" s="774"/>
      <c r="B95" s="4"/>
      <c r="C95" s="23"/>
      <c r="D95" s="23"/>
      <c r="E95" s="23"/>
      <c r="F95" s="23"/>
      <c r="G95" s="23"/>
      <c r="H95" s="23"/>
      <c r="I95" s="23"/>
      <c r="J95" s="23"/>
      <c r="K95" s="23"/>
      <c r="L95" s="23"/>
      <c r="M95" s="23"/>
      <c r="N95" s="23"/>
      <c r="O95" s="23"/>
      <c r="P95" s="25"/>
      <c r="Q95" s="23"/>
      <c r="R95" s="23"/>
      <c r="S95" s="23"/>
      <c r="T95" s="25"/>
      <c r="U95" s="25"/>
    </row>
    <row r="96" spans="1:21" x14ac:dyDescent="0.2">
      <c r="A96" s="774"/>
      <c r="B96" s="4"/>
      <c r="C96" s="23"/>
      <c r="D96" s="23"/>
      <c r="E96" s="23"/>
      <c r="F96" s="23"/>
      <c r="G96" s="23"/>
      <c r="H96" s="23"/>
      <c r="I96" s="23"/>
      <c r="J96" s="23"/>
      <c r="K96" s="23"/>
      <c r="L96" s="23"/>
      <c r="M96" s="23"/>
      <c r="N96" s="23"/>
      <c r="O96" s="23"/>
      <c r="P96" s="25"/>
      <c r="Q96" s="23"/>
      <c r="R96" s="23"/>
      <c r="S96" s="23"/>
      <c r="T96" s="25"/>
      <c r="U96" s="25"/>
    </row>
    <row r="97" spans="1:21" x14ac:dyDescent="0.2">
      <c r="A97" s="774"/>
      <c r="B97" s="4"/>
      <c r="C97" s="23"/>
      <c r="D97" s="23"/>
      <c r="E97" s="23"/>
      <c r="F97" s="23"/>
      <c r="G97" s="23"/>
      <c r="H97" s="23"/>
      <c r="I97" s="23"/>
      <c r="J97" s="23"/>
      <c r="K97" s="23"/>
      <c r="L97" s="23"/>
      <c r="M97" s="23"/>
      <c r="N97" s="23"/>
      <c r="O97" s="23"/>
      <c r="P97" s="25"/>
      <c r="Q97" s="23"/>
      <c r="R97" s="23"/>
      <c r="S97" s="23"/>
      <c r="T97" s="25"/>
      <c r="U97" s="25"/>
    </row>
    <row r="98" spans="1:21" x14ac:dyDescent="0.2">
      <c r="A98" s="774"/>
      <c r="B98" s="4"/>
      <c r="C98" s="23"/>
      <c r="D98" s="23"/>
      <c r="E98" s="23"/>
      <c r="F98" s="23"/>
      <c r="G98" s="23"/>
      <c r="H98" s="23"/>
      <c r="I98" s="23"/>
      <c r="J98" s="23"/>
      <c r="K98" s="23"/>
      <c r="L98" s="23"/>
      <c r="M98" s="23"/>
      <c r="N98" s="23"/>
      <c r="O98" s="23"/>
      <c r="P98" s="25"/>
      <c r="Q98" s="23"/>
      <c r="R98" s="23"/>
      <c r="S98" s="23"/>
      <c r="T98" s="25"/>
      <c r="U98" s="25"/>
    </row>
    <row r="99" spans="1:21" x14ac:dyDescent="0.2">
      <c r="A99" s="774"/>
      <c r="B99" s="4"/>
      <c r="C99" s="23"/>
      <c r="D99" s="23"/>
      <c r="E99" s="23"/>
      <c r="F99" s="23"/>
      <c r="G99" s="23"/>
      <c r="H99" s="23"/>
      <c r="I99" s="23"/>
      <c r="J99" s="23"/>
      <c r="K99" s="23"/>
      <c r="L99" s="23"/>
      <c r="M99" s="23"/>
      <c r="N99" s="23"/>
      <c r="O99" s="23"/>
      <c r="P99" s="25"/>
      <c r="Q99" s="23"/>
      <c r="R99" s="23"/>
      <c r="S99" s="23"/>
      <c r="T99" s="25"/>
      <c r="U99" s="25"/>
    </row>
    <row r="100" spans="1:21" x14ac:dyDescent="0.2">
      <c r="A100" s="774"/>
      <c r="B100" s="4"/>
      <c r="C100" s="23"/>
      <c r="D100" s="23"/>
      <c r="E100" s="23"/>
      <c r="F100" s="23"/>
      <c r="G100" s="23"/>
      <c r="H100" s="23"/>
      <c r="I100" s="23"/>
      <c r="J100" s="23"/>
      <c r="K100" s="23"/>
      <c r="L100" s="23"/>
      <c r="M100" s="23"/>
      <c r="N100" s="23"/>
      <c r="O100" s="23"/>
      <c r="P100" s="25"/>
      <c r="Q100" s="23"/>
      <c r="R100" s="23"/>
      <c r="S100" s="23"/>
      <c r="T100" s="25"/>
      <c r="U100" s="25"/>
    </row>
    <row r="101" spans="1:21" x14ac:dyDescent="0.2">
      <c r="A101" s="774"/>
      <c r="B101" s="4"/>
      <c r="C101" s="23"/>
      <c r="D101" s="23"/>
      <c r="E101" s="23"/>
      <c r="F101" s="23"/>
      <c r="G101" s="23"/>
      <c r="H101" s="23"/>
      <c r="I101" s="23"/>
      <c r="J101" s="23"/>
      <c r="K101" s="23"/>
      <c r="L101" s="23"/>
      <c r="M101" s="23"/>
      <c r="N101" s="23"/>
      <c r="O101" s="23"/>
      <c r="P101" s="25"/>
      <c r="Q101" s="23"/>
      <c r="R101" s="23"/>
      <c r="S101" s="23"/>
      <c r="T101" s="25"/>
      <c r="U101" s="25"/>
    </row>
    <row r="102" spans="1:21" x14ac:dyDescent="0.2">
      <c r="A102" s="774"/>
      <c r="B102" s="4"/>
      <c r="C102" s="23"/>
      <c r="D102" s="23"/>
      <c r="E102" s="23"/>
      <c r="F102" s="23"/>
      <c r="G102" s="23"/>
      <c r="H102" s="23"/>
      <c r="I102" s="23"/>
      <c r="J102" s="23"/>
      <c r="K102" s="23"/>
      <c r="L102" s="23"/>
      <c r="M102" s="23"/>
      <c r="N102" s="23"/>
      <c r="O102" s="23"/>
      <c r="P102" s="25"/>
      <c r="Q102" s="23"/>
      <c r="R102" s="23"/>
      <c r="S102" s="23"/>
      <c r="T102" s="25"/>
      <c r="U102" s="25"/>
    </row>
    <row r="103" spans="1:21" x14ac:dyDescent="0.2">
      <c r="A103" s="774"/>
      <c r="B103" s="4"/>
      <c r="C103" s="23"/>
      <c r="D103" s="23"/>
      <c r="E103" s="23"/>
      <c r="F103" s="23"/>
      <c r="G103" s="23"/>
      <c r="H103" s="23"/>
      <c r="I103" s="23"/>
      <c r="J103" s="23"/>
      <c r="K103" s="23"/>
      <c r="L103" s="23"/>
      <c r="M103" s="23"/>
      <c r="N103" s="23"/>
      <c r="O103" s="23"/>
      <c r="P103" s="25"/>
      <c r="Q103" s="23"/>
      <c r="R103" s="23"/>
      <c r="S103" s="23"/>
      <c r="T103" s="25"/>
      <c r="U103" s="25"/>
    </row>
    <row r="104" spans="1:21" x14ac:dyDescent="0.2">
      <c r="A104" s="774"/>
      <c r="B104" s="4"/>
      <c r="C104" s="23"/>
      <c r="D104" s="23"/>
      <c r="E104" s="23"/>
      <c r="F104" s="23"/>
      <c r="G104" s="23"/>
      <c r="H104" s="23"/>
      <c r="I104" s="23"/>
      <c r="J104" s="23"/>
      <c r="K104" s="23"/>
      <c r="L104" s="23"/>
      <c r="M104" s="23"/>
      <c r="N104" s="23"/>
      <c r="O104" s="23"/>
      <c r="P104" s="25"/>
      <c r="Q104" s="23"/>
      <c r="R104" s="23"/>
      <c r="S104" s="23"/>
      <c r="T104" s="25"/>
      <c r="U104" s="25"/>
    </row>
    <row r="105" spans="1:21" x14ac:dyDescent="0.2">
      <c r="A105" s="774"/>
      <c r="B105" s="4"/>
      <c r="C105" s="23"/>
      <c r="D105" s="23"/>
      <c r="E105" s="23"/>
      <c r="F105" s="23"/>
      <c r="G105" s="23"/>
      <c r="H105" s="23"/>
      <c r="I105" s="23"/>
      <c r="J105" s="23"/>
      <c r="K105" s="23"/>
      <c r="L105" s="23"/>
      <c r="M105" s="23"/>
      <c r="N105" s="23"/>
      <c r="O105" s="23"/>
      <c r="P105" s="25"/>
      <c r="Q105" s="23"/>
      <c r="R105" s="23"/>
      <c r="S105" s="23"/>
      <c r="T105" s="25"/>
      <c r="U105" s="25"/>
    </row>
    <row r="106" spans="1:21" x14ac:dyDescent="0.2">
      <c r="A106" s="774"/>
      <c r="B106" s="4"/>
      <c r="C106" s="23"/>
      <c r="D106" s="23"/>
      <c r="E106" s="23"/>
      <c r="F106" s="23"/>
      <c r="G106" s="23"/>
      <c r="H106" s="23"/>
      <c r="I106" s="23"/>
      <c r="J106" s="23"/>
      <c r="K106" s="23"/>
      <c r="L106" s="23"/>
      <c r="M106" s="23"/>
      <c r="N106" s="23"/>
      <c r="O106" s="23"/>
      <c r="P106" s="25"/>
      <c r="Q106" s="23"/>
      <c r="R106" s="23"/>
      <c r="S106" s="23"/>
      <c r="T106" s="25"/>
      <c r="U106" s="25"/>
    </row>
    <row r="107" spans="1:21" x14ac:dyDescent="0.2">
      <c r="A107" s="774"/>
      <c r="B107" s="4"/>
      <c r="C107" s="23"/>
      <c r="D107" s="23"/>
      <c r="E107" s="23"/>
      <c r="F107" s="23"/>
      <c r="G107" s="23"/>
      <c r="H107" s="23"/>
      <c r="I107" s="23"/>
      <c r="J107" s="23"/>
      <c r="K107" s="23"/>
      <c r="L107" s="23"/>
      <c r="M107" s="23"/>
      <c r="N107" s="23"/>
      <c r="O107" s="23"/>
      <c r="P107" s="25"/>
      <c r="Q107" s="23"/>
      <c r="R107" s="23"/>
      <c r="S107" s="23"/>
      <c r="T107" s="25"/>
      <c r="U107" s="25"/>
    </row>
    <row r="108" spans="1:21" x14ac:dyDescent="0.2">
      <c r="A108" s="774"/>
      <c r="B108" s="4"/>
      <c r="C108" s="23"/>
      <c r="D108" s="23"/>
      <c r="E108" s="23"/>
      <c r="F108" s="23"/>
      <c r="G108" s="23"/>
      <c r="H108" s="23"/>
      <c r="I108" s="23"/>
      <c r="J108" s="23"/>
      <c r="K108" s="23"/>
      <c r="L108" s="23"/>
      <c r="M108" s="23"/>
      <c r="N108" s="23"/>
      <c r="O108" s="23"/>
      <c r="P108" s="25"/>
      <c r="Q108" s="23"/>
      <c r="R108" s="23"/>
      <c r="S108" s="23"/>
      <c r="T108" s="25"/>
      <c r="U108" s="25"/>
    </row>
    <row r="109" spans="1:21" x14ac:dyDescent="0.2">
      <c r="A109" s="774"/>
      <c r="B109" s="4"/>
      <c r="C109" s="23"/>
      <c r="D109" s="23"/>
      <c r="E109" s="23"/>
      <c r="F109" s="23"/>
      <c r="G109" s="23"/>
      <c r="H109" s="23"/>
      <c r="I109" s="23"/>
      <c r="J109" s="23"/>
      <c r="K109" s="23"/>
      <c r="L109" s="23"/>
      <c r="M109" s="23"/>
      <c r="N109" s="23"/>
      <c r="O109" s="23"/>
      <c r="P109" s="25"/>
      <c r="Q109" s="23"/>
      <c r="R109" s="23"/>
      <c r="S109" s="23"/>
      <c r="T109" s="25"/>
      <c r="U109" s="25"/>
    </row>
    <row r="110" spans="1:21" x14ac:dyDescent="0.2">
      <c r="A110" s="774"/>
      <c r="B110" s="4"/>
      <c r="C110" s="23"/>
      <c r="D110" s="23"/>
      <c r="E110" s="23"/>
      <c r="F110" s="23"/>
      <c r="G110" s="23"/>
      <c r="H110" s="23"/>
      <c r="I110" s="23"/>
      <c r="J110" s="23"/>
      <c r="K110" s="23"/>
      <c r="L110" s="23"/>
      <c r="M110" s="23"/>
      <c r="N110" s="23"/>
      <c r="O110" s="23"/>
      <c r="P110" s="25"/>
      <c r="Q110" s="23"/>
      <c r="R110" s="23"/>
      <c r="S110" s="23"/>
      <c r="T110" s="25"/>
      <c r="U110" s="25"/>
    </row>
    <row r="111" spans="1:21" x14ac:dyDescent="0.2">
      <c r="A111" s="774"/>
      <c r="B111" s="4"/>
      <c r="C111" s="23"/>
      <c r="D111" s="23"/>
      <c r="E111" s="23"/>
      <c r="F111" s="23"/>
      <c r="G111" s="23"/>
      <c r="H111" s="23"/>
      <c r="I111" s="23"/>
      <c r="J111" s="23"/>
      <c r="K111" s="23"/>
      <c r="L111" s="23"/>
      <c r="M111" s="23"/>
      <c r="N111" s="23"/>
      <c r="O111" s="23"/>
      <c r="P111" s="25"/>
      <c r="Q111" s="23"/>
      <c r="R111" s="23"/>
      <c r="S111" s="23"/>
      <c r="T111" s="25"/>
      <c r="U111" s="25"/>
    </row>
    <row r="112" spans="1:21" x14ac:dyDescent="0.2">
      <c r="A112" s="774"/>
      <c r="B112" s="4"/>
      <c r="C112" s="23"/>
      <c r="D112" s="23"/>
      <c r="E112" s="23"/>
      <c r="F112" s="23"/>
      <c r="G112" s="23"/>
      <c r="H112" s="23"/>
      <c r="I112" s="23"/>
      <c r="J112" s="23"/>
      <c r="K112" s="23"/>
      <c r="L112" s="23"/>
      <c r="M112" s="23"/>
      <c r="N112" s="23"/>
      <c r="O112" s="23"/>
      <c r="P112" s="25"/>
      <c r="Q112" s="23"/>
      <c r="R112" s="23"/>
      <c r="S112" s="23"/>
      <c r="T112" s="25"/>
      <c r="U112" s="25"/>
    </row>
    <row r="113" spans="1:21" x14ac:dyDescent="0.2">
      <c r="A113" s="774"/>
      <c r="B113" s="4"/>
      <c r="C113" s="23"/>
      <c r="D113" s="23"/>
      <c r="E113" s="23"/>
      <c r="F113" s="23"/>
      <c r="G113" s="23"/>
      <c r="H113" s="23"/>
      <c r="I113" s="23"/>
      <c r="J113" s="23"/>
      <c r="K113" s="23"/>
      <c r="L113" s="23"/>
      <c r="M113" s="23"/>
      <c r="N113" s="23"/>
      <c r="O113" s="23"/>
      <c r="P113" s="25"/>
      <c r="Q113" s="23"/>
      <c r="R113" s="23"/>
      <c r="S113" s="23"/>
      <c r="T113" s="25"/>
      <c r="U113" s="25"/>
    </row>
    <row r="114" spans="1:21" x14ac:dyDescent="0.2">
      <c r="A114" s="774"/>
      <c r="B114" s="4"/>
      <c r="C114" s="23"/>
      <c r="D114" s="23"/>
      <c r="E114" s="23"/>
      <c r="F114" s="23"/>
      <c r="G114" s="23"/>
      <c r="H114" s="23"/>
      <c r="I114" s="23"/>
      <c r="J114" s="23"/>
      <c r="K114" s="23"/>
      <c r="L114" s="23"/>
      <c r="M114" s="23"/>
      <c r="N114" s="23"/>
      <c r="O114" s="23"/>
      <c r="P114" s="25"/>
      <c r="Q114" s="23"/>
      <c r="R114" s="23"/>
      <c r="S114" s="23"/>
      <c r="T114" s="25"/>
      <c r="U114" s="25"/>
    </row>
    <row r="115" spans="1:21" x14ac:dyDescent="0.2">
      <c r="A115" s="774"/>
      <c r="B115" s="4"/>
      <c r="C115" s="23"/>
      <c r="D115" s="23"/>
      <c r="E115" s="23"/>
      <c r="F115" s="23"/>
      <c r="G115" s="23"/>
      <c r="H115" s="23"/>
      <c r="I115" s="23"/>
      <c r="J115" s="23"/>
      <c r="K115" s="23"/>
      <c r="L115" s="23"/>
      <c r="M115" s="23"/>
      <c r="N115" s="23"/>
      <c r="O115" s="23"/>
      <c r="P115" s="25"/>
      <c r="Q115" s="23"/>
      <c r="R115" s="23"/>
      <c r="S115" s="23"/>
      <c r="T115" s="25"/>
      <c r="U115" s="25"/>
    </row>
    <row r="116" spans="1:21" x14ac:dyDescent="0.2">
      <c r="A116" s="774"/>
      <c r="B116" s="4"/>
      <c r="C116" s="23"/>
      <c r="D116" s="23"/>
      <c r="E116" s="23"/>
      <c r="F116" s="23"/>
      <c r="G116" s="23"/>
      <c r="H116" s="23"/>
      <c r="I116" s="23"/>
      <c r="J116" s="23"/>
      <c r="K116" s="23"/>
      <c r="L116" s="23"/>
      <c r="M116" s="23"/>
      <c r="N116" s="23"/>
      <c r="O116" s="23"/>
      <c r="P116" s="4"/>
      <c r="Q116" s="23"/>
      <c r="R116" s="23"/>
      <c r="S116" s="23"/>
      <c r="T116" s="4"/>
      <c r="U116" s="4"/>
    </row>
    <row r="117" spans="1:21" x14ac:dyDescent="0.2">
      <c r="A117" s="774"/>
      <c r="B117" s="4"/>
      <c r="C117" s="23"/>
      <c r="D117" s="23"/>
      <c r="E117" s="23"/>
      <c r="F117" s="23"/>
      <c r="G117" s="23"/>
      <c r="H117" s="23"/>
      <c r="I117" s="23"/>
      <c r="J117" s="23"/>
      <c r="K117" s="23"/>
      <c r="L117" s="23"/>
      <c r="M117" s="23"/>
      <c r="N117" s="23"/>
      <c r="O117" s="23"/>
      <c r="P117" s="4"/>
      <c r="Q117" s="23"/>
      <c r="R117" s="23"/>
      <c r="S117" s="23"/>
      <c r="T117" s="4"/>
      <c r="U117" s="4"/>
    </row>
    <row r="118" spans="1:21" x14ac:dyDescent="0.2">
      <c r="A118" s="774"/>
      <c r="B118" s="4"/>
      <c r="C118" s="23"/>
      <c r="D118" s="23"/>
      <c r="E118" s="23"/>
      <c r="F118" s="23"/>
      <c r="G118" s="23"/>
      <c r="H118" s="23"/>
      <c r="I118" s="23"/>
      <c r="J118" s="23"/>
      <c r="K118" s="23"/>
      <c r="L118" s="23"/>
      <c r="M118" s="23"/>
      <c r="N118" s="23"/>
      <c r="O118" s="23"/>
      <c r="P118" s="4"/>
      <c r="Q118" s="23"/>
      <c r="R118" s="23"/>
      <c r="S118" s="23"/>
      <c r="T118" s="4"/>
      <c r="U118" s="4"/>
    </row>
    <row r="119" spans="1:21" x14ac:dyDescent="0.2">
      <c r="A119" s="774"/>
      <c r="B119" s="4"/>
      <c r="C119" s="23"/>
      <c r="D119" s="23"/>
      <c r="E119" s="23"/>
      <c r="F119" s="23"/>
      <c r="G119" s="23"/>
      <c r="H119" s="23"/>
      <c r="I119" s="23"/>
      <c r="J119" s="23"/>
      <c r="K119" s="23"/>
      <c r="L119" s="23"/>
      <c r="M119" s="23"/>
      <c r="N119" s="23"/>
      <c r="O119" s="23"/>
      <c r="P119" s="4"/>
      <c r="Q119" s="23"/>
      <c r="R119" s="23"/>
      <c r="S119" s="23"/>
      <c r="T119" s="4"/>
      <c r="U119" s="4"/>
    </row>
    <row r="120" spans="1:21" x14ac:dyDescent="0.2">
      <c r="A120" s="774"/>
      <c r="B120" s="4"/>
      <c r="C120" s="23"/>
      <c r="D120" s="23"/>
      <c r="E120" s="23"/>
      <c r="F120" s="23"/>
      <c r="G120" s="23"/>
      <c r="H120" s="23"/>
      <c r="I120" s="23"/>
      <c r="J120" s="23"/>
      <c r="K120" s="23"/>
      <c r="L120" s="23"/>
      <c r="M120" s="23"/>
      <c r="N120" s="23"/>
      <c r="O120" s="23"/>
      <c r="P120" s="4"/>
      <c r="Q120" s="23"/>
      <c r="R120" s="23"/>
      <c r="S120" s="23"/>
      <c r="T120" s="4"/>
      <c r="U120" s="4"/>
    </row>
    <row r="121" spans="1:21" x14ac:dyDescent="0.2">
      <c r="A121" s="774"/>
      <c r="B121" s="4"/>
      <c r="C121" s="23"/>
      <c r="D121" s="23"/>
      <c r="E121" s="23"/>
      <c r="F121" s="23"/>
      <c r="G121" s="23"/>
      <c r="H121" s="23"/>
      <c r="I121" s="23"/>
      <c r="J121" s="23"/>
      <c r="K121" s="23"/>
      <c r="L121" s="23"/>
      <c r="M121" s="23"/>
      <c r="N121" s="23"/>
      <c r="O121" s="23"/>
      <c r="P121" s="4"/>
      <c r="Q121" s="23"/>
      <c r="R121" s="23"/>
      <c r="S121" s="23"/>
      <c r="T121" s="4"/>
      <c r="U121" s="4"/>
    </row>
    <row r="122" spans="1:21" x14ac:dyDescent="0.2">
      <c r="A122" s="774"/>
      <c r="B122" s="4"/>
      <c r="C122" s="23"/>
      <c r="D122" s="23"/>
      <c r="E122" s="23"/>
      <c r="F122" s="23"/>
      <c r="G122" s="23"/>
      <c r="H122" s="23"/>
      <c r="I122" s="23"/>
      <c r="J122" s="23"/>
      <c r="K122" s="23"/>
      <c r="L122" s="23"/>
      <c r="M122" s="23"/>
      <c r="N122" s="23"/>
      <c r="O122" s="23"/>
      <c r="P122" s="4"/>
      <c r="Q122" s="23"/>
      <c r="R122" s="23"/>
      <c r="S122" s="23"/>
      <c r="T122" s="4"/>
      <c r="U122" s="4"/>
    </row>
    <row r="123" spans="1:21" x14ac:dyDescent="0.2">
      <c r="A123" s="774"/>
      <c r="B123" s="4"/>
      <c r="C123" s="23"/>
      <c r="D123" s="23"/>
      <c r="E123" s="23"/>
      <c r="F123" s="23"/>
      <c r="G123" s="23"/>
      <c r="H123" s="23"/>
      <c r="I123" s="23"/>
      <c r="J123" s="23"/>
      <c r="K123" s="23"/>
      <c r="L123" s="23"/>
      <c r="M123" s="23"/>
      <c r="N123" s="23"/>
      <c r="O123" s="23"/>
      <c r="P123" s="4"/>
      <c r="Q123" s="23"/>
      <c r="R123" s="23"/>
      <c r="S123" s="23"/>
      <c r="T123" s="4"/>
      <c r="U123" s="4"/>
    </row>
    <row r="124" spans="1:21" x14ac:dyDescent="0.2">
      <c r="A124" s="774"/>
      <c r="B124" s="4"/>
      <c r="C124" s="23"/>
      <c r="D124" s="23"/>
      <c r="E124" s="23"/>
      <c r="F124" s="23"/>
      <c r="G124" s="23"/>
      <c r="H124" s="23"/>
      <c r="I124" s="23"/>
      <c r="J124" s="23"/>
      <c r="K124" s="23"/>
      <c r="L124" s="23"/>
      <c r="M124" s="23"/>
      <c r="N124" s="23"/>
      <c r="O124" s="23"/>
      <c r="P124" s="4"/>
      <c r="Q124" s="23"/>
      <c r="R124" s="23"/>
      <c r="S124" s="23"/>
      <c r="T124" s="4"/>
      <c r="U124" s="4"/>
    </row>
    <row r="125" spans="1:21" x14ac:dyDescent="0.2">
      <c r="A125" s="774"/>
      <c r="B125" s="4"/>
      <c r="C125" s="23"/>
      <c r="D125" s="23"/>
      <c r="E125" s="23"/>
      <c r="F125" s="23"/>
      <c r="G125" s="23"/>
      <c r="H125" s="23"/>
      <c r="I125" s="23"/>
      <c r="J125" s="23"/>
      <c r="K125" s="23"/>
      <c r="L125" s="23"/>
      <c r="M125" s="23"/>
      <c r="N125" s="23"/>
      <c r="O125" s="23"/>
      <c r="P125" s="4"/>
      <c r="Q125" s="23"/>
      <c r="R125" s="23"/>
      <c r="S125" s="23"/>
      <c r="T125" s="4"/>
      <c r="U125" s="4"/>
    </row>
    <row r="126" spans="1:21" x14ac:dyDescent="0.2">
      <c r="A126" s="774"/>
      <c r="B126" s="4"/>
      <c r="C126" s="23"/>
      <c r="D126" s="23"/>
      <c r="E126" s="23"/>
      <c r="F126" s="23"/>
      <c r="G126" s="23"/>
      <c r="H126" s="23"/>
      <c r="I126" s="23"/>
      <c r="J126" s="23"/>
      <c r="K126" s="23"/>
      <c r="L126" s="23"/>
      <c r="M126" s="23"/>
      <c r="N126" s="23"/>
      <c r="O126" s="23"/>
      <c r="P126" s="4"/>
      <c r="Q126" s="23"/>
      <c r="R126" s="23"/>
      <c r="S126" s="23"/>
      <c r="T126" s="4"/>
      <c r="U126" s="4"/>
    </row>
    <row r="127" spans="1:21" x14ac:dyDescent="0.2">
      <c r="A127" s="774"/>
      <c r="B127" s="4"/>
      <c r="C127" s="23"/>
      <c r="D127" s="23"/>
      <c r="E127" s="23"/>
      <c r="F127" s="23"/>
      <c r="G127" s="23"/>
      <c r="H127" s="23"/>
      <c r="I127" s="23"/>
      <c r="J127" s="23"/>
      <c r="K127" s="23"/>
      <c r="L127" s="23"/>
      <c r="M127" s="23"/>
      <c r="N127" s="23"/>
      <c r="O127" s="23"/>
      <c r="P127" s="4"/>
      <c r="Q127" s="23"/>
      <c r="R127" s="23"/>
      <c r="S127" s="23"/>
      <c r="T127" s="4"/>
      <c r="U127" s="4"/>
    </row>
    <row r="128" spans="1:21" x14ac:dyDescent="0.2">
      <c r="A128" s="774"/>
      <c r="B128" s="4"/>
      <c r="C128" s="23"/>
      <c r="D128" s="23"/>
      <c r="E128" s="23"/>
      <c r="F128" s="23"/>
      <c r="G128" s="23"/>
      <c r="H128" s="23"/>
      <c r="I128" s="23"/>
      <c r="J128" s="23"/>
      <c r="K128" s="23"/>
      <c r="L128" s="23"/>
      <c r="M128" s="23"/>
      <c r="N128" s="23"/>
      <c r="O128" s="23"/>
      <c r="P128" s="4"/>
      <c r="Q128" s="23"/>
      <c r="R128" s="23"/>
      <c r="S128" s="23"/>
      <c r="T128" s="4"/>
      <c r="U128" s="4"/>
    </row>
    <row r="129" spans="1:21" x14ac:dyDescent="0.2">
      <c r="A129" s="774"/>
      <c r="B129" s="4"/>
      <c r="C129" s="23"/>
      <c r="D129" s="23"/>
      <c r="E129" s="23"/>
      <c r="F129" s="23"/>
      <c r="G129" s="23"/>
      <c r="H129" s="23"/>
      <c r="I129" s="23"/>
      <c r="J129" s="23"/>
      <c r="K129" s="23"/>
      <c r="L129" s="23"/>
      <c r="M129" s="23"/>
      <c r="N129" s="23"/>
      <c r="O129" s="23"/>
      <c r="P129" s="4"/>
      <c r="Q129" s="23"/>
      <c r="R129" s="23"/>
      <c r="S129" s="23"/>
      <c r="T129" s="4"/>
      <c r="U129" s="4"/>
    </row>
    <row r="130" spans="1:21" x14ac:dyDescent="0.2">
      <c r="A130" s="774"/>
      <c r="B130" s="4"/>
      <c r="C130" s="23"/>
      <c r="D130" s="23"/>
      <c r="E130" s="23"/>
      <c r="F130" s="23"/>
      <c r="G130" s="23"/>
      <c r="H130" s="23"/>
      <c r="I130" s="23"/>
      <c r="J130" s="23"/>
      <c r="K130" s="23"/>
      <c r="L130" s="23"/>
      <c r="M130" s="23"/>
      <c r="N130" s="23"/>
      <c r="O130" s="23"/>
      <c r="P130" s="4"/>
      <c r="Q130" s="23"/>
      <c r="R130" s="23"/>
      <c r="S130" s="23"/>
      <c r="T130" s="4"/>
      <c r="U130" s="4"/>
    </row>
    <row r="131" spans="1:21" x14ac:dyDescent="0.2">
      <c r="A131" s="774"/>
      <c r="B131" s="4"/>
      <c r="C131" s="23"/>
      <c r="D131" s="23"/>
      <c r="E131" s="23"/>
      <c r="F131" s="23"/>
      <c r="G131" s="23"/>
      <c r="H131" s="23"/>
      <c r="I131" s="23"/>
      <c r="J131" s="23"/>
      <c r="K131" s="23"/>
      <c r="L131" s="23"/>
      <c r="M131" s="23"/>
      <c r="N131" s="23"/>
      <c r="O131" s="23"/>
      <c r="P131" s="4"/>
      <c r="Q131" s="23"/>
      <c r="R131" s="23"/>
      <c r="S131" s="23"/>
      <c r="T131" s="4"/>
      <c r="U131" s="4"/>
    </row>
    <row r="132" spans="1:21" x14ac:dyDescent="0.2">
      <c r="A132" s="774"/>
      <c r="B132" s="4"/>
      <c r="C132" s="23"/>
      <c r="D132" s="23"/>
      <c r="E132" s="23"/>
      <c r="F132" s="23"/>
      <c r="G132" s="23"/>
      <c r="H132" s="23"/>
      <c r="I132" s="23"/>
      <c r="J132" s="23"/>
      <c r="K132" s="23"/>
      <c r="L132" s="23"/>
      <c r="M132" s="23"/>
      <c r="N132" s="23"/>
      <c r="O132" s="23"/>
      <c r="P132" s="4"/>
      <c r="Q132" s="23"/>
      <c r="R132" s="23"/>
      <c r="S132" s="23"/>
      <c r="T132" s="4"/>
      <c r="U132" s="4"/>
    </row>
    <row r="133" spans="1:21" x14ac:dyDescent="0.2">
      <c r="A133" s="774"/>
      <c r="B133" s="4"/>
      <c r="C133" s="23"/>
      <c r="D133" s="23"/>
      <c r="E133" s="23"/>
      <c r="F133" s="23"/>
      <c r="G133" s="23"/>
      <c r="H133" s="23"/>
      <c r="I133" s="23"/>
      <c r="J133" s="23"/>
      <c r="K133" s="23"/>
      <c r="L133" s="23"/>
      <c r="M133" s="23"/>
      <c r="N133" s="23"/>
      <c r="O133" s="23"/>
      <c r="P133" s="4"/>
      <c r="Q133" s="23"/>
      <c r="R133" s="23"/>
      <c r="S133" s="23"/>
      <c r="T133" s="4"/>
      <c r="U133" s="4"/>
    </row>
    <row r="134" spans="1:21" x14ac:dyDescent="0.2">
      <c r="A134" s="774"/>
      <c r="B134" s="4"/>
      <c r="C134" s="23"/>
      <c r="D134" s="23"/>
      <c r="E134" s="23"/>
      <c r="F134" s="23"/>
      <c r="G134" s="23"/>
      <c r="H134" s="23"/>
      <c r="I134" s="23"/>
      <c r="J134" s="23"/>
      <c r="K134" s="23"/>
      <c r="L134" s="23"/>
      <c r="M134" s="23"/>
      <c r="N134" s="23"/>
      <c r="O134" s="23"/>
      <c r="P134" s="4"/>
      <c r="Q134" s="23"/>
      <c r="R134" s="23"/>
      <c r="S134" s="23"/>
      <c r="T134" s="4"/>
      <c r="U134" s="4"/>
    </row>
    <row r="135" spans="1:21" x14ac:dyDescent="0.2">
      <c r="A135" s="774"/>
      <c r="B135" s="4"/>
      <c r="C135" s="23"/>
      <c r="D135" s="23"/>
      <c r="E135" s="23"/>
      <c r="F135" s="23"/>
      <c r="G135" s="23"/>
      <c r="H135" s="23"/>
      <c r="I135" s="23"/>
      <c r="J135" s="23"/>
      <c r="K135" s="23"/>
      <c r="L135" s="23"/>
      <c r="M135" s="23"/>
      <c r="N135" s="23"/>
      <c r="O135" s="23"/>
      <c r="P135" s="4"/>
      <c r="Q135" s="23"/>
      <c r="R135" s="23"/>
      <c r="S135" s="23"/>
      <c r="T135" s="4"/>
      <c r="U135" s="4"/>
    </row>
    <row r="136" spans="1:21" x14ac:dyDescent="0.2">
      <c r="A136" s="774"/>
      <c r="B136" s="4"/>
      <c r="C136" s="23"/>
      <c r="D136" s="23"/>
      <c r="E136" s="23"/>
      <c r="F136" s="23"/>
      <c r="G136" s="23"/>
      <c r="H136" s="23"/>
      <c r="I136" s="23"/>
      <c r="J136" s="23"/>
      <c r="K136" s="23"/>
      <c r="L136" s="23"/>
      <c r="M136" s="23"/>
      <c r="N136" s="23"/>
      <c r="O136" s="23"/>
      <c r="P136" s="4"/>
      <c r="Q136" s="23"/>
      <c r="R136" s="23"/>
      <c r="S136" s="23"/>
      <c r="T136" s="4"/>
      <c r="U136" s="4"/>
    </row>
    <row r="137" spans="1:21" x14ac:dyDescent="0.2">
      <c r="A137" s="774"/>
      <c r="B137" s="4"/>
      <c r="C137" s="23"/>
      <c r="D137" s="23"/>
      <c r="E137" s="23"/>
      <c r="F137" s="23"/>
      <c r="G137" s="23"/>
      <c r="H137" s="23"/>
      <c r="I137" s="23"/>
      <c r="J137" s="23"/>
      <c r="K137" s="23"/>
      <c r="L137" s="23"/>
      <c r="M137" s="23"/>
      <c r="N137" s="23"/>
      <c r="O137" s="23"/>
      <c r="P137" s="4"/>
      <c r="Q137" s="23"/>
      <c r="R137" s="23"/>
      <c r="S137" s="23"/>
      <c r="T137" s="4"/>
      <c r="U137" s="4"/>
    </row>
    <row r="138" spans="1:21" x14ac:dyDescent="0.2">
      <c r="A138" s="774"/>
      <c r="B138" s="4"/>
      <c r="C138" s="23"/>
      <c r="D138" s="23"/>
      <c r="E138" s="23"/>
      <c r="F138" s="23"/>
      <c r="G138" s="23"/>
      <c r="H138" s="23"/>
      <c r="I138" s="23"/>
      <c r="J138" s="23"/>
      <c r="K138" s="23"/>
      <c r="L138" s="23"/>
      <c r="M138" s="23"/>
      <c r="N138" s="23"/>
      <c r="O138" s="23"/>
      <c r="P138" s="4"/>
      <c r="Q138" s="23"/>
      <c r="R138" s="23"/>
      <c r="S138" s="23"/>
      <c r="T138" s="4"/>
      <c r="U138" s="4"/>
    </row>
    <row r="139" spans="1:21" x14ac:dyDescent="0.2">
      <c r="A139" s="774"/>
      <c r="B139" s="4"/>
      <c r="C139" s="23"/>
      <c r="D139" s="23"/>
      <c r="E139" s="23"/>
      <c r="F139" s="23"/>
      <c r="G139" s="23"/>
      <c r="H139" s="23"/>
      <c r="I139" s="23"/>
      <c r="J139" s="23"/>
      <c r="K139" s="23"/>
      <c r="L139" s="23"/>
      <c r="M139" s="23"/>
      <c r="N139" s="23"/>
      <c r="O139" s="23"/>
      <c r="P139" s="4"/>
      <c r="Q139" s="23"/>
      <c r="R139" s="23"/>
      <c r="S139" s="23"/>
      <c r="T139" s="4"/>
      <c r="U139" s="4"/>
    </row>
    <row r="140" spans="1:21" x14ac:dyDescent="0.2">
      <c r="A140" s="774"/>
      <c r="B140" s="4"/>
      <c r="C140" s="23"/>
      <c r="D140" s="23"/>
      <c r="E140" s="23"/>
      <c r="F140" s="23"/>
      <c r="G140" s="23"/>
      <c r="H140" s="23"/>
      <c r="I140" s="23"/>
      <c r="J140" s="23"/>
      <c r="K140" s="23"/>
      <c r="L140" s="23"/>
      <c r="M140" s="23"/>
      <c r="N140" s="23"/>
      <c r="O140" s="23"/>
      <c r="P140" s="4"/>
      <c r="Q140" s="23"/>
      <c r="R140" s="23"/>
      <c r="S140" s="23"/>
      <c r="T140" s="4"/>
      <c r="U140" s="4"/>
    </row>
    <row r="141" spans="1:21" x14ac:dyDescent="0.2">
      <c r="A141" s="774"/>
      <c r="B141" s="4"/>
      <c r="C141" s="23"/>
      <c r="D141" s="23"/>
      <c r="E141" s="23"/>
      <c r="F141" s="23"/>
      <c r="G141" s="23"/>
      <c r="H141" s="23"/>
      <c r="I141" s="23"/>
      <c r="J141" s="23"/>
      <c r="K141" s="23"/>
      <c r="L141" s="23"/>
      <c r="M141" s="23"/>
      <c r="N141" s="23"/>
      <c r="O141" s="23"/>
      <c r="P141" s="4"/>
      <c r="Q141" s="23"/>
      <c r="R141" s="23"/>
      <c r="S141" s="23"/>
      <c r="T141" s="4"/>
      <c r="U141" s="4"/>
    </row>
    <row r="142" spans="1:21" x14ac:dyDescent="0.2">
      <c r="A142" s="774"/>
      <c r="B142" s="4"/>
      <c r="C142" s="23"/>
      <c r="D142" s="23"/>
      <c r="E142" s="23"/>
      <c r="F142" s="23"/>
      <c r="G142" s="23"/>
      <c r="H142" s="23"/>
      <c r="I142" s="23"/>
      <c r="J142" s="23"/>
      <c r="K142" s="23"/>
      <c r="L142" s="23"/>
      <c r="M142" s="23"/>
      <c r="N142" s="23"/>
      <c r="O142" s="23"/>
      <c r="P142" s="4"/>
      <c r="Q142" s="23"/>
      <c r="R142" s="23"/>
      <c r="S142" s="23"/>
      <c r="T142" s="4"/>
      <c r="U142" s="4"/>
    </row>
    <row r="143" spans="1:21" x14ac:dyDescent="0.2">
      <c r="A143" s="774"/>
      <c r="B143" s="4"/>
      <c r="C143" s="23"/>
      <c r="D143" s="23"/>
      <c r="E143" s="23"/>
      <c r="F143" s="23"/>
      <c r="G143" s="23"/>
      <c r="H143" s="23"/>
      <c r="I143" s="23"/>
      <c r="J143" s="23"/>
      <c r="K143" s="23"/>
      <c r="L143" s="23"/>
      <c r="M143" s="23"/>
      <c r="N143" s="23"/>
      <c r="O143" s="23"/>
      <c r="P143" s="4"/>
      <c r="Q143" s="23"/>
      <c r="R143" s="23"/>
      <c r="S143" s="23"/>
      <c r="T143" s="4"/>
      <c r="U143" s="4"/>
    </row>
    <row r="144" spans="1:21" x14ac:dyDescent="0.2">
      <c r="A144" s="774"/>
      <c r="B144" s="4"/>
      <c r="C144" s="23"/>
      <c r="D144" s="23"/>
      <c r="E144" s="23"/>
      <c r="F144" s="23"/>
      <c r="G144" s="23"/>
      <c r="H144" s="23"/>
      <c r="I144" s="23"/>
      <c r="J144" s="23"/>
      <c r="K144" s="23"/>
      <c r="L144" s="23"/>
      <c r="M144" s="23"/>
      <c r="N144" s="23"/>
      <c r="O144" s="23"/>
      <c r="P144" s="4"/>
      <c r="Q144" s="23"/>
      <c r="R144" s="23"/>
      <c r="S144" s="23"/>
      <c r="T144" s="4"/>
      <c r="U144" s="4"/>
    </row>
    <row r="145" spans="1:21" x14ac:dyDescent="0.2">
      <c r="A145" s="774"/>
      <c r="B145" s="4"/>
      <c r="C145" s="23"/>
      <c r="D145" s="23"/>
      <c r="E145" s="23"/>
      <c r="F145" s="23"/>
      <c r="G145" s="23"/>
      <c r="H145" s="23"/>
      <c r="I145" s="23"/>
      <c r="J145" s="23"/>
      <c r="K145" s="23"/>
      <c r="L145" s="23"/>
      <c r="M145" s="23"/>
      <c r="N145" s="23"/>
      <c r="O145" s="23"/>
      <c r="P145" s="4"/>
      <c r="Q145" s="23"/>
      <c r="R145" s="23"/>
      <c r="S145" s="23"/>
      <c r="T145" s="4"/>
      <c r="U145" s="4"/>
    </row>
    <row r="146" spans="1:21" x14ac:dyDescent="0.2">
      <c r="A146" s="774"/>
      <c r="B146" s="4"/>
      <c r="C146" s="23"/>
      <c r="D146" s="23"/>
      <c r="E146" s="23"/>
      <c r="F146" s="23"/>
      <c r="G146" s="23"/>
      <c r="H146" s="23"/>
      <c r="I146" s="23"/>
      <c r="J146" s="23"/>
      <c r="K146" s="23"/>
      <c r="L146" s="23"/>
      <c r="M146" s="23"/>
      <c r="N146" s="23"/>
      <c r="O146" s="23"/>
      <c r="P146" s="4"/>
      <c r="Q146" s="23"/>
      <c r="R146" s="23"/>
      <c r="S146" s="23"/>
      <c r="T146" s="4"/>
      <c r="U146" s="4"/>
    </row>
    <row r="147" spans="1:21" x14ac:dyDescent="0.2">
      <c r="A147" s="774"/>
      <c r="B147" s="4"/>
      <c r="C147" s="23"/>
      <c r="D147" s="23"/>
      <c r="E147" s="23"/>
      <c r="F147" s="23"/>
      <c r="G147" s="23"/>
      <c r="H147" s="23"/>
      <c r="I147" s="23"/>
      <c r="J147" s="23"/>
      <c r="K147" s="23"/>
      <c r="L147" s="23"/>
      <c r="M147" s="23"/>
      <c r="N147" s="23"/>
      <c r="O147" s="23"/>
      <c r="P147" s="4"/>
      <c r="Q147" s="23"/>
      <c r="R147" s="23"/>
      <c r="S147" s="23"/>
      <c r="T147" s="4"/>
      <c r="U147" s="4"/>
    </row>
    <row r="148" spans="1:21" x14ac:dyDescent="0.2">
      <c r="A148" s="774"/>
      <c r="B148" s="4"/>
      <c r="C148" s="23"/>
      <c r="D148" s="23"/>
      <c r="E148" s="23"/>
      <c r="F148" s="23"/>
      <c r="G148" s="23"/>
      <c r="H148" s="23"/>
      <c r="I148" s="23"/>
      <c r="J148" s="23"/>
      <c r="K148" s="23"/>
      <c r="L148" s="23"/>
      <c r="M148" s="23"/>
      <c r="N148" s="23"/>
      <c r="O148" s="23"/>
      <c r="P148" s="4"/>
      <c r="Q148" s="23"/>
      <c r="R148" s="23"/>
      <c r="S148" s="23"/>
      <c r="T148" s="4"/>
      <c r="U148" s="4"/>
    </row>
    <row r="149" spans="1:21" x14ac:dyDescent="0.2">
      <c r="A149" s="774"/>
      <c r="B149" s="4"/>
      <c r="C149" s="23"/>
      <c r="D149" s="23"/>
      <c r="E149" s="23"/>
      <c r="F149" s="23"/>
      <c r="G149" s="23"/>
      <c r="H149" s="23"/>
      <c r="I149" s="23"/>
      <c r="J149" s="23"/>
      <c r="K149" s="23"/>
      <c r="L149" s="23"/>
      <c r="M149" s="23"/>
      <c r="N149" s="23"/>
      <c r="O149" s="23"/>
      <c r="P149" s="4"/>
      <c r="Q149" s="23"/>
      <c r="R149" s="23"/>
      <c r="S149" s="23"/>
      <c r="T149" s="4"/>
      <c r="U149" s="4"/>
    </row>
    <row r="150" spans="1:21" x14ac:dyDescent="0.2">
      <c r="A150" s="774"/>
      <c r="B150" s="4"/>
      <c r="C150" s="23"/>
      <c r="D150" s="23"/>
      <c r="E150" s="23"/>
      <c r="F150" s="23"/>
      <c r="G150" s="23"/>
      <c r="H150" s="23"/>
      <c r="I150" s="23"/>
      <c r="J150" s="23"/>
      <c r="K150" s="23"/>
      <c r="L150" s="23"/>
      <c r="M150" s="23"/>
      <c r="N150" s="23"/>
      <c r="O150" s="23"/>
      <c r="P150" s="4"/>
      <c r="Q150" s="23"/>
      <c r="R150" s="23"/>
      <c r="S150" s="23"/>
      <c r="T150" s="4"/>
      <c r="U150" s="4"/>
    </row>
    <row r="151" spans="1:21" x14ac:dyDescent="0.2">
      <c r="A151" s="774"/>
      <c r="B151" s="4"/>
      <c r="C151" s="23"/>
      <c r="D151" s="23"/>
      <c r="E151" s="23"/>
      <c r="F151" s="23"/>
      <c r="G151" s="23"/>
      <c r="H151" s="23"/>
      <c r="I151" s="23"/>
      <c r="J151" s="23"/>
      <c r="K151" s="23"/>
      <c r="L151" s="23"/>
      <c r="M151" s="23"/>
      <c r="N151" s="23"/>
      <c r="O151" s="23"/>
      <c r="P151" s="4"/>
      <c r="Q151" s="23"/>
      <c r="R151" s="23"/>
      <c r="S151" s="23"/>
      <c r="T151" s="4"/>
      <c r="U151" s="4"/>
    </row>
    <row r="152" spans="1:21" x14ac:dyDescent="0.2">
      <c r="A152" s="774"/>
      <c r="B152" s="4"/>
      <c r="C152" s="23"/>
      <c r="D152" s="23"/>
      <c r="E152" s="23"/>
      <c r="F152" s="23"/>
      <c r="G152" s="23"/>
      <c r="H152" s="23"/>
      <c r="I152" s="23"/>
      <c r="J152" s="23"/>
      <c r="K152" s="23"/>
      <c r="L152" s="23"/>
      <c r="M152" s="23"/>
      <c r="N152" s="23"/>
      <c r="O152" s="23"/>
      <c r="P152" s="4"/>
      <c r="Q152" s="23"/>
      <c r="R152" s="23"/>
      <c r="S152" s="23"/>
      <c r="T152" s="4"/>
      <c r="U152" s="4"/>
    </row>
    <row r="153" spans="1:21" x14ac:dyDescent="0.2">
      <c r="A153" s="774"/>
      <c r="B153" s="4"/>
      <c r="C153" s="23"/>
      <c r="D153" s="23"/>
      <c r="E153" s="23"/>
      <c r="F153" s="23"/>
      <c r="G153" s="23"/>
      <c r="H153" s="23"/>
      <c r="I153" s="23"/>
      <c r="J153" s="23"/>
      <c r="K153" s="23"/>
      <c r="L153" s="23"/>
      <c r="M153" s="23"/>
      <c r="N153" s="23"/>
      <c r="O153" s="23"/>
      <c r="P153" s="4"/>
      <c r="Q153" s="23"/>
      <c r="R153" s="23"/>
      <c r="S153" s="23"/>
      <c r="T153" s="4"/>
      <c r="U153" s="4"/>
    </row>
    <row r="154" spans="1:21" x14ac:dyDescent="0.2">
      <c r="A154" s="774"/>
      <c r="B154" s="4"/>
      <c r="C154" s="23"/>
      <c r="D154" s="23"/>
      <c r="E154" s="23"/>
      <c r="F154" s="23"/>
      <c r="G154" s="23"/>
      <c r="H154" s="23"/>
      <c r="I154" s="23"/>
      <c r="J154" s="23"/>
      <c r="K154" s="23"/>
      <c r="L154" s="23"/>
      <c r="M154" s="23"/>
      <c r="N154" s="23"/>
      <c r="O154" s="23"/>
      <c r="P154" s="4"/>
      <c r="Q154" s="23"/>
      <c r="R154" s="23"/>
      <c r="S154" s="23"/>
      <c r="T154" s="4"/>
      <c r="U154" s="4"/>
    </row>
    <row r="155" spans="1:21" x14ac:dyDescent="0.2">
      <c r="A155" s="774"/>
      <c r="B155" s="4"/>
      <c r="C155" s="23"/>
      <c r="D155" s="23"/>
      <c r="E155" s="23"/>
      <c r="F155" s="23"/>
      <c r="G155" s="23"/>
      <c r="H155" s="23"/>
      <c r="I155" s="23"/>
      <c r="J155" s="23"/>
      <c r="K155" s="23"/>
      <c r="L155" s="23"/>
      <c r="M155" s="23"/>
      <c r="N155" s="23"/>
      <c r="O155" s="23"/>
      <c r="P155" s="4"/>
      <c r="Q155" s="23"/>
      <c r="R155" s="23"/>
      <c r="S155" s="23"/>
      <c r="T155" s="4"/>
      <c r="U155" s="4"/>
    </row>
    <row r="156" spans="1:21" x14ac:dyDescent="0.2">
      <c r="A156" s="774"/>
      <c r="B156" s="4"/>
      <c r="C156" s="23"/>
      <c r="D156" s="23"/>
      <c r="E156" s="23"/>
      <c r="F156" s="23"/>
      <c r="G156" s="23"/>
      <c r="H156" s="23"/>
      <c r="I156" s="23"/>
      <c r="J156" s="23"/>
      <c r="K156" s="23"/>
      <c r="L156" s="23"/>
      <c r="M156" s="23"/>
      <c r="N156" s="23"/>
      <c r="O156" s="23"/>
      <c r="P156" s="4"/>
      <c r="Q156" s="23"/>
      <c r="R156" s="23"/>
      <c r="S156" s="23"/>
      <c r="T156" s="4"/>
      <c r="U156" s="4"/>
    </row>
    <row r="157" spans="1:21" x14ac:dyDescent="0.2">
      <c r="A157" s="774"/>
      <c r="B157" s="4"/>
      <c r="C157" s="23"/>
      <c r="D157" s="23"/>
      <c r="E157" s="23"/>
      <c r="F157" s="23"/>
      <c r="G157" s="23"/>
      <c r="H157" s="23"/>
      <c r="I157" s="23"/>
      <c r="J157" s="23"/>
      <c r="K157" s="23"/>
      <c r="L157" s="23"/>
      <c r="M157" s="23"/>
      <c r="N157" s="23"/>
      <c r="O157" s="23"/>
      <c r="P157" s="4"/>
      <c r="Q157" s="23"/>
      <c r="R157" s="23"/>
      <c r="S157" s="23"/>
      <c r="T157" s="4"/>
      <c r="U157" s="4"/>
    </row>
    <row r="158" spans="1:21" x14ac:dyDescent="0.2">
      <c r="A158" s="774"/>
      <c r="B158" s="4"/>
      <c r="C158" s="23"/>
      <c r="D158" s="23"/>
      <c r="E158" s="23"/>
      <c r="F158" s="23"/>
      <c r="G158" s="23"/>
      <c r="H158" s="23"/>
      <c r="I158" s="23"/>
      <c r="J158" s="23"/>
      <c r="K158" s="23"/>
      <c r="L158" s="23"/>
      <c r="M158" s="23"/>
      <c r="N158" s="23"/>
      <c r="O158" s="23"/>
      <c r="P158" s="4"/>
      <c r="Q158" s="23"/>
      <c r="R158" s="23"/>
      <c r="S158" s="23"/>
      <c r="T158" s="4"/>
      <c r="U158" s="4"/>
    </row>
    <row r="159" spans="1:21" x14ac:dyDescent="0.2">
      <c r="A159" s="774"/>
      <c r="B159" s="4"/>
      <c r="C159" s="23"/>
      <c r="D159" s="23"/>
      <c r="E159" s="23"/>
      <c r="F159" s="23"/>
      <c r="G159" s="23"/>
      <c r="H159" s="23"/>
      <c r="I159" s="23"/>
      <c r="J159" s="23"/>
      <c r="K159" s="23"/>
      <c r="L159" s="23"/>
      <c r="M159" s="23"/>
      <c r="N159" s="23"/>
      <c r="O159" s="23"/>
      <c r="P159" s="4"/>
      <c r="Q159" s="23"/>
      <c r="R159" s="23"/>
      <c r="S159" s="23"/>
      <c r="T159" s="4"/>
      <c r="U159" s="4"/>
    </row>
    <row r="160" spans="1:21" x14ac:dyDescent="0.2">
      <c r="A160" s="774"/>
      <c r="B160" s="4"/>
      <c r="C160" s="23"/>
      <c r="D160" s="23"/>
      <c r="E160" s="23"/>
      <c r="F160" s="23"/>
      <c r="G160" s="23"/>
      <c r="H160" s="23"/>
      <c r="I160" s="23"/>
      <c r="J160" s="23"/>
      <c r="K160" s="23"/>
      <c r="L160" s="23"/>
      <c r="M160" s="23"/>
      <c r="N160" s="23"/>
      <c r="O160" s="23"/>
      <c r="P160" s="4"/>
      <c r="Q160" s="23"/>
      <c r="R160" s="23"/>
      <c r="S160" s="23"/>
      <c r="T160" s="4"/>
      <c r="U160" s="4"/>
    </row>
    <row r="161" spans="1:21" x14ac:dyDescent="0.2">
      <c r="A161" s="774"/>
      <c r="B161" s="4"/>
      <c r="C161" s="23"/>
      <c r="D161" s="23"/>
      <c r="E161" s="23"/>
      <c r="F161" s="23"/>
      <c r="G161" s="23"/>
      <c r="H161" s="23"/>
      <c r="I161" s="23"/>
      <c r="J161" s="23"/>
      <c r="K161" s="23"/>
      <c r="L161" s="23"/>
      <c r="M161" s="23"/>
      <c r="N161" s="23"/>
      <c r="O161" s="23"/>
      <c r="P161" s="4"/>
      <c r="Q161" s="23"/>
      <c r="R161" s="23"/>
      <c r="S161" s="23"/>
      <c r="T161" s="4"/>
      <c r="U161" s="4"/>
    </row>
    <row r="162" spans="1:21" x14ac:dyDescent="0.2">
      <c r="A162" s="774"/>
      <c r="B162" s="4"/>
      <c r="C162" s="23"/>
      <c r="D162" s="23"/>
      <c r="E162" s="23"/>
      <c r="F162" s="23"/>
      <c r="G162" s="23"/>
      <c r="H162" s="23"/>
      <c r="I162" s="23"/>
      <c r="J162" s="23"/>
      <c r="K162" s="23"/>
      <c r="L162" s="23"/>
      <c r="M162" s="23"/>
      <c r="N162" s="23"/>
      <c r="O162" s="23"/>
      <c r="P162" s="4"/>
      <c r="Q162" s="23"/>
      <c r="R162" s="23"/>
      <c r="S162" s="23"/>
      <c r="T162" s="4"/>
      <c r="U162" s="4"/>
    </row>
    <row r="163" spans="1:21" x14ac:dyDescent="0.2">
      <c r="A163" s="774"/>
      <c r="B163" s="4"/>
      <c r="C163" s="23"/>
      <c r="D163" s="23"/>
      <c r="E163" s="23"/>
      <c r="F163" s="23"/>
      <c r="G163" s="23"/>
      <c r="H163" s="23"/>
      <c r="I163" s="23"/>
      <c r="J163" s="23"/>
      <c r="K163" s="23"/>
      <c r="L163" s="23"/>
      <c r="M163" s="23"/>
      <c r="N163" s="23"/>
      <c r="O163" s="23"/>
      <c r="P163" s="4"/>
      <c r="Q163" s="23"/>
      <c r="R163" s="23"/>
      <c r="S163" s="23"/>
      <c r="T163" s="4"/>
      <c r="U163" s="4"/>
    </row>
    <row r="164" spans="1:21" x14ac:dyDescent="0.2">
      <c r="A164" s="774"/>
      <c r="B164" s="4"/>
      <c r="C164" s="23"/>
      <c r="D164" s="23"/>
      <c r="E164" s="23"/>
      <c r="F164" s="23"/>
      <c r="G164" s="23"/>
      <c r="H164" s="23"/>
      <c r="I164" s="23"/>
      <c r="J164" s="23"/>
      <c r="K164" s="23"/>
      <c r="L164" s="23"/>
      <c r="M164" s="23"/>
      <c r="N164" s="23"/>
      <c r="O164" s="23"/>
      <c r="P164" s="4"/>
      <c r="Q164" s="23"/>
      <c r="R164" s="23"/>
      <c r="S164" s="23"/>
      <c r="T164" s="4"/>
      <c r="U164" s="4"/>
    </row>
    <row r="165" spans="1:21" x14ac:dyDescent="0.2">
      <c r="A165" s="774"/>
      <c r="B165" s="4"/>
      <c r="C165" s="23"/>
      <c r="D165" s="23"/>
      <c r="E165" s="23"/>
      <c r="F165" s="23"/>
      <c r="G165" s="23"/>
      <c r="H165" s="23"/>
      <c r="I165" s="23"/>
      <c r="J165" s="23"/>
      <c r="K165" s="23"/>
      <c r="L165" s="23"/>
      <c r="M165" s="23"/>
      <c r="N165" s="23"/>
      <c r="O165" s="23"/>
      <c r="P165" s="4"/>
      <c r="Q165" s="23"/>
      <c r="R165" s="23"/>
      <c r="S165" s="23"/>
      <c r="T165" s="4"/>
      <c r="U165" s="4"/>
    </row>
    <row r="166" spans="1:21" x14ac:dyDescent="0.2">
      <c r="A166" s="774"/>
      <c r="B166" s="4"/>
      <c r="C166" s="23"/>
      <c r="D166" s="23"/>
      <c r="E166" s="23"/>
      <c r="F166" s="23"/>
      <c r="G166" s="23"/>
      <c r="H166" s="23"/>
      <c r="I166" s="23"/>
      <c r="J166" s="23"/>
      <c r="K166" s="23"/>
      <c r="L166" s="23"/>
      <c r="M166" s="23"/>
      <c r="N166" s="23"/>
      <c r="O166" s="23"/>
      <c r="P166" s="4"/>
      <c r="Q166" s="23"/>
      <c r="R166" s="23"/>
      <c r="S166" s="23"/>
      <c r="T166" s="4"/>
      <c r="U166" s="4"/>
    </row>
    <row r="167" spans="1:21" x14ac:dyDescent="0.2">
      <c r="A167" s="774"/>
      <c r="B167" s="4"/>
      <c r="C167" s="23"/>
      <c r="D167" s="23"/>
      <c r="E167" s="23"/>
      <c r="F167" s="23"/>
      <c r="G167" s="23"/>
      <c r="H167" s="23"/>
      <c r="I167" s="23"/>
      <c r="J167" s="23"/>
      <c r="K167" s="23"/>
      <c r="L167" s="23"/>
      <c r="M167" s="23"/>
      <c r="N167" s="23"/>
      <c r="O167" s="23"/>
      <c r="P167" s="4"/>
      <c r="Q167" s="23"/>
      <c r="R167" s="23"/>
      <c r="S167" s="23"/>
      <c r="T167" s="4"/>
      <c r="U167" s="4"/>
    </row>
    <row r="168" spans="1:21" x14ac:dyDescent="0.2">
      <c r="A168" s="774"/>
      <c r="B168" s="4"/>
      <c r="C168" s="23"/>
      <c r="D168" s="23"/>
      <c r="E168" s="23"/>
      <c r="F168" s="23"/>
      <c r="G168" s="23"/>
      <c r="H168" s="23"/>
      <c r="I168" s="23"/>
      <c r="J168" s="23"/>
      <c r="K168" s="23"/>
      <c r="L168" s="23"/>
      <c r="M168" s="23"/>
      <c r="N168" s="23"/>
      <c r="O168" s="23"/>
      <c r="P168" s="4"/>
      <c r="Q168" s="23"/>
      <c r="R168" s="23"/>
      <c r="S168" s="23"/>
      <c r="T168" s="4"/>
      <c r="U168" s="4"/>
    </row>
    <row r="169" spans="1:21" x14ac:dyDescent="0.2">
      <c r="A169" s="774"/>
      <c r="B169" s="4"/>
      <c r="C169" s="23"/>
      <c r="D169" s="23"/>
      <c r="E169" s="23"/>
      <c r="F169" s="23"/>
      <c r="G169" s="23"/>
      <c r="H169" s="23"/>
      <c r="I169" s="23"/>
      <c r="J169" s="23"/>
      <c r="K169" s="23"/>
      <c r="L169" s="23"/>
      <c r="M169" s="23"/>
      <c r="N169" s="23"/>
      <c r="O169" s="23"/>
      <c r="P169" s="4"/>
      <c r="Q169" s="23"/>
      <c r="R169" s="23"/>
      <c r="S169" s="23"/>
      <c r="T169" s="4"/>
      <c r="U169" s="4"/>
    </row>
    <row r="170" spans="1:21" x14ac:dyDescent="0.2">
      <c r="A170" s="774"/>
      <c r="B170" s="4"/>
      <c r="C170" s="23"/>
      <c r="D170" s="23"/>
      <c r="E170" s="23"/>
      <c r="F170" s="23"/>
      <c r="G170" s="23"/>
      <c r="H170" s="23"/>
      <c r="I170" s="23"/>
      <c r="J170" s="23"/>
      <c r="K170" s="23"/>
      <c r="L170" s="23"/>
      <c r="M170" s="23"/>
      <c r="N170" s="23"/>
      <c r="O170" s="23"/>
      <c r="P170" s="4"/>
      <c r="Q170" s="23"/>
      <c r="R170" s="23"/>
      <c r="S170" s="23"/>
      <c r="T170" s="4"/>
      <c r="U170" s="4"/>
    </row>
    <row r="171" spans="1:21" x14ac:dyDescent="0.2">
      <c r="A171" s="774"/>
      <c r="B171" s="4"/>
      <c r="C171" s="23"/>
      <c r="D171" s="23"/>
      <c r="E171" s="23"/>
      <c r="F171" s="23"/>
      <c r="G171" s="23"/>
      <c r="H171" s="23"/>
      <c r="I171" s="23"/>
      <c r="J171" s="23"/>
      <c r="K171" s="23"/>
      <c r="L171" s="23"/>
      <c r="M171" s="23"/>
      <c r="N171" s="23"/>
      <c r="O171" s="23"/>
      <c r="P171" s="4"/>
      <c r="Q171" s="23"/>
      <c r="R171" s="23"/>
      <c r="S171" s="23"/>
      <c r="T171" s="4"/>
      <c r="U171" s="4"/>
    </row>
    <row r="172" spans="1:21" x14ac:dyDescent="0.2">
      <c r="A172" s="774"/>
      <c r="B172" s="4"/>
      <c r="C172" s="23"/>
      <c r="D172" s="23"/>
      <c r="E172" s="23"/>
      <c r="F172" s="23"/>
      <c r="G172" s="23"/>
      <c r="H172" s="23"/>
      <c r="I172" s="23"/>
      <c r="J172" s="23"/>
      <c r="K172" s="23"/>
      <c r="L172" s="23"/>
      <c r="M172" s="23"/>
      <c r="N172" s="23"/>
      <c r="O172" s="23"/>
      <c r="P172" s="4"/>
      <c r="Q172" s="23"/>
      <c r="R172" s="23"/>
      <c r="S172" s="23"/>
      <c r="T172" s="4"/>
      <c r="U172" s="4"/>
    </row>
    <row r="173" spans="1:21" x14ac:dyDescent="0.2">
      <c r="A173" s="774"/>
      <c r="B173" s="4"/>
      <c r="C173" s="23"/>
      <c r="D173" s="23"/>
      <c r="E173" s="23"/>
      <c r="F173" s="23"/>
      <c r="G173" s="23"/>
      <c r="H173" s="23"/>
      <c r="I173" s="23"/>
      <c r="J173" s="23"/>
      <c r="K173" s="23"/>
      <c r="L173" s="23"/>
      <c r="M173" s="23"/>
      <c r="N173" s="23"/>
      <c r="O173" s="23"/>
      <c r="P173" s="4"/>
      <c r="Q173" s="23"/>
      <c r="R173" s="23"/>
      <c r="S173" s="23"/>
      <c r="T173" s="4"/>
      <c r="U173" s="4"/>
    </row>
    <row r="174" spans="1:21" x14ac:dyDescent="0.2">
      <c r="A174" s="774"/>
      <c r="B174" s="4"/>
      <c r="C174" s="23"/>
      <c r="D174" s="23"/>
      <c r="E174" s="23"/>
      <c r="F174" s="23"/>
      <c r="G174" s="23"/>
      <c r="H174" s="23"/>
      <c r="I174" s="23"/>
      <c r="J174" s="23"/>
      <c r="K174" s="23"/>
      <c r="L174" s="23"/>
      <c r="M174" s="23"/>
      <c r="N174" s="23"/>
      <c r="O174" s="23"/>
      <c r="P174" s="4"/>
      <c r="Q174" s="23"/>
      <c r="R174" s="23"/>
      <c r="S174" s="23"/>
      <c r="T174" s="4"/>
      <c r="U174" s="4"/>
    </row>
    <row r="175" spans="1:21" x14ac:dyDescent="0.2">
      <c r="A175" s="774"/>
      <c r="B175" s="4"/>
      <c r="C175" s="23"/>
      <c r="D175" s="23"/>
      <c r="E175" s="23"/>
      <c r="F175" s="23"/>
      <c r="G175" s="23"/>
      <c r="H175" s="23"/>
      <c r="I175" s="23"/>
      <c r="J175" s="23"/>
      <c r="K175" s="23"/>
      <c r="L175" s="23"/>
      <c r="M175" s="23"/>
      <c r="N175" s="23"/>
      <c r="O175" s="23"/>
      <c r="P175" s="4"/>
      <c r="Q175" s="23"/>
      <c r="R175" s="23"/>
      <c r="S175" s="23"/>
      <c r="T175" s="4"/>
      <c r="U175" s="4"/>
    </row>
    <row r="176" spans="1:21" x14ac:dyDescent="0.2">
      <c r="A176" s="774"/>
      <c r="B176" s="4"/>
      <c r="C176" s="23"/>
      <c r="D176" s="23"/>
      <c r="E176" s="23"/>
      <c r="F176" s="23"/>
      <c r="G176" s="23"/>
      <c r="H176" s="23"/>
      <c r="I176" s="23"/>
      <c r="J176" s="23"/>
      <c r="K176" s="23"/>
      <c r="L176" s="23"/>
      <c r="M176" s="23"/>
      <c r="N176" s="23"/>
      <c r="O176" s="23"/>
      <c r="P176" s="4"/>
      <c r="Q176" s="23"/>
      <c r="R176" s="23"/>
      <c r="S176" s="23"/>
      <c r="T176" s="4"/>
      <c r="U176" s="4"/>
    </row>
    <row r="177" spans="1:21" x14ac:dyDescent="0.2">
      <c r="A177" s="774"/>
      <c r="B177" s="4"/>
      <c r="C177" s="23"/>
      <c r="D177" s="23"/>
      <c r="E177" s="23"/>
      <c r="F177" s="23"/>
      <c r="G177" s="23"/>
      <c r="H177" s="23"/>
      <c r="I177" s="23"/>
      <c r="J177" s="23"/>
      <c r="K177" s="23"/>
      <c r="L177" s="23"/>
      <c r="M177" s="23"/>
      <c r="N177" s="23"/>
      <c r="O177" s="23"/>
      <c r="P177" s="4"/>
      <c r="Q177" s="23"/>
      <c r="R177" s="23"/>
      <c r="S177" s="23"/>
      <c r="T177" s="4"/>
      <c r="U177" s="4"/>
    </row>
    <row r="178" spans="1:21" x14ac:dyDescent="0.2">
      <c r="C178" s="212"/>
      <c r="D178" s="212"/>
      <c r="E178" s="212"/>
      <c r="F178" s="212"/>
      <c r="G178" s="212"/>
      <c r="H178" s="212"/>
      <c r="I178" s="212"/>
      <c r="J178" s="212"/>
      <c r="K178" s="212"/>
      <c r="L178" s="212"/>
      <c r="M178" s="212"/>
      <c r="N178" s="212"/>
      <c r="O178" s="212"/>
    </row>
    <row r="179" spans="1:21" x14ac:dyDescent="0.2">
      <c r="C179" s="212"/>
      <c r="D179" s="212"/>
      <c r="E179" s="212"/>
      <c r="F179" s="212"/>
      <c r="G179" s="212"/>
      <c r="H179" s="212"/>
      <c r="I179" s="212"/>
      <c r="J179" s="212"/>
      <c r="K179" s="212"/>
      <c r="L179" s="212"/>
      <c r="M179" s="212"/>
      <c r="N179" s="212"/>
      <c r="O179" s="212"/>
    </row>
    <row r="180" spans="1:21" x14ac:dyDescent="0.2">
      <c r="C180" s="212"/>
      <c r="D180" s="212"/>
      <c r="E180" s="212"/>
      <c r="F180" s="212"/>
      <c r="G180" s="212"/>
      <c r="H180" s="212"/>
      <c r="I180" s="212"/>
      <c r="J180" s="212"/>
      <c r="K180" s="212"/>
      <c r="L180" s="212"/>
      <c r="M180" s="212"/>
      <c r="N180" s="212"/>
      <c r="O180" s="212"/>
    </row>
    <row r="181" spans="1:21" x14ac:dyDescent="0.2">
      <c r="C181" s="212"/>
      <c r="D181" s="212"/>
      <c r="E181" s="212"/>
      <c r="F181" s="212"/>
      <c r="G181" s="212"/>
      <c r="H181" s="212"/>
      <c r="I181" s="212"/>
      <c r="J181" s="212"/>
      <c r="K181" s="212"/>
      <c r="L181" s="212"/>
      <c r="M181" s="212"/>
      <c r="N181" s="212"/>
      <c r="O181" s="212"/>
    </row>
    <row r="182" spans="1:21" x14ac:dyDescent="0.2">
      <c r="C182" s="212"/>
      <c r="D182" s="212"/>
      <c r="E182" s="212"/>
      <c r="F182" s="212"/>
      <c r="G182" s="212"/>
      <c r="H182" s="212"/>
      <c r="I182" s="212"/>
      <c r="J182" s="212"/>
      <c r="K182" s="212"/>
      <c r="L182" s="212"/>
      <c r="M182" s="212"/>
      <c r="N182" s="212"/>
      <c r="O182" s="212"/>
    </row>
    <row r="183" spans="1:21" x14ac:dyDescent="0.2">
      <c r="C183" s="212"/>
      <c r="D183" s="212"/>
      <c r="E183" s="212"/>
      <c r="F183" s="212"/>
      <c r="G183" s="212"/>
      <c r="H183" s="212"/>
      <c r="I183" s="212"/>
      <c r="J183" s="212"/>
      <c r="K183" s="212"/>
      <c r="L183" s="212"/>
      <c r="M183" s="212"/>
      <c r="N183" s="212"/>
      <c r="O183" s="212"/>
    </row>
    <row r="184" spans="1:21" x14ac:dyDescent="0.2">
      <c r="C184" s="212"/>
      <c r="D184" s="212"/>
      <c r="E184" s="212"/>
      <c r="F184" s="212"/>
      <c r="G184" s="212"/>
      <c r="H184" s="212"/>
      <c r="I184" s="212"/>
      <c r="J184" s="212"/>
      <c r="K184" s="212"/>
      <c r="L184" s="212"/>
      <c r="M184" s="212"/>
      <c r="N184" s="212"/>
      <c r="O184" s="212"/>
    </row>
    <row r="185" spans="1:21" x14ac:dyDescent="0.2">
      <c r="C185" s="212"/>
      <c r="D185" s="212"/>
      <c r="E185" s="212"/>
      <c r="F185" s="212"/>
      <c r="G185" s="212"/>
      <c r="H185" s="212"/>
      <c r="I185" s="212"/>
      <c r="J185" s="212"/>
      <c r="K185" s="212"/>
      <c r="L185" s="212"/>
      <c r="M185" s="212"/>
      <c r="N185" s="212"/>
      <c r="O185" s="212"/>
    </row>
    <row r="186" spans="1:21" x14ac:dyDescent="0.2">
      <c r="C186" s="212"/>
      <c r="D186" s="212"/>
      <c r="E186" s="212"/>
      <c r="F186" s="212"/>
      <c r="G186" s="212"/>
      <c r="H186" s="212"/>
      <c r="I186" s="212"/>
      <c r="J186" s="212"/>
      <c r="K186" s="212"/>
      <c r="L186" s="212"/>
      <c r="M186" s="212"/>
      <c r="N186" s="212"/>
      <c r="O186" s="212"/>
    </row>
    <row r="187" spans="1:21" x14ac:dyDescent="0.2">
      <c r="C187" s="212"/>
      <c r="D187" s="212"/>
      <c r="E187" s="212"/>
      <c r="F187" s="212"/>
      <c r="G187" s="212"/>
      <c r="H187" s="212"/>
      <c r="I187" s="212"/>
      <c r="J187" s="212"/>
      <c r="K187" s="212"/>
      <c r="L187" s="212"/>
      <c r="M187" s="212"/>
      <c r="N187" s="212"/>
      <c r="O187" s="212"/>
    </row>
    <row r="188" spans="1:21" x14ac:dyDescent="0.2">
      <c r="C188" s="212"/>
      <c r="D188" s="212"/>
      <c r="E188" s="212"/>
      <c r="F188" s="212"/>
      <c r="G188" s="212"/>
      <c r="H188" s="212"/>
      <c r="I188" s="212"/>
      <c r="J188" s="212"/>
      <c r="K188" s="212"/>
      <c r="L188" s="212"/>
      <c r="M188" s="212"/>
      <c r="N188" s="212"/>
      <c r="O188" s="212"/>
    </row>
    <row r="189" spans="1:21" x14ac:dyDescent="0.2">
      <c r="C189" s="212"/>
      <c r="D189" s="212"/>
      <c r="E189" s="212"/>
      <c r="F189" s="212"/>
      <c r="G189" s="212"/>
      <c r="H189" s="212"/>
      <c r="I189" s="212"/>
      <c r="J189" s="212"/>
      <c r="K189" s="212"/>
      <c r="L189" s="212"/>
      <c r="M189" s="212"/>
      <c r="N189" s="212"/>
      <c r="O189" s="212"/>
    </row>
    <row r="190" spans="1:21" x14ac:dyDescent="0.2">
      <c r="C190" s="212"/>
      <c r="D190" s="212"/>
      <c r="E190" s="212"/>
      <c r="F190" s="212"/>
      <c r="G190" s="212"/>
      <c r="H190" s="212"/>
      <c r="I190" s="212"/>
      <c r="J190" s="212"/>
      <c r="K190" s="212"/>
      <c r="L190" s="212"/>
      <c r="M190" s="212"/>
      <c r="N190" s="212"/>
      <c r="O190" s="212"/>
    </row>
    <row r="191" spans="1:21" x14ac:dyDescent="0.2">
      <c r="C191" s="212"/>
      <c r="D191" s="212"/>
      <c r="E191" s="212"/>
      <c r="F191" s="212"/>
      <c r="G191" s="212"/>
      <c r="H191" s="212"/>
      <c r="I191" s="212"/>
      <c r="J191" s="212"/>
      <c r="K191" s="212"/>
      <c r="L191" s="212"/>
      <c r="M191" s="212"/>
      <c r="N191" s="212"/>
      <c r="O191" s="212"/>
    </row>
    <row r="192" spans="1:21" x14ac:dyDescent="0.2">
      <c r="C192" s="212"/>
      <c r="D192" s="212"/>
      <c r="E192" s="212"/>
      <c r="F192" s="212"/>
      <c r="G192" s="212"/>
      <c r="H192" s="212"/>
      <c r="I192" s="212"/>
      <c r="J192" s="212"/>
      <c r="K192" s="212"/>
      <c r="L192" s="212"/>
      <c r="M192" s="212"/>
      <c r="N192" s="212"/>
      <c r="O192" s="212"/>
    </row>
    <row r="193" spans="3:3" x14ac:dyDescent="0.2">
      <c r="C193" s="212"/>
    </row>
    <row r="194" spans="3:3" x14ac:dyDescent="0.2">
      <c r="C194" s="212"/>
    </row>
    <row r="195" spans="3:3" x14ac:dyDescent="0.2">
      <c r="C195" s="212"/>
    </row>
    <row r="196" spans="3:3" x14ac:dyDescent="0.2">
      <c r="C196" s="212"/>
    </row>
    <row r="197" spans="3:3" x14ac:dyDescent="0.2">
      <c r="C197" s="212"/>
    </row>
    <row r="198" spans="3:3" x14ac:dyDescent="0.2">
      <c r="C198" s="212"/>
    </row>
    <row r="199" spans="3:3" x14ac:dyDescent="0.2">
      <c r="C199" s="212"/>
    </row>
    <row r="200" spans="3:3" x14ac:dyDescent="0.2">
      <c r="C200" s="212"/>
    </row>
    <row r="201" spans="3:3" x14ac:dyDescent="0.2">
      <c r="C201" s="212"/>
    </row>
    <row r="202" spans="3:3" x14ac:dyDescent="0.2">
      <c r="C202" s="212"/>
    </row>
    <row r="203" spans="3:3" x14ac:dyDescent="0.2">
      <c r="C203" s="212"/>
    </row>
    <row r="204" spans="3:3" x14ac:dyDescent="0.2">
      <c r="C204" s="212"/>
    </row>
    <row r="205" spans="3:3" x14ac:dyDescent="0.2">
      <c r="C205" s="212"/>
    </row>
    <row r="206" spans="3:3" x14ac:dyDescent="0.2">
      <c r="C206" s="212"/>
    </row>
    <row r="207" spans="3:3" x14ac:dyDescent="0.2">
      <c r="C207" s="212"/>
    </row>
    <row r="208" spans="3:3" x14ac:dyDescent="0.2">
      <c r="C208" s="212"/>
    </row>
    <row r="209" spans="3:3" x14ac:dyDescent="0.2">
      <c r="C209" s="212"/>
    </row>
    <row r="210" spans="3:3" x14ac:dyDescent="0.2">
      <c r="C210" s="212"/>
    </row>
    <row r="211" spans="3:3" x14ac:dyDescent="0.2">
      <c r="C211" s="212"/>
    </row>
    <row r="212" spans="3:3" x14ac:dyDescent="0.2">
      <c r="C212" s="212"/>
    </row>
    <row r="213" spans="3:3" x14ac:dyDescent="0.2">
      <c r="C213" s="212"/>
    </row>
    <row r="214" spans="3:3" x14ac:dyDescent="0.2">
      <c r="C214" s="212"/>
    </row>
    <row r="215" spans="3:3" x14ac:dyDescent="0.2">
      <c r="C215" s="212"/>
    </row>
  </sheetData>
  <phoneticPr fontId="0" type="noConversion"/>
  <hyperlinks>
    <hyperlink ref="A1" location="'Working Budget with funding det'!A1" display="Main " xr:uid="{00000000-0004-0000-0E00-000000000000}"/>
    <hyperlink ref="B1" location="'Table of Contents'!A1" display="TOC" xr:uid="{00000000-0004-0000-0E00-000001000000}"/>
  </hyperlinks>
  <pageMargins left="0.75" right="0.75" top="1" bottom="1" header="0.5" footer="0.5"/>
  <pageSetup scale="76" orientation="landscape" r:id="rId1"/>
  <headerFooter alignWithMargins="0">
    <oddFooter>&amp;L&amp;D     &amp;T&amp;C &amp;F&amp;R&amp;A</oddFooter>
  </headerFooter>
  <rowBreaks count="1" manualBreakCount="1">
    <brk id="34"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U164"/>
  <sheetViews>
    <sheetView topLeftCell="B1" zoomScaleNormal="100" workbookViewId="0">
      <pane ySplit="7" topLeftCell="A60" activePane="bottomLeft" state="frozen"/>
      <selection activeCell="P15" sqref="P15"/>
      <selection pane="bottomLeft" activeCell="B35" sqref="A35:XFD35"/>
    </sheetView>
  </sheetViews>
  <sheetFormatPr defaultRowHeight="12.75" x14ac:dyDescent="0.2"/>
  <cols>
    <col min="1" max="1" width="12.33203125" style="783" customWidth="1"/>
    <col min="2" max="2" width="36.6640625" customWidth="1"/>
    <col min="3" max="3" width="14.5" style="1" hidden="1" customWidth="1"/>
    <col min="4" max="12" width="14.5" style="106" hidden="1" customWidth="1"/>
    <col min="13" max="15" width="14.5" style="106" customWidth="1"/>
    <col min="16" max="16" width="14.5" customWidth="1"/>
    <col min="17" max="20" width="14.5" style="1" customWidth="1"/>
    <col min="21" max="21" width="14.5" customWidth="1"/>
    <col min="22" max="22" width="12" bestFit="1" customWidth="1"/>
  </cols>
  <sheetData>
    <row r="1" spans="1:20" x14ac:dyDescent="0.2">
      <c r="A1" s="772" t="s">
        <v>847</v>
      </c>
      <c r="B1" s="308" t="s">
        <v>197</v>
      </c>
      <c r="D1" s="212"/>
      <c r="E1" s="212"/>
      <c r="F1" s="212"/>
      <c r="G1" s="212"/>
      <c r="H1" s="212"/>
      <c r="I1" s="212"/>
      <c r="J1" s="212"/>
      <c r="K1" s="212"/>
      <c r="L1" s="212"/>
      <c r="M1" s="212"/>
      <c r="N1" s="212"/>
      <c r="O1" s="212"/>
      <c r="T1" s="120"/>
    </row>
    <row r="2" spans="1:20" ht="15" x14ac:dyDescent="0.25">
      <c r="A2" s="773" t="s">
        <v>815</v>
      </c>
      <c r="B2" s="43"/>
      <c r="D2" s="212"/>
      <c r="E2" s="126"/>
      <c r="F2" s="212"/>
      <c r="G2" s="212"/>
      <c r="H2" s="212"/>
      <c r="I2" s="126" t="s">
        <v>816</v>
      </c>
      <c r="J2" s="126"/>
      <c r="K2" s="126"/>
      <c r="L2" s="126"/>
      <c r="M2" s="126"/>
      <c r="N2" s="126"/>
      <c r="O2" s="126"/>
      <c r="P2" s="58" t="s">
        <v>624</v>
      </c>
      <c r="S2" s="44" t="s">
        <v>938</v>
      </c>
    </row>
    <row r="3" spans="1:20" ht="13.5" thickBot="1" x14ac:dyDescent="0.25">
      <c r="A3" s="774"/>
      <c r="B3" s="4"/>
      <c r="C3" s="23"/>
      <c r="D3" s="23"/>
      <c r="E3" s="23"/>
      <c r="F3" s="23"/>
      <c r="G3" s="23"/>
      <c r="H3" s="23"/>
      <c r="I3" s="23"/>
      <c r="J3" s="23"/>
      <c r="K3" s="23"/>
      <c r="L3" s="23"/>
      <c r="M3" s="23"/>
      <c r="N3" s="23"/>
      <c r="O3" s="23"/>
      <c r="P3" s="4"/>
      <c r="Q3" s="23"/>
      <c r="R3" s="23"/>
      <c r="S3" s="4"/>
      <c r="T3" s="4"/>
    </row>
    <row r="4" spans="1:20"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0" ht="12.75" customHeight="1"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0" ht="12.75" customHeight="1" x14ac:dyDescent="0.2">
      <c r="A6" s="776"/>
      <c r="B6" s="202"/>
      <c r="C6" s="113"/>
      <c r="D6" s="113"/>
      <c r="E6" s="113"/>
      <c r="F6" s="113"/>
      <c r="G6" s="113"/>
      <c r="H6" s="113"/>
      <c r="I6" s="83"/>
      <c r="J6" s="83"/>
      <c r="K6" s="83"/>
      <c r="L6" s="83"/>
      <c r="M6" s="83"/>
      <c r="N6" s="83"/>
      <c r="O6" s="83"/>
      <c r="P6" s="113"/>
      <c r="Q6" s="83" t="s">
        <v>823</v>
      </c>
      <c r="R6" s="83" t="s">
        <v>585</v>
      </c>
      <c r="S6" s="45" t="s">
        <v>824</v>
      </c>
    </row>
    <row r="7" spans="1:20"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0" ht="13.5" thickTop="1" x14ac:dyDescent="0.2">
      <c r="A8" s="796">
        <v>5111</v>
      </c>
      <c r="B8" s="203" t="s">
        <v>849</v>
      </c>
      <c r="C8" s="118">
        <v>105657.64</v>
      </c>
      <c r="D8" s="18">
        <v>117593.25</v>
      </c>
      <c r="E8" s="18">
        <v>109813.74</v>
      </c>
      <c r="F8" s="18">
        <v>119779.13</v>
      </c>
      <c r="G8" s="18">
        <v>130150.2</v>
      </c>
      <c r="H8" s="18">
        <v>135093.79999999999</v>
      </c>
      <c r="I8" s="18">
        <v>140705.20000000001</v>
      </c>
      <c r="J8" s="18">
        <v>145876.41</v>
      </c>
      <c r="K8" s="19">
        <v>150622</v>
      </c>
      <c r="L8" s="18">
        <v>127173.93</v>
      </c>
      <c r="M8" s="19">
        <v>117035</v>
      </c>
      <c r="N8" s="18">
        <v>102814.06</v>
      </c>
      <c r="O8" s="19">
        <f>3362+111921</f>
        <v>115283</v>
      </c>
      <c r="P8" s="18">
        <v>55422.239999999998</v>
      </c>
      <c r="Q8" s="19">
        <f>ROUND((+P51),0)+1</f>
        <v>119096</v>
      </c>
      <c r="R8" s="19"/>
      <c r="S8" s="123"/>
    </row>
    <row r="9" spans="1:20" x14ac:dyDescent="0.2">
      <c r="A9" s="779">
        <v>5115</v>
      </c>
      <c r="B9" s="60" t="s">
        <v>939</v>
      </c>
      <c r="C9" s="118">
        <v>1000</v>
      </c>
      <c r="D9" s="18">
        <v>1500</v>
      </c>
      <c r="E9" s="18">
        <v>1500</v>
      </c>
      <c r="F9" s="18">
        <v>1500</v>
      </c>
      <c r="G9" s="18">
        <v>1500</v>
      </c>
      <c r="H9" s="18">
        <v>1500</v>
      </c>
      <c r="I9" s="18">
        <v>1500</v>
      </c>
      <c r="J9" s="18">
        <v>1765</v>
      </c>
      <c r="K9" s="19">
        <v>1765</v>
      </c>
      <c r="L9" s="18">
        <v>1765</v>
      </c>
      <c r="M9" s="19">
        <v>1765</v>
      </c>
      <c r="N9" s="18">
        <v>1765</v>
      </c>
      <c r="O9" s="19">
        <v>1765</v>
      </c>
      <c r="P9" s="18">
        <v>882.5</v>
      </c>
      <c r="Q9" s="19">
        <v>1765</v>
      </c>
      <c r="R9" s="19"/>
      <c r="S9" s="14"/>
    </row>
    <row r="10" spans="1:20" x14ac:dyDescent="0.2">
      <c r="A10" s="779">
        <v>5115</v>
      </c>
      <c r="B10" s="60" t="s">
        <v>852</v>
      </c>
      <c r="C10" s="116">
        <v>1000</v>
      </c>
      <c r="D10" s="13">
        <v>1500</v>
      </c>
      <c r="E10" s="13">
        <v>1500</v>
      </c>
      <c r="F10" s="13">
        <v>1500</v>
      </c>
      <c r="G10" s="13">
        <v>1500</v>
      </c>
      <c r="H10" s="13">
        <v>1500</v>
      </c>
      <c r="I10" s="13">
        <v>1500</v>
      </c>
      <c r="J10" s="13">
        <v>1605</v>
      </c>
      <c r="K10" s="14">
        <v>1605</v>
      </c>
      <c r="L10" s="13">
        <v>1605</v>
      </c>
      <c r="M10" s="14">
        <v>1605</v>
      </c>
      <c r="N10" s="13">
        <v>1605</v>
      </c>
      <c r="O10" s="14">
        <v>1605</v>
      </c>
      <c r="P10" s="13">
        <v>802.5</v>
      </c>
      <c r="Q10" s="14">
        <v>1605</v>
      </c>
      <c r="R10" s="14"/>
      <c r="S10" s="14"/>
    </row>
    <row r="11" spans="1:20" x14ac:dyDescent="0.2">
      <c r="A11" s="779">
        <v>5115</v>
      </c>
      <c r="B11" s="60" t="s">
        <v>853</v>
      </c>
      <c r="C11" s="116">
        <v>1000</v>
      </c>
      <c r="D11" s="13">
        <v>1500</v>
      </c>
      <c r="E11" s="13">
        <v>1500</v>
      </c>
      <c r="F11" s="13">
        <f>1500-125</f>
        <v>1375</v>
      </c>
      <c r="G11" s="13">
        <v>1500</v>
      </c>
      <c r="H11" s="13">
        <v>1500</v>
      </c>
      <c r="I11" s="13">
        <v>1500</v>
      </c>
      <c r="J11" s="13">
        <v>1203.75</v>
      </c>
      <c r="K11" s="14">
        <v>1605</v>
      </c>
      <c r="L11" s="13">
        <v>1337.5</v>
      </c>
      <c r="M11" s="14">
        <v>1605</v>
      </c>
      <c r="N11" s="13">
        <v>1511.25</v>
      </c>
      <c r="O11" s="14">
        <v>1605</v>
      </c>
      <c r="P11" s="13">
        <v>634.21</v>
      </c>
      <c r="Q11" s="14">
        <v>1605</v>
      </c>
      <c r="R11" s="14"/>
      <c r="S11" s="14"/>
    </row>
    <row r="12" spans="1:20" x14ac:dyDescent="0.2">
      <c r="A12" s="779">
        <v>5124</v>
      </c>
      <c r="B12" s="60" t="s">
        <v>940</v>
      </c>
      <c r="C12" s="228">
        <v>3759.75</v>
      </c>
      <c r="D12" s="35"/>
      <c r="E12" s="35">
        <v>10668.63</v>
      </c>
      <c r="F12" s="35">
        <v>6926.31</v>
      </c>
      <c r="G12" s="35"/>
      <c r="H12" s="35"/>
      <c r="I12" s="35"/>
      <c r="J12" s="35"/>
      <c r="K12" s="36"/>
      <c r="L12" s="35">
        <v>1443.96</v>
      </c>
      <c r="M12" s="36"/>
      <c r="N12" s="35"/>
      <c r="O12" s="36"/>
      <c r="P12" s="35"/>
      <c r="Q12" s="36"/>
      <c r="R12" s="36"/>
      <c r="S12" s="36"/>
    </row>
    <row r="13" spans="1:20" ht="13.5" thickBot="1" x14ac:dyDescent="0.25">
      <c r="A13" s="779">
        <v>5144</v>
      </c>
      <c r="B13" s="60" t="s">
        <v>27</v>
      </c>
      <c r="C13" s="228">
        <v>150</v>
      </c>
      <c r="D13" s="35"/>
      <c r="E13" s="35"/>
      <c r="F13" s="15">
        <v>150</v>
      </c>
      <c r="G13" s="15">
        <v>500</v>
      </c>
      <c r="H13" s="15">
        <v>800</v>
      </c>
      <c r="I13" s="13">
        <v>800</v>
      </c>
      <c r="J13" s="13">
        <v>800</v>
      </c>
      <c r="K13" s="14">
        <v>1400</v>
      </c>
      <c r="L13" s="13">
        <v>1100</v>
      </c>
      <c r="M13" s="14">
        <v>1100</v>
      </c>
      <c r="N13" s="13">
        <v>300</v>
      </c>
      <c r="O13" s="14">
        <v>300</v>
      </c>
      <c r="P13" s="13">
        <v>300</v>
      </c>
      <c r="Q13" s="14">
        <f>+T52</f>
        <v>300</v>
      </c>
      <c r="R13" s="14"/>
      <c r="S13" s="14"/>
    </row>
    <row r="14" spans="1:20" x14ac:dyDescent="0.2">
      <c r="A14" s="779">
        <v>5193</v>
      </c>
      <c r="B14" s="60" t="s">
        <v>941</v>
      </c>
      <c r="C14" s="228">
        <v>3000</v>
      </c>
      <c r="D14" s="35"/>
      <c r="E14" s="35"/>
      <c r="F14" s="28"/>
      <c r="G14" s="28"/>
      <c r="H14" s="28"/>
      <c r="I14" s="28"/>
      <c r="J14" s="28"/>
      <c r="K14" s="29"/>
      <c r="L14" s="28">
        <v>2066.4899999999998</v>
      </c>
      <c r="M14" s="29"/>
      <c r="N14" s="28"/>
      <c r="O14" s="29"/>
      <c r="P14" s="28"/>
      <c r="Q14" s="29"/>
      <c r="R14" s="29"/>
      <c r="S14" s="29"/>
    </row>
    <row r="15" spans="1:20" ht="13.5" thickBot="1" x14ac:dyDescent="0.25">
      <c r="A15" s="779">
        <v>5194</v>
      </c>
      <c r="B15" s="60" t="s">
        <v>942</v>
      </c>
      <c r="C15" s="117">
        <v>2500</v>
      </c>
      <c r="D15" s="15"/>
      <c r="E15" s="15"/>
      <c r="F15" s="15"/>
      <c r="G15" s="15"/>
      <c r="H15" s="15"/>
      <c r="I15" s="15"/>
      <c r="J15" s="15"/>
      <c r="K15" s="16"/>
      <c r="L15" s="15">
        <v>2282.5</v>
      </c>
      <c r="M15" s="16"/>
      <c r="N15" s="15"/>
      <c r="O15" s="16"/>
      <c r="P15" s="15"/>
      <c r="Q15" s="16"/>
      <c r="R15" s="16"/>
      <c r="S15" s="16"/>
    </row>
    <row r="16" spans="1:20" x14ac:dyDescent="0.2">
      <c r="A16" s="779"/>
      <c r="B16" s="61" t="s">
        <v>828</v>
      </c>
      <c r="C16" s="118">
        <f t="shared" ref="C16:H16" si="0">SUM(C8:C15)</f>
        <v>118067.39</v>
      </c>
      <c r="D16" s="18">
        <f t="shared" si="0"/>
        <v>122093.25</v>
      </c>
      <c r="E16" s="18">
        <f t="shared" si="0"/>
        <v>124982.37000000001</v>
      </c>
      <c r="F16" s="18">
        <f t="shared" si="0"/>
        <v>131230.44</v>
      </c>
      <c r="G16" s="18">
        <f t="shared" si="0"/>
        <v>135150.20000000001</v>
      </c>
      <c r="H16" s="18">
        <f t="shared" si="0"/>
        <v>140393.79999999999</v>
      </c>
      <c r="I16" s="18">
        <f>SUM(I8:I13)</f>
        <v>146005.20000000001</v>
      </c>
      <c r="J16" s="18">
        <f>SUM(J8:J13)</f>
        <v>151250.16</v>
      </c>
      <c r="K16" s="19">
        <f>SUM(K8:K13)</f>
        <v>156997</v>
      </c>
      <c r="L16" s="18">
        <f>SUM(L8:L15)</f>
        <v>138774.37999999998</v>
      </c>
      <c r="M16" s="19">
        <f t="shared" ref="M16" si="1">SUM(M8:M13)</f>
        <v>123110</v>
      </c>
      <c r="N16" s="18">
        <f>SUM(N8:N15)</f>
        <v>107995.31</v>
      </c>
      <c r="O16" s="19">
        <f t="shared" ref="O16" si="2">SUM(O8:O13)</f>
        <v>120558</v>
      </c>
      <c r="P16" s="18">
        <f>SUM(P8:P15)</f>
        <v>58041.45</v>
      </c>
      <c r="Q16" s="19">
        <f>SUM(Q8:Q13)</f>
        <v>124371</v>
      </c>
      <c r="R16" s="19"/>
      <c r="S16" s="19"/>
    </row>
    <row r="17" spans="1:19" x14ac:dyDescent="0.2">
      <c r="A17" s="779"/>
      <c r="B17" s="60"/>
      <c r="C17" s="116"/>
      <c r="D17" s="13"/>
      <c r="E17" s="13"/>
      <c r="F17" s="13"/>
      <c r="G17" s="13"/>
      <c r="H17" s="13"/>
      <c r="I17" s="13"/>
      <c r="J17" s="13"/>
      <c r="K17" s="14"/>
      <c r="L17" s="13"/>
      <c r="M17" s="14"/>
      <c r="N17" s="13"/>
      <c r="O17" s="14"/>
      <c r="P17" s="13"/>
      <c r="Q17" s="14"/>
      <c r="R17" s="14"/>
      <c r="S17" s="14"/>
    </row>
    <row r="18" spans="1:19" x14ac:dyDescent="0.2">
      <c r="A18" s="779">
        <v>5248</v>
      </c>
      <c r="B18" s="60" t="s">
        <v>905</v>
      </c>
      <c r="C18" s="116"/>
      <c r="D18" s="13">
        <v>180.98</v>
      </c>
      <c r="E18" s="13">
        <v>152.24</v>
      </c>
      <c r="F18" s="13">
        <v>300</v>
      </c>
      <c r="G18" s="13"/>
      <c r="H18" s="13"/>
      <c r="I18" s="128">
        <v>0</v>
      </c>
      <c r="J18" s="128"/>
      <c r="K18" s="14">
        <v>600</v>
      </c>
      <c r="L18" s="128">
        <v>1734.75</v>
      </c>
      <c r="M18" s="14">
        <v>500</v>
      </c>
      <c r="N18" s="128"/>
      <c r="O18" s="14">
        <v>800</v>
      </c>
      <c r="P18" s="13"/>
      <c r="Q18" s="14">
        <v>1000</v>
      </c>
      <c r="R18" s="14"/>
      <c r="S18" s="14"/>
    </row>
    <row r="19" spans="1:19" x14ac:dyDescent="0.2">
      <c r="A19" s="779">
        <v>5302</v>
      </c>
      <c r="B19" s="12" t="s">
        <v>94</v>
      </c>
      <c r="C19" s="13">
        <v>391</v>
      </c>
      <c r="D19" s="13">
        <v>1202.5</v>
      </c>
      <c r="E19" s="13">
        <v>630</v>
      </c>
      <c r="F19" s="13"/>
      <c r="G19" s="13">
        <v>5159.54</v>
      </c>
      <c r="H19" s="13">
        <v>9350.2000000000007</v>
      </c>
      <c r="I19" s="128">
        <v>130</v>
      </c>
      <c r="J19" s="128">
        <v>4457.2</v>
      </c>
      <c r="K19" s="14">
        <v>10500</v>
      </c>
      <c r="L19" s="128">
        <v>2130</v>
      </c>
      <c r="M19" s="14">
        <v>10500</v>
      </c>
      <c r="N19" s="128">
        <v>6191.59</v>
      </c>
      <c r="O19" s="14">
        <v>10500</v>
      </c>
      <c r="P19" s="13">
        <v>3612</v>
      </c>
      <c r="Q19" s="14">
        <v>10500</v>
      </c>
      <c r="R19" s="14"/>
      <c r="S19" s="14"/>
    </row>
    <row r="20" spans="1:19" x14ac:dyDescent="0.2">
      <c r="A20" s="779">
        <v>5305</v>
      </c>
      <c r="B20" s="12" t="s">
        <v>895</v>
      </c>
      <c r="C20" s="13"/>
      <c r="D20" s="13">
        <v>0</v>
      </c>
      <c r="E20" s="13">
        <v>178.01</v>
      </c>
      <c r="F20" s="13">
        <v>354.12</v>
      </c>
      <c r="G20" s="13">
        <v>211.78</v>
      </c>
      <c r="H20" s="13">
        <v>200.08</v>
      </c>
      <c r="I20" s="128">
        <v>181.46</v>
      </c>
      <c r="J20" s="128">
        <v>221.2</v>
      </c>
      <c r="K20" s="14">
        <v>350</v>
      </c>
      <c r="L20" s="128">
        <v>118.01</v>
      </c>
      <c r="M20" s="14">
        <v>300</v>
      </c>
      <c r="N20" s="128"/>
      <c r="O20" s="14">
        <v>300</v>
      </c>
      <c r="P20" s="13"/>
      <c r="Q20" s="14">
        <v>300</v>
      </c>
      <c r="R20" s="14"/>
      <c r="S20" s="14"/>
    </row>
    <row r="21" spans="1:19" x14ac:dyDescent="0.2">
      <c r="A21" s="779">
        <v>5306</v>
      </c>
      <c r="B21" s="12" t="s">
        <v>943</v>
      </c>
      <c r="C21" s="13">
        <f>2000+4725</f>
        <v>6725</v>
      </c>
      <c r="D21" s="13">
        <f>2000+4955</f>
        <v>6955</v>
      </c>
      <c r="E21" s="13">
        <f>2000+4955</f>
        <v>6955</v>
      </c>
      <c r="F21" s="13">
        <v>4955</v>
      </c>
      <c r="G21" s="13">
        <v>7200</v>
      </c>
      <c r="H21" s="13">
        <v>7460</v>
      </c>
      <c r="I21" s="128">
        <v>7760</v>
      </c>
      <c r="J21" s="128">
        <v>8060</v>
      </c>
      <c r="K21" s="14">
        <v>8050</v>
      </c>
      <c r="L21" s="128">
        <v>8360</v>
      </c>
      <c r="M21" s="14">
        <v>8600</v>
      </c>
      <c r="N21" s="128">
        <v>9260</v>
      </c>
      <c r="O21" s="14">
        <v>9160</v>
      </c>
      <c r="P21" s="13">
        <v>8660</v>
      </c>
      <c r="Q21" s="14">
        <v>9500</v>
      </c>
      <c r="R21" s="14"/>
      <c r="S21" s="14"/>
    </row>
    <row r="22" spans="1:19" x14ac:dyDescent="0.2">
      <c r="A22" s="779">
        <v>5307</v>
      </c>
      <c r="B22" s="12" t="s">
        <v>944</v>
      </c>
      <c r="C22" s="13"/>
      <c r="D22" s="13"/>
      <c r="E22" s="13"/>
      <c r="F22" s="13">
        <v>1808</v>
      </c>
      <c r="G22" s="13">
        <v>1808</v>
      </c>
      <c r="H22" s="13">
        <v>1808</v>
      </c>
      <c r="I22" s="128">
        <v>1888</v>
      </c>
      <c r="J22" s="128">
        <v>600</v>
      </c>
      <c r="K22" s="14">
        <v>1900</v>
      </c>
      <c r="L22" s="128">
        <v>600</v>
      </c>
      <c r="M22" s="14">
        <v>1900</v>
      </c>
      <c r="N22" s="128"/>
      <c r="O22" s="14">
        <v>1900</v>
      </c>
      <c r="P22" s="13">
        <v>600</v>
      </c>
      <c r="Q22" s="14">
        <v>600</v>
      </c>
      <c r="R22" s="14"/>
      <c r="S22" s="14"/>
    </row>
    <row r="23" spans="1:19" x14ac:dyDescent="0.2">
      <c r="A23" s="779">
        <v>5308</v>
      </c>
      <c r="B23" s="12" t="s">
        <v>945</v>
      </c>
      <c r="C23" s="13">
        <f>2000+4900</f>
        <v>6900</v>
      </c>
      <c r="D23" s="13">
        <v>6900</v>
      </c>
      <c r="E23" s="13">
        <v>6900</v>
      </c>
      <c r="F23" s="13">
        <f>4900+2000</f>
        <v>6900</v>
      </c>
      <c r="G23" s="13">
        <v>6090</v>
      </c>
      <c r="H23" s="13">
        <v>4900</v>
      </c>
      <c r="I23" s="128">
        <v>4900</v>
      </c>
      <c r="J23" s="128">
        <v>4960.93</v>
      </c>
      <c r="K23" s="14">
        <v>5500</v>
      </c>
      <c r="L23" s="128">
        <v>5245</v>
      </c>
      <c r="M23" s="14">
        <v>5800</v>
      </c>
      <c r="N23" s="128">
        <v>5745</v>
      </c>
      <c r="O23" s="14">
        <v>5800</v>
      </c>
      <c r="P23" s="13">
        <v>9783.6</v>
      </c>
      <c r="Q23" s="14">
        <v>6000</v>
      </c>
      <c r="R23" s="14"/>
      <c r="S23" s="14"/>
    </row>
    <row r="24" spans="1:19" x14ac:dyDescent="0.2">
      <c r="A24" s="779">
        <v>5311</v>
      </c>
      <c r="B24" s="12" t="s">
        <v>946</v>
      </c>
      <c r="C24" s="13">
        <v>86</v>
      </c>
      <c r="D24" s="13">
        <v>94</v>
      </c>
      <c r="E24" s="13">
        <v>17</v>
      </c>
      <c r="F24" s="13">
        <v>9</v>
      </c>
      <c r="G24" s="13">
        <v>83</v>
      </c>
      <c r="H24" s="13">
        <v>14</v>
      </c>
      <c r="I24" s="128">
        <v>7</v>
      </c>
      <c r="J24" s="128">
        <v>19</v>
      </c>
      <c r="K24" s="14">
        <v>150</v>
      </c>
      <c r="L24" s="128">
        <v>10</v>
      </c>
      <c r="M24" s="14">
        <v>100</v>
      </c>
      <c r="N24" s="128">
        <v>13</v>
      </c>
      <c r="O24" s="14">
        <v>100</v>
      </c>
      <c r="P24" s="13"/>
      <c r="Q24" s="14">
        <v>50</v>
      </c>
      <c r="R24" s="14"/>
      <c r="S24" s="14"/>
    </row>
    <row r="25" spans="1:19" x14ac:dyDescent="0.2">
      <c r="A25" s="779">
        <v>5314</v>
      </c>
      <c r="B25" s="12" t="s">
        <v>860</v>
      </c>
      <c r="C25" s="13">
        <v>2071</v>
      </c>
      <c r="D25" s="13">
        <v>1328.75</v>
      </c>
      <c r="E25" s="13">
        <v>724.97</v>
      </c>
      <c r="F25" s="13">
        <v>754.1</v>
      </c>
      <c r="G25" s="13">
        <v>1927.05</v>
      </c>
      <c r="H25" s="13">
        <v>1198.5999999999999</v>
      </c>
      <c r="I25" s="128">
        <v>1610.75</v>
      </c>
      <c r="J25" s="128">
        <v>5707.25</v>
      </c>
      <c r="K25" s="14">
        <v>2200</v>
      </c>
      <c r="L25" s="128">
        <v>729</v>
      </c>
      <c r="M25" s="14">
        <v>2200</v>
      </c>
      <c r="N25" s="128">
        <v>795</v>
      </c>
      <c r="O25" s="14">
        <v>3500</v>
      </c>
      <c r="P25" s="13">
        <v>2509</v>
      </c>
      <c r="Q25" s="14">
        <v>3000</v>
      </c>
      <c r="R25" s="14"/>
      <c r="S25" s="14"/>
    </row>
    <row r="26" spans="1:19" x14ac:dyDescent="0.2">
      <c r="A26" s="779">
        <v>5315</v>
      </c>
      <c r="B26" s="12" t="s">
        <v>947</v>
      </c>
      <c r="C26" s="13">
        <v>2356.9</v>
      </c>
      <c r="D26" s="13"/>
      <c r="E26" s="13"/>
      <c r="F26" s="13"/>
      <c r="G26" s="13"/>
      <c r="H26" s="13"/>
      <c r="I26" s="128"/>
      <c r="J26" s="128"/>
      <c r="K26" s="14"/>
      <c r="L26" s="128">
        <v>900</v>
      </c>
      <c r="M26" s="14">
        <v>15776</v>
      </c>
      <c r="N26" s="128">
        <v>2000</v>
      </c>
      <c r="O26" s="14">
        <v>15800</v>
      </c>
      <c r="P26" s="13">
        <v>10000</v>
      </c>
      <c r="Q26" s="14">
        <v>15000</v>
      </c>
      <c r="R26" s="14"/>
      <c r="S26" s="14"/>
    </row>
    <row r="27" spans="1:19" hidden="1" x14ac:dyDescent="0.2">
      <c r="A27" s="779">
        <v>5341</v>
      </c>
      <c r="B27" s="12" t="s">
        <v>862</v>
      </c>
      <c r="C27" s="13">
        <v>537.27</v>
      </c>
      <c r="D27" s="13">
        <v>473.76</v>
      </c>
      <c r="E27" s="13">
        <v>473.24</v>
      </c>
      <c r="F27" s="13">
        <v>503.56</v>
      </c>
      <c r="G27" s="13">
        <v>569.35</v>
      </c>
      <c r="H27" s="13"/>
      <c r="I27" s="128"/>
      <c r="J27" s="128"/>
      <c r="K27" s="14"/>
      <c r="L27" s="128"/>
      <c r="M27" s="14"/>
      <c r="N27" s="128"/>
      <c r="O27" s="14"/>
      <c r="P27" s="13"/>
      <c r="Q27" s="14"/>
      <c r="R27" s="14"/>
      <c r="S27" s="14"/>
    </row>
    <row r="28" spans="1:19" x14ac:dyDescent="0.2">
      <c r="A28" s="779">
        <v>5316</v>
      </c>
      <c r="B28" s="12" t="s">
        <v>948</v>
      </c>
      <c r="C28" s="13"/>
      <c r="D28" s="13"/>
      <c r="E28" s="13"/>
      <c r="F28" s="13"/>
      <c r="G28" s="13"/>
      <c r="H28" s="13"/>
      <c r="I28" s="128"/>
      <c r="J28" s="128"/>
      <c r="K28" s="14"/>
      <c r="L28" s="128"/>
      <c r="M28" s="14"/>
      <c r="N28" s="128"/>
      <c r="O28" s="14">
        <v>11130</v>
      </c>
      <c r="P28" s="13">
        <v>11130</v>
      </c>
      <c r="Q28" s="14">
        <v>11130</v>
      </c>
      <c r="R28" s="14"/>
      <c r="S28" s="14"/>
    </row>
    <row r="29" spans="1:19" x14ac:dyDescent="0.2">
      <c r="A29" s="779">
        <v>5344</v>
      </c>
      <c r="B29" s="12" t="s">
        <v>832</v>
      </c>
      <c r="C29" s="13">
        <v>759.81</v>
      </c>
      <c r="D29" s="13">
        <v>509.12</v>
      </c>
      <c r="E29" s="13">
        <v>515.99</v>
      </c>
      <c r="F29" s="13">
        <v>760.05</v>
      </c>
      <c r="G29" s="13">
        <v>606.5</v>
      </c>
      <c r="H29" s="13">
        <v>958.18</v>
      </c>
      <c r="I29" s="128">
        <v>840.86</v>
      </c>
      <c r="J29" s="128">
        <v>846.45</v>
      </c>
      <c r="K29" s="14">
        <v>900</v>
      </c>
      <c r="L29" s="128">
        <v>828.98</v>
      </c>
      <c r="M29" s="14">
        <v>900</v>
      </c>
      <c r="N29" s="128">
        <v>779.97</v>
      </c>
      <c r="O29" s="14">
        <v>900</v>
      </c>
      <c r="P29" s="13">
        <v>230.81</v>
      </c>
      <c r="Q29" s="14">
        <v>900</v>
      </c>
      <c r="R29" s="14"/>
      <c r="S29" s="14"/>
    </row>
    <row r="30" spans="1:19" x14ac:dyDescent="0.2">
      <c r="A30" s="779">
        <v>5345</v>
      </c>
      <c r="B30" s="12" t="s">
        <v>863</v>
      </c>
      <c r="C30" s="18">
        <v>178.85</v>
      </c>
      <c r="D30" s="18"/>
      <c r="E30" s="18">
        <v>6257.19</v>
      </c>
      <c r="F30" s="18">
        <v>59.14</v>
      </c>
      <c r="G30" s="18">
        <v>109.09</v>
      </c>
      <c r="H30" s="18">
        <v>93.64</v>
      </c>
      <c r="I30" s="112">
        <v>231.47</v>
      </c>
      <c r="J30" s="112">
        <v>101.56</v>
      </c>
      <c r="K30" s="19">
        <v>150</v>
      </c>
      <c r="L30" s="112">
        <v>0</v>
      </c>
      <c r="M30" s="19">
        <v>400</v>
      </c>
      <c r="N30" s="112">
        <v>459</v>
      </c>
      <c r="O30" s="19">
        <v>400</v>
      </c>
      <c r="P30" s="18"/>
      <c r="Q30" s="19">
        <v>400</v>
      </c>
      <c r="R30" s="19"/>
      <c r="S30" s="19"/>
    </row>
    <row r="31" spans="1:19" x14ac:dyDescent="0.2">
      <c r="A31" s="779">
        <v>5350</v>
      </c>
      <c r="B31" s="12" t="s">
        <v>949</v>
      </c>
      <c r="C31" s="18"/>
      <c r="D31" s="18"/>
      <c r="E31" s="18"/>
      <c r="F31" s="18"/>
      <c r="G31" s="18"/>
      <c r="H31" s="18"/>
      <c r="I31" s="112"/>
      <c r="J31" s="112">
        <v>1500</v>
      </c>
      <c r="K31" s="19">
        <v>1500</v>
      </c>
      <c r="L31" s="112">
        <v>1500</v>
      </c>
      <c r="M31" s="19">
        <v>1500</v>
      </c>
      <c r="N31" s="112">
        <v>1500</v>
      </c>
      <c r="O31" s="19">
        <v>1500</v>
      </c>
      <c r="P31" s="18">
        <v>1500</v>
      </c>
      <c r="Q31" s="19">
        <v>1500</v>
      </c>
      <c r="R31" s="19"/>
      <c r="S31" s="19"/>
    </row>
    <row r="32" spans="1:19" x14ac:dyDescent="0.2">
      <c r="A32" s="779">
        <v>5380</v>
      </c>
      <c r="B32" s="12" t="s">
        <v>950</v>
      </c>
      <c r="C32" s="13"/>
      <c r="D32" s="13">
        <v>906.15</v>
      </c>
      <c r="E32" s="13">
        <v>1125.5</v>
      </c>
      <c r="F32" s="13">
        <v>2127.7199999999998</v>
      </c>
      <c r="G32" s="13">
        <v>349.2</v>
      </c>
      <c r="H32" s="13">
        <v>278.37</v>
      </c>
      <c r="I32" s="128">
        <v>3875.16</v>
      </c>
      <c r="J32" s="128">
        <v>3525.78</v>
      </c>
      <c r="K32" s="14">
        <v>2800</v>
      </c>
      <c r="L32" s="128">
        <v>3279.33</v>
      </c>
      <c r="M32" s="14">
        <v>4500</v>
      </c>
      <c r="N32" s="128">
        <v>8140</v>
      </c>
      <c r="O32" s="14">
        <v>4500</v>
      </c>
      <c r="P32" s="13">
        <v>2800</v>
      </c>
      <c r="Q32" s="14">
        <v>3000</v>
      </c>
      <c r="R32" s="14"/>
      <c r="S32" s="14"/>
    </row>
    <row r="33" spans="1:21" x14ac:dyDescent="0.2">
      <c r="A33" s="779">
        <v>5420</v>
      </c>
      <c r="B33" s="12" t="s">
        <v>864</v>
      </c>
      <c r="C33" s="18">
        <v>1160.76</v>
      </c>
      <c r="D33" s="18">
        <v>1173.71</v>
      </c>
      <c r="E33" s="18">
        <v>1294.46</v>
      </c>
      <c r="F33" s="18">
        <v>2323.9499999999998</v>
      </c>
      <c r="G33" s="18">
        <v>1624.24</v>
      </c>
      <c r="H33" s="18">
        <v>1639.75</v>
      </c>
      <c r="I33" s="112">
        <v>1112.48</v>
      </c>
      <c r="J33" s="112">
        <v>1660.68</v>
      </c>
      <c r="K33" s="19">
        <v>1000</v>
      </c>
      <c r="L33" s="112">
        <v>3372.86</v>
      </c>
      <c r="M33" s="19">
        <v>1000</v>
      </c>
      <c r="N33" s="112">
        <v>2215.87</v>
      </c>
      <c r="O33" s="19">
        <v>1000</v>
      </c>
      <c r="P33" s="18">
        <v>491.18</v>
      </c>
      <c r="Q33" s="19">
        <v>1500</v>
      </c>
      <c r="R33" s="19"/>
      <c r="S33" s="19"/>
    </row>
    <row r="34" spans="1:21" x14ac:dyDescent="0.2">
      <c r="A34" s="779">
        <v>5581</v>
      </c>
      <c r="B34" s="12" t="s">
        <v>866</v>
      </c>
      <c r="C34" s="13">
        <v>591.6</v>
      </c>
      <c r="D34" s="13">
        <v>721</v>
      </c>
      <c r="E34" s="13">
        <v>771</v>
      </c>
      <c r="F34" s="13">
        <v>817</v>
      </c>
      <c r="G34" s="13">
        <v>846.4</v>
      </c>
      <c r="H34" s="13">
        <v>851.4</v>
      </c>
      <c r="I34" s="128">
        <v>232.8</v>
      </c>
      <c r="J34" s="128">
        <v>418.69</v>
      </c>
      <c r="K34" s="14">
        <v>500</v>
      </c>
      <c r="L34" s="128">
        <v>69.83</v>
      </c>
      <c r="M34" s="14">
        <v>250</v>
      </c>
      <c r="N34" s="128">
        <v>90</v>
      </c>
      <c r="O34" s="14">
        <v>150</v>
      </c>
      <c r="P34" s="13"/>
      <c r="Q34" s="14">
        <v>100</v>
      </c>
      <c r="R34" s="14"/>
      <c r="S34" s="14"/>
    </row>
    <row r="35" spans="1:21" x14ac:dyDescent="0.2">
      <c r="A35" s="779">
        <v>5710</v>
      </c>
      <c r="B35" s="12" t="s">
        <v>869</v>
      </c>
      <c r="C35" s="18">
        <v>1600.96</v>
      </c>
      <c r="D35" s="18">
        <v>2086.83</v>
      </c>
      <c r="E35" s="18">
        <v>455.03</v>
      </c>
      <c r="F35" s="18">
        <v>1983.21</v>
      </c>
      <c r="G35" s="18">
        <v>1308.01</v>
      </c>
      <c r="H35" s="18">
        <v>3384.6</v>
      </c>
      <c r="I35" s="112">
        <v>3463.65</v>
      </c>
      <c r="J35" s="112">
        <v>1094.54</v>
      </c>
      <c r="K35" s="19">
        <v>1900</v>
      </c>
      <c r="L35" s="112">
        <v>1141.5999999999999</v>
      </c>
      <c r="M35" s="19">
        <v>2000</v>
      </c>
      <c r="N35" s="112">
        <v>1840.24</v>
      </c>
      <c r="O35" s="19">
        <v>2200</v>
      </c>
      <c r="P35" s="18">
        <v>899.2</v>
      </c>
      <c r="Q35" s="19">
        <v>500</v>
      </c>
      <c r="R35" s="19"/>
      <c r="S35" s="19"/>
    </row>
    <row r="36" spans="1:21" ht="13.5" thickBot="1" x14ac:dyDescent="0.25">
      <c r="A36" s="779">
        <v>5730</v>
      </c>
      <c r="B36" s="12" t="s">
        <v>870</v>
      </c>
      <c r="C36" s="15">
        <v>225</v>
      </c>
      <c r="D36" s="15">
        <v>360</v>
      </c>
      <c r="E36" s="15">
        <v>325</v>
      </c>
      <c r="F36" s="15">
        <v>425</v>
      </c>
      <c r="G36" s="15">
        <v>360</v>
      </c>
      <c r="H36" s="15">
        <v>275</v>
      </c>
      <c r="I36" s="270">
        <v>460</v>
      </c>
      <c r="J36" s="270">
        <v>505</v>
      </c>
      <c r="K36" s="16">
        <v>425</v>
      </c>
      <c r="L36" s="270">
        <v>455.59</v>
      </c>
      <c r="M36" s="16">
        <v>425</v>
      </c>
      <c r="N36" s="270">
        <v>430</v>
      </c>
      <c r="O36" s="16">
        <v>425</v>
      </c>
      <c r="P36" s="15">
        <v>470</v>
      </c>
      <c r="Q36" s="16">
        <v>450</v>
      </c>
      <c r="R36" s="16"/>
      <c r="S36" s="16"/>
    </row>
    <row r="37" spans="1:21" x14ac:dyDescent="0.2">
      <c r="A37" s="779"/>
      <c r="B37" s="17" t="s">
        <v>838</v>
      </c>
      <c r="C37" s="18">
        <f t="shared" ref="C37:S37" si="3">SUM(C18:C36)</f>
        <v>23584.149999999998</v>
      </c>
      <c r="D37" s="18">
        <f t="shared" si="3"/>
        <v>22891.799999999996</v>
      </c>
      <c r="E37" s="18">
        <f t="shared" si="3"/>
        <v>26774.629999999997</v>
      </c>
      <c r="F37" s="18">
        <f t="shared" si="3"/>
        <v>24079.85</v>
      </c>
      <c r="G37" s="18">
        <f t="shared" si="3"/>
        <v>28252.16</v>
      </c>
      <c r="H37" s="18">
        <f t="shared" si="3"/>
        <v>32411.819999999996</v>
      </c>
      <c r="I37" s="18">
        <f t="shared" si="3"/>
        <v>26693.63</v>
      </c>
      <c r="J37" s="18">
        <f t="shared" si="3"/>
        <v>33678.28</v>
      </c>
      <c r="K37" s="19">
        <f t="shared" si="3"/>
        <v>38425</v>
      </c>
      <c r="L37" s="18">
        <f t="shared" ref="L37:O37" si="4">SUM(L18:L36)</f>
        <v>30474.95</v>
      </c>
      <c r="M37" s="19">
        <f t="shared" si="4"/>
        <v>56651</v>
      </c>
      <c r="N37" s="18">
        <f t="shared" ref="N37" si="5">SUM(N18:N36)</f>
        <v>39459.67</v>
      </c>
      <c r="O37" s="19">
        <f t="shared" si="4"/>
        <v>70065</v>
      </c>
      <c r="P37" s="18">
        <f t="shared" si="3"/>
        <v>52685.789999999994</v>
      </c>
      <c r="Q37" s="19">
        <f t="shared" si="3"/>
        <v>65430</v>
      </c>
      <c r="R37" s="19"/>
      <c r="S37" s="19">
        <f t="shared" si="3"/>
        <v>0</v>
      </c>
    </row>
    <row r="38" spans="1:21" x14ac:dyDescent="0.2">
      <c r="A38" s="779"/>
      <c r="B38" s="17"/>
      <c r="C38" s="18"/>
      <c r="D38" s="18"/>
      <c r="E38" s="18"/>
      <c r="F38" s="18"/>
      <c r="G38" s="18"/>
      <c r="H38" s="18"/>
      <c r="I38" s="18"/>
      <c r="J38" s="18"/>
      <c r="K38" s="19"/>
      <c r="L38" s="18"/>
      <c r="M38" s="19"/>
      <c r="N38" s="18"/>
      <c r="O38" s="19"/>
      <c r="P38" s="18"/>
      <c r="Q38" s="19"/>
      <c r="R38" s="19"/>
      <c r="S38" s="19"/>
    </row>
    <row r="39" spans="1:21" ht="13.5" hidden="1" thickBot="1" x14ac:dyDescent="0.25">
      <c r="A39" s="779">
        <v>5800</v>
      </c>
      <c r="B39" s="12" t="s">
        <v>951</v>
      </c>
      <c r="C39" s="15"/>
      <c r="D39" s="15"/>
      <c r="E39" s="15"/>
      <c r="F39" s="15">
        <v>3860</v>
      </c>
      <c r="G39" s="15"/>
      <c r="H39" s="15"/>
      <c r="I39" s="15"/>
      <c r="J39" s="15"/>
      <c r="K39" s="16"/>
      <c r="L39" s="15"/>
      <c r="M39" s="16"/>
      <c r="N39" s="15"/>
      <c r="O39" s="16"/>
      <c r="P39" s="15"/>
      <c r="Q39" s="16"/>
      <c r="R39" s="16"/>
      <c r="S39" s="16"/>
    </row>
    <row r="40" spans="1:21" hidden="1" x14ac:dyDescent="0.2">
      <c r="A40" s="779"/>
      <c r="B40" s="17" t="s">
        <v>952</v>
      </c>
      <c r="C40" s="19">
        <f t="shared" ref="C40:Q40" si="6">+C39</f>
        <v>0</v>
      </c>
      <c r="D40" s="19">
        <f t="shared" si="6"/>
        <v>0</v>
      </c>
      <c r="E40" s="19">
        <f t="shared" si="6"/>
        <v>0</v>
      </c>
      <c r="F40" s="18">
        <f>+F39</f>
        <v>3860</v>
      </c>
      <c r="G40" s="18">
        <f>+G39</f>
        <v>0</v>
      </c>
      <c r="H40" s="18">
        <f>+H39</f>
        <v>0</v>
      </c>
      <c r="I40" s="18">
        <f t="shared" si="6"/>
        <v>0</v>
      </c>
      <c r="J40" s="18">
        <f t="shared" ref="J40" si="7">+J39</f>
        <v>0</v>
      </c>
      <c r="K40" s="19">
        <f t="shared" ref="K40:O40" si="8">+K39</f>
        <v>0</v>
      </c>
      <c r="L40" s="18">
        <f t="shared" si="8"/>
        <v>0</v>
      </c>
      <c r="M40" s="19">
        <f t="shared" si="8"/>
        <v>0</v>
      </c>
      <c r="N40" s="18">
        <f t="shared" ref="N40" si="9">+N39</f>
        <v>0</v>
      </c>
      <c r="O40" s="19">
        <f t="shared" si="8"/>
        <v>0</v>
      </c>
      <c r="P40" s="19">
        <f t="shared" si="6"/>
        <v>0</v>
      </c>
      <c r="Q40" s="19">
        <f t="shared" si="6"/>
        <v>0</v>
      </c>
      <c r="R40" s="19"/>
      <c r="S40" s="19">
        <f>+S39</f>
        <v>0</v>
      </c>
    </row>
    <row r="41" spans="1:21" hidden="1" x14ac:dyDescent="0.2">
      <c r="A41" s="779"/>
      <c r="B41" s="12"/>
      <c r="C41" s="13"/>
      <c r="D41" s="13"/>
      <c r="E41" s="13"/>
      <c r="F41" s="13"/>
      <c r="G41" s="13"/>
      <c r="H41" s="13"/>
      <c r="I41" s="13"/>
      <c r="J41" s="13"/>
      <c r="K41" s="14"/>
      <c r="L41" s="13"/>
      <c r="M41" s="14"/>
      <c r="N41" s="13"/>
      <c r="O41" s="14"/>
      <c r="P41" s="13"/>
      <c r="Q41" s="14"/>
      <c r="R41" s="14"/>
      <c r="S41" s="14"/>
    </row>
    <row r="42" spans="1:21" ht="13.5" thickBot="1" x14ac:dyDescent="0.25">
      <c r="A42" s="780"/>
      <c r="B42" s="20" t="s">
        <v>953</v>
      </c>
      <c r="C42" s="21">
        <f>+C16+C37+C40</f>
        <v>141651.54</v>
      </c>
      <c r="D42" s="21">
        <f>+D16+D37+D40</f>
        <v>144985.04999999999</v>
      </c>
      <c r="E42" s="21">
        <f>+E16+E37+E40</f>
        <v>151757</v>
      </c>
      <c r="F42" s="21">
        <f>+F40+F37+F16</f>
        <v>159170.29</v>
      </c>
      <c r="G42" s="21">
        <f>+G40+G37+G16</f>
        <v>163402.36000000002</v>
      </c>
      <c r="H42" s="21">
        <f>+H40+H37+H16</f>
        <v>172805.62</v>
      </c>
      <c r="I42" s="21">
        <f>+I37+I16+I40</f>
        <v>172698.83000000002</v>
      </c>
      <c r="J42" s="21">
        <f>+J37+J16+J40</f>
        <v>184928.44</v>
      </c>
      <c r="K42" s="39">
        <f>+K37+K16+K40</f>
        <v>195422</v>
      </c>
      <c r="L42" s="21">
        <f t="shared" ref="L42:O42" si="10">+L37+L16+L40</f>
        <v>169249.33</v>
      </c>
      <c r="M42" s="39">
        <f t="shared" si="10"/>
        <v>179761</v>
      </c>
      <c r="N42" s="21">
        <f t="shared" ref="N42" si="11">+N37+N16+N40</f>
        <v>147454.97999999998</v>
      </c>
      <c r="O42" s="39">
        <f t="shared" si="10"/>
        <v>190623</v>
      </c>
      <c r="P42" s="21">
        <f>+P37+P16+P40</f>
        <v>110727.23999999999</v>
      </c>
      <c r="Q42" s="39">
        <f>+Q37+Q16+Q40</f>
        <v>189801</v>
      </c>
      <c r="R42" s="39">
        <f>+Q42</f>
        <v>189801</v>
      </c>
      <c r="S42" s="39">
        <f>+Q42</f>
        <v>189801</v>
      </c>
    </row>
    <row r="43" spans="1:21" ht="13.5" thickTop="1" x14ac:dyDescent="0.2">
      <c r="A43" s="774"/>
      <c r="B43" s="74"/>
      <c r="C43" s="24"/>
      <c r="D43" s="24"/>
      <c r="E43" s="24"/>
      <c r="F43" s="24"/>
      <c r="G43" s="24"/>
      <c r="H43" s="24"/>
      <c r="I43" s="24"/>
      <c r="J43" s="24"/>
      <c r="K43" s="206"/>
      <c r="L43" s="206"/>
      <c r="M43" s="206"/>
      <c r="N43" s="206"/>
      <c r="O43" s="206"/>
      <c r="P43" s="199" t="s">
        <v>843</v>
      </c>
      <c r="Q43" s="1116">
        <f>+Q42-O42</f>
        <v>-822</v>
      </c>
      <c r="R43" s="1117">
        <f>ROUND((+Q43/O42),4)</f>
        <v>-4.3E-3</v>
      </c>
      <c r="S43" s="206"/>
    </row>
    <row r="44" spans="1:21" x14ac:dyDescent="0.2">
      <c r="A44" s="774"/>
      <c r="B44" s="4"/>
      <c r="C44" s="23"/>
      <c r="D44" s="23"/>
      <c r="E44" s="23"/>
      <c r="F44" s="23"/>
      <c r="G44" s="23"/>
      <c r="H44" s="23"/>
      <c r="I44" s="23"/>
      <c r="J44" s="23"/>
      <c r="K44" s="23"/>
      <c r="L44" s="23"/>
      <c r="M44" s="23"/>
      <c r="N44" s="23"/>
      <c r="O44" s="23"/>
      <c r="P44" s="25"/>
      <c r="Q44" s="23"/>
      <c r="R44" s="23"/>
      <c r="S44" s="73"/>
      <c r="T44" s="23"/>
      <c r="U44" s="25"/>
    </row>
    <row r="45" spans="1:21" ht="13.5" thickBot="1" x14ac:dyDescent="0.25">
      <c r="A45" s="774" t="s">
        <v>911</v>
      </c>
      <c r="B45" s="4"/>
      <c r="D45" s="212"/>
      <c r="E45" s="212"/>
      <c r="F45" s="212"/>
      <c r="G45" s="212"/>
      <c r="H45" s="212"/>
      <c r="I45" s="212"/>
      <c r="J45" s="212"/>
      <c r="K45" s="212"/>
      <c r="L45" s="212"/>
      <c r="M45" s="212"/>
      <c r="N45" s="212"/>
      <c r="O45" s="212"/>
      <c r="Q45" s="97"/>
      <c r="R45" s="97"/>
    </row>
    <row r="46" spans="1:21" ht="13.5" thickTop="1" x14ac:dyDescent="0.2">
      <c r="A46" s="781" t="s">
        <v>872</v>
      </c>
      <c r="B46" s="99"/>
      <c r="D46" s="212"/>
      <c r="E46" s="212"/>
      <c r="F46" s="212"/>
      <c r="G46" s="212"/>
      <c r="H46" s="212"/>
      <c r="I46" s="212"/>
      <c r="J46" s="212"/>
      <c r="K46" s="212"/>
      <c r="L46" s="212"/>
      <c r="M46" s="131" t="s">
        <v>873</v>
      </c>
      <c r="N46" s="138" t="s">
        <v>874</v>
      </c>
      <c r="O46" s="150"/>
      <c r="P46" s="140" t="s">
        <v>875</v>
      </c>
      <c r="Q46"/>
      <c r="R46"/>
      <c r="S46" s="205" t="s">
        <v>876</v>
      </c>
      <c r="T46"/>
    </row>
    <row r="47" spans="1:21" ht="13.5" thickBot="1" x14ac:dyDescent="0.25">
      <c r="A47" s="782" t="s">
        <v>877</v>
      </c>
      <c r="B47" s="101" t="s">
        <v>878</v>
      </c>
      <c r="D47" s="212"/>
      <c r="E47" s="212"/>
      <c r="F47" s="212"/>
      <c r="G47" s="212"/>
      <c r="H47" s="212"/>
      <c r="I47" s="212"/>
      <c r="J47" s="212"/>
      <c r="K47" s="212"/>
      <c r="L47" s="212"/>
      <c r="M47" s="287">
        <v>45108</v>
      </c>
      <c r="N47" s="141" t="s">
        <v>879</v>
      </c>
      <c r="O47" s="142" t="s">
        <v>954</v>
      </c>
      <c r="P47" s="142" t="s">
        <v>881</v>
      </c>
      <c r="Q47" s="107" t="s">
        <v>882</v>
      </c>
      <c r="R47" s="107"/>
      <c r="S47" s="107" t="s">
        <v>571</v>
      </c>
      <c r="T47" s="107" t="s">
        <v>883</v>
      </c>
    </row>
    <row r="48" spans="1:21" ht="13.5" thickTop="1" x14ac:dyDescent="0.2">
      <c r="A48" s="133">
        <v>42233</v>
      </c>
      <c r="B48" s="102" t="s">
        <v>955</v>
      </c>
      <c r="D48" s="212"/>
      <c r="E48" s="212"/>
      <c r="F48" s="212"/>
      <c r="G48" s="212"/>
      <c r="H48" s="212"/>
      <c r="I48" s="212"/>
      <c r="J48" s="212"/>
      <c r="K48" s="212"/>
      <c r="L48" s="212"/>
      <c r="M48" s="19" t="s">
        <v>915</v>
      </c>
      <c r="N48" s="18"/>
      <c r="O48" s="18"/>
      <c r="P48" s="137">
        <f>+'NAGE &amp; Non-Union Wages'!L10</f>
        <v>80384</v>
      </c>
      <c r="Q48" s="153">
        <v>42233</v>
      </c>
      <c r="R48" s="153"/>
      <c r="S48" s="783">
        <v>8</v>
      </c>
      <c r="T48" s="1">
        <v>300</v>
      </c>
    </row>
    <row r="49" spans="1:21" x14ac:dyDescent="0.2">
      <c r="A49" s="134">
        <v>44466</v>
      </c>
      <c r="B49" s="60" t="s">
        <v>956</v>
      </c>
      <c r="D49" s="212"/>
      <c r="E49" s="212"/>
      <c r="F49" s="212"/>
      <c r="G49" s="212"/>
      <c r="H49" s="212"/>
      <c r="I49" s="212"/>
      <c r="J49" s="212"/>
      <c r="K49" s="212"/>
      <c r="L49" s="212"/>
      <c r="M49" s="14" t="s">
        <v>957</v>
      </c>
      <c r="N49" s="148">
        <f>+'NAGE &amp; Non-Union Wages'!G5</f>
        <v>21.27</v>
      </c>
      <c r="O49" s="18">
        <f>+'To Do and Changes'!E22</f>
        <v>1820</v>
      </c>
      <c r="P49" s="137">
        <f>ROUND((+N49*O49),2)</f>
        <v>38711.4</v>
      </c>
      <c r="Q49" s="153">
        <f>+A49</f>
        <v>44466</v>
      </c>
      <c r="R49" s="153"/>
      <c r="S49" s="783">
        <v>2</v>
      </c>
      <c r="T49" s="149">
        <v>0</v>
      </c>
    </row>
    <row r="50" spans="1:21" x14ac:dyDescent="0.2">
      <c r="A50" s="134"/>
      <c r="B50" s="60"/>
      <c r="D50" s="212"/>
      <c r="E50" s="212"/>
      <c r="F50" s="212"/>
      <c r="G50" s="212"/>
      <c r="H50" s="212"/>
      <c r="I50" s="212"/>
      <c r="J50" s="212"/>
      <c r="K50" s="212"/>
      <c r="L50" s="212"/>
      <c r="M50" s="13"/>
      <c r="N50" s="148"/>
      <c r="O50" s="18"/>
      <c r="P50" s="137"/>
      <c r="Q50" s="153"/>
      <c r="R50" s="153"/>
      <c r="S50"/>
      <c r="T50" s="149"/>
    </row>
    <row r="51" spans="1:21" x14ac:dyDescent="0.2">
      <c r="A51" s="70"/>
      <c r="B51" s="69"/>
      <c r="D51" s="212"/>
      <c r="E51" s="212"/>
      <c r="F51" s="212"/>
      <c r="G51" s="212"/>
      <c r="H51" s="212"/>
      <c r="I51" s="212"/>
      <c r="J51" s="212"/>
      <c r="K51" s="212"/>
      <c r="L51" s="212"/>
      <c r="M51" s="71"/>
      <c r="N51" s="69"/>
      <c r="O51" s="69"/>
      <c r="P51" s="148">
        <f>SUM(P48:P50)</f>
        <v>119095.4</v>
      </c>
      <c r="Q51"/>
      <c r="R51"/>
      <c r="S51"/>
      <c r="T51"/>
    </row>
    <row r="52" spans="1:21" x14ac:dyDescent="0.2">
      <c r="A52" s="774"/>
      <c r="B52" s="4"/>
      <c r="C52" s="23"/>
      <c r="D52" s="23"/>
      <c r="E52" s="23"/>
      <c r="F52" s="212"/>
      <c r="G52" s="212"/>
      <c r="H52" s="212"/>
      <c r="I52" s="23"/>
      <c r="J52" s="23"/>
      <c r="K52" s="23"/>
      <c r="L52" s="23"/>
      <c r="M52" s="23"/>
      <c r="N52" s="23"/>
      <c r="O52" s="23"/>
      <c r="P52" s="25"/>
      <c r="Q52"/>
      <c r="R52"/>
      <c r="S52" t="s">
        <v>193</v>
      </c>
      <c r="T52">
        <f>SUM(T48:T51)</f>
        <v>300</v>
      </c>
    </row>
    <row r="53" spans="1:21" x14ac:dyDescent="0.2">
      <c r="A53" s="774"/>
      <c r="B53" s="4"/>
      <c r="C53" s="97"/>
      <c r="D53" s="97"/>
      <c r="E53" s="97"/>
      <c r="F53" s="212"/>
      <c r="G53" s="212"/>
      <c r="H53" s="212"/>
      <c r="I53" s="97"/>
      <c r="J53" s="23"/>
      <c r="K53" s="23"/>
      <c r="L53" s="23"/>
      <c r="M53" s="23"/>
      <c r="N53" s="23"/>
      <c r="O53" s="23"/>
      <c r="P53" s="25"/>
      <c r="Q53" s="23"/>
      <c r="R53" s="23"/>
      <c r="S53" s="23"/>
      <c r="T53" s="23"/>
      <c r="U53" s="25"/>
    </row>
    <row r="54" spans="1:21" ht="15.75" thickBot="1" x14ac:dyDescent="0.3">
      <c r="A54" s="822"/>
      <c r="B54" s="4"/>
      <c r="C54" s="23"/>
      <c r="D54" s="23"/>
      <c r="E54" s="23"/>
      <c r="F54" s="212"/>
      <c r="G54" s="212"/>
      <c r="H54" s="212"/>
      <c r="I54" s="23"/>
      <c r="J54" s="23"/>
      <c r="K54" s="23"/>
      <c r="L54" s="23"/>
      <c r="M54" s="23"/>
      <c r="N54" s="23"/>
      <c r="O54" s="23"/>
      <c r="P54" s="25"/>
      <c r="Q54" s="23"/>
      <c r="R54" s="23"/>
      <c r="S54" s="23"/>
      <c r="T54" s="23"/>
      <c r="U54" s="25"/>
    </row>
    <row r="55" spans="1:21" ht="13.5" thickTop="1" x14ac:dyDescent="0.2">
      <c r="A55" s="789"/>
      <c r="B55" s="367"/>
      <c r="C55" s="368" t="s">
        <v>280</v>
      </c>
      <c r="D55" s="369" t="s">
        <v>280</v>
      </c>
      <c r="E55" s="369" t="s">
        <v>280</v>
      </c>
      <c r="F55" s="212"/>
      <c r="G55" s="212"/>
      <c r="H55" s="212"/>
      <c r="I55" s="212"/>
      <c r="J55" s="212"/>
      <c r="K55" s="212"/>
      <c r="L55" s="212"/>
      <c r="M55" s="370" t="s">
        <v>279</v>
      </c>
      <c r="N55" s="371" t="s">
        <v>826</v>
      </c>
      <c r="O55" s="372" t="s">
        <v>840</v>
      </c>
      <c r="P55" s="371" t="s">
        <v>841</v>
      </c>
      <c r="Q55" s="373"/>
      <c r="R55" s="569"/>
      <c r="S55" s="372"/>
      <c r="T55" s="23"/>
      <c r="U55" s="25"/>
    </row>
    <row r="56" spans="1:21" ht="13.5" thickBot="1" x14ac:dyDescent="0.25">
      <c r="A56" s="790" t="s">
        <v>825</v>
      </c>
      <c r="B56" s="374"/>
      <c r="C56" s="375" t="s">
        <v>267</v>
      </c>
      <c r="D56" s="375" t="s">
        <v>268</v>
      </c>
      <c r="E56" s="376" t="s">
        <v>269</v>
      </c>
      <c r="F56" s="212"/>
      <c r="G56" s="212"/>
      <c r="H56" s="212"/>
      <c r="I56" s="212"/>
      <c r="J56" s="212"/>
      <c r="K56" s="212"/>
      <c r="L56" s="212"/>
      <c r="M56" s="377" t="s">
        <v>277</v>
      </c>
      <c r="N56" s="377" t="s">
        <v>571</v>
      </c>
      <c r="O56" s="376" t="s">
        <v>843</v>
      </c>
      <c r="P56" s="378" t="s">
        <v>843</v>
      </c>
      <c r="Q56" s="379" t="s">
        <v>844</v>
      </c>
      <c r="R56" s="570"/>
      <c r="S56" s="377"/>
      <c r="T56" s="23"/>
      <c r="U56" s="25"/>
    </row>
    <row r="57" spans="1:21" ht="13.5" thickTop="1" x14ac:dyDescent="0.2">
      <c r="A57" s="797">
        <v>5111</v>
      </c>
      <c r="B57" s="394" t="s">
        <v>849</v>
      </c>
      <c r="C57" s="383">
        <v>105657.64</v>
      </c>
      <c r="D57" s="383">
        <v>117593.25</v>
      </c>
      <c r="E57" s="383">
        <v>109813.74</v>
      </c>
      <c r="F57" s="212"/>
      <c r="G57" s="212"/>
      <c r="H57" s="212"/>
      <c r="I57" s="212"/>
      <c r="J57" s="212"/>
      <c r="K57" s="212"/>
      <c r="L57" s="212"/>
      <c r="M57" s="384">
        <f t="shared" ref="M57:M62" si="12">+O8</f>
        <v>115283</v>
      </c>
      <c r="N57" s="410">
        <f t="shared" ref="N57:N62" si="13">+Q8</f>
        <v>119096</v>
      </c>
      <c r="O57" s="386">
        <f t="shared" ref="O57:O81" si="14">+N57-M57</f>
        <v>3813</v>
      </c>
      <c r="P57" s="392">
        <f t="shared" ref="P57:P81" si="15">IF(M57+N57&lt;&gt;0,IF(M57&lt;&gt;0,IF(O57&lt;&gt;0,ROUND((+O57/M57),4),""),1),"")</f>
        <v>3.3099999999999997E-2</v>
      </c>
      <c r="Q57" s="385"/>
      <c r="R57" s="572"/>
      <c r="S57" s="386"/>
      <c r="T57" s="23"/>
      <c r="U57" s="25"/>
    </row>
    <row r="58" spans="1:21" x14ac:dyDescent="0.2">
      <c r="A58" s="795">
        <v>5115</v>
      </c>
      <c r="B58" s="387" t="s">
        <v>939</v>
      </c>
      <c r="C58" s="383">
        <v>1000</v>
      </c>
      <c r="D58" s="383">
        <v>1500</v>
      </c>
      <c r="E58" s="383">
        <v>1500</v>
      </c>
      <c r="F58" s="212"/>
      <c r="G58" s="212"/>
      <c r="H58" s="212"/>
      <c r="I58" s="212"/>
      <c r="J58" s="212"/>
      <c r="K58" s="212"/>
      <c r="L58" s="212"/>
      <c r="M58" s="384">
        <f t="shared" si="12"/>
        <v>1765</v>
      </c>
      <c r="N58" s="410">
        <f t="shared" si="13"/>
        <v>1765</v>
      </c>
      <c r="O58" s="386">
        <f t="shared" si="14"/>
        <v>0</v>
      </c>
      <c r="P58" s="392" t="str">
        <f t="shared" si="15"/>
        <v/>
      </c>
      <c r="Q58" s="385"/>
      <c r="R58" s="572"/>
      <c r="S58" s="386"/>
      <c r="T58" s="23"/>
      <c r="U58" s="25"/>
    </row>
    <row r="59" spans="1:21" x14ac:dyDescent="0.2">
      <c r="A59" s="795">
        <v>5115</v>
      </c>
      <c r="B59" s="387" t="s">
        <v>852</v>
      </c>
      <c r="C59" s="391">
        <v>1000</v>
      </c>
      <c r="D59" s="391">
        <v>1500</v>
      </c>
      <c r="E59" s="391">
        <v>1500</v>
      </c>
      <c r="F59" s="212"/>
      <c r="G59" s="212"/>
      <c r="H59" s="212"/>
      <c r="I59" s="212"/>
      <c r="J59" s="212"/>
      <c r="K59" s="212"/>
      <c r="L59" s="212"/>
      <c r="M59" s="384">
        <f t="shared" si="12"/>
        <v>1605</v>
      </c>
      <c r="N59" s="410">
        <f t="shared" si="13"/>
        <v>1605</v>
      </c>
      <c r="O59" s="386">
        <f t="shared" si="14"/>
        <v>0</v>
      </c>
      <c r="P59" s="392" t="str">
        <f t="shared" si="15"/>
        <v/>
      </c>
      <c r="Q59" s="385"/>
      <c r="R59" s="572"/>
      <c r="S59" s="386"/>
      <c r="T59" s="23"/>
      <c r="U59" s="25"/>
    </row>
    <row r="60" spans="1:21" x14ac:dyDescent="0.2">
      <c r="A60" s="795">
        <v>5115</v>
      </c>
      <c r="B60" s="387" t="s">
        <v>853</v>
      </c>
      <c r="C60" s="391">
        <v>1000</v>
      </c>
      <c r="D60" s="391">
        <v>1500</v>
      </c>
      <c r="E60" s="391">
        <v>1500</v>
      </c>
      <c r="F60" s="212"/>
      <c r="G60" s="212"/>
      <c r="H60" s="212"/>
      <c r="I60" s="212"/>
      <c r="J60" s="212"/>
      <c r="K60" s="212"/>
      <c r="L60" s="212"/>
      <c r="M60" s="384">
        <f t="shared" si="12"/>
        <v>1605</v>
      </c>
      <c r="N60" s="410">
        <f t="shared" si="13"/>
        <v>1605</v>
      </c>
      <c r="O60" s="386">
        <f t="shared" si="14"/>
        <v>0</v>
      </c>
      <c r="P60" s="392" t="str">
        <f t="shared" si="15"/>
        <v/>
      </c>
      <c r="Q60" s="385"/>
      <c r="R60" s="572"/>
      <c r="S60" s="386"/>
      <c r="T60" s="23"/>
      <c r="U60" s="25"/>
    </row>
    <row r="61" spans="1:21" hidden="1" x14ac:dyDescent="0.2">
      <c r="A61" s="795">
        <v>5124</v>
      </c>
      <c r="B61" s="387" t="s">
        <v>940</v>
      </c>
      <c r="C61" s="393">
        <v>3759.75</v>
      </c>
      <c r="D61" s="393"/>
      <c r="E61" s="393">
        <v>10668.63</v>
      </c>
      <c r="F61" s="212"/>
      <c r="G61" s="212"/>
      <c r="H61" s="212"/>
      <c r="I61" s="212"/>
      <c r="J61" s="212"/>
      <c r="K61" s="212"/>
      <c r="L61" s="212"/>
      <c r="M61" s="384">
        <f t="shared" si="12"/>
        <v>0</v>
      </c>
      <c r="N61" s="410">
        <f t="shared" si="13"/>
        <v>0</v>
      </c>
      <c r="O61" s="386">
        <f t="shared" si="14"/>
        <v>0</v>
      </c>
      <c r="P61" s="392" t="str">
        <f t="shared" si="15"/>
        <v/>
      </c>
      <c r="Q61" s="385"/>
      <c r="R61" s="572"/>
      <c r="S61" s="386"/>
      <c r="T61" s="23"/>
      <c r="U61" s="25"/>
    </row>
    <row r="62" spans="1:21" x14ac:dyDescent="0.2">
      <c r="A62" s="795">
        <v>5144</v>
      </c>
      <c r="B62" s="387" t="s">
        <v>27</v>
      </c>
      <c r="C62" s="393">
        <v>150</v>
      </c>
      <c r="D62" s="393"/>
      <c r="E62" s="393"/>
      <c r="F62" s="212"/>
      <c r="G62" s="212"/>
      <c r="H62" s="212"/>
      <c r="I62" s="212"/>
      <c r="J62" s="212"/>
      <c r="K62" s="212"/>
      <c r="L62" s="212"/>
      <c r="M62" s="384">
        <f t="shared" si="12"/>
        <v>300</v>
      </c>
      <c r="N62" s="410">
        <f t="shared" si="13"/>
        <v>300</v>
      </c>
      <c r="O62" s="386">
        <f t="shared" si="14"/>
        <v>0</v>
      </c>
      <c r="P62" s="392" t="str">
        <f t="shared" si="15"/>
        <v/>
      </c>
      <c r="Q62" s="385"/>
      <c r="R62" s="572"/>
      <c r="S62" s="386"/>
      <c r="T62" s="23"/>
      <c r="U62" s="25"/>
    </row>
    <row r="63" spans="1:21" x14ac:dyDescent="0.2">
      <c r="A63" s="795">
        <v>5248</v>
      </c>
      <c r="B63" s="387" t="s">
        <v>905</v>
      </c>
      <c r="C63" s="391"/>
      <c r="D63" s="391">
        <v>180.98</v>
      </c>
      <c r="E63" s="391">
        <v>152.24</v>
      </c>
      <c r="F63" s="212"/>
      <c r="G63" s="212"/>
      <c r="H63" s="212"/>
      <c r="I63" s="212"/>
      <c r="J63" s="212"/>
      <c r="K63" s="212"/>
      <c r="L63" s="212"/>
      <c r="M63" s="390">
        <f t="shared" ref="M63:M81" si="16">+O18</f>
        <v>800</v>
      </c>
      <c r="N63" s="410">
        <f t="shared" ref="N63:N81" si="17">+Q18</f>
        <v>1000</v>
      </c>
      <c r="O63" s="386">
        <f t="shared" si="14"/>
        <v>200</v>
      </c>
      <c r="P63" s="392">
        <f t="shared" si="15"/>
        <v>0.25</v>
      </c>
      <c r="Q63" s="385" t="s">
        <v>2196</v>
      </c>
      <c r="R63" s="572"/>
      <c r="S63" s="386"/>
      <c r="T63" s="23"/>
      <c r="U63" s="4"/>
    </row>
    <row r="64" spans="1:21" x14ac:dyDescent="0.2">
      <c r="A64" s="795">
        <v>5302</v>
      </c>
      <c r="B64" s="387" t="s">
        <v>94</v>
      </c>
      <c r="C64" s="391">
        <v>391</v>
      </c>
      <c r="D64" s="391">
        <v>1202.5</v>
      </c>
      <c r="E64" s="391">
        <v>630</v>
      </c>
      <c r="F64" s="212"/>
      <c r="G64" s="212"/>
      <c r="H64" s="212"/>
      <c r="I64" s="212"/>
      <c r="J64" s="212"/>
      <c r="K64" s="212"/>
      <c r="L64" s="212"/>
      <c r="M64" s="390">
        <f t="shared" si="16"/>
        <v>10500</v>
      </c>
      <c r="N64" s="410">
        <f t="shared" si="17"/>
        <v>10500</v>
      </c>
      <c r="O64" s="386">
        <f t="shared" si="14"/>
        <v>0</v>
      </c>
      <c r="P64" s="392" t="str">
        <f t="shared" si="15"/>
        <v/>
      </c>
      <c r="Q64" s="385"/>
      <c r="R64" s="572"/>
      <c r="S64" s="386"/>
      <c r="T64" s="23"/>
      <c r="U64" s="4"/>
    </row>
    <row r="65" spans="1:21" x14ac:dyDescent="0.2">
      <c r="A65" s="795">
        <v>5305</v>
      </c>
      <c r="B65" s="387" t="s">
        <v>895</v>
      </c>
      <c r="C65" s="391"/>
      <c r="D65" s="391">
        <v>0</v>
      </c>
      <c r="E65" s="391">
        <v>178.01</v>
      </c>
      <c r="F65" s="212"/>
      <c r="G65" s="212"/>
      <c r="H65" s="212"/>
      <c r="I65" s="212"/>
      <c r="J65" s="212"/>
      <c r="K65" s="212"/>
      <c r="L65" s="212"/>
      <c r="M65" s="390">
        <f t="shared" si="16"/>
        <v>300</v>
      </c>
      <c r="N65" s="410">
        <f t="shared" si="17"/>
        <v>300</v>
      </c>
      <c r="O65" s="386">
        <f t="shared" si="14"/>
        <v>0</v>
      </c>
      <c r="P65" s="392" t="str">
        <f t="shared" si="15"/>
        <v/>
      </c>
      <c r="Q65" s="385"/>
      <c r="R65" s="572"/>
      <c r="S65" s="386"/>
      <c r="T65" s="23"/>
      <c r="U65" s="4"/>
    </row>
    <row r="66" spans="1:21" x14ac:dyDescent="0.2">
      <c r="A66" s="795">
        <v>5306</v>
      </c>
      <c r="B66" s="387" t="s">
        <v>943</v>
      </c>
      <c r="C66" s="391">
        <f>2000+4725</f>
        <v>6725</v>
      </c>
      <c r="D66" s="391">
        <f>2000+4955</f>
        <v>6955</v>
      </c>
      <c r="E66" s="391">
        <f>2000+4955</f>
        <v>6955</v>
      </c>
      <c r="F66" s="212"/>
      <c r="G66" s="212"/>
      <c r="H66" s="212"/>
      <c r="I66" s="212"/>
      <c r="J66" s="212"/>
      <c r="K66" s="212"/>
      <c r="L66" s="212"/>
      <c r="M66" s="390">
        <f t="shared" si="16"/>
        <v>9160</v>
      </c>
      <c r="N66" s="410">
        <f t="shared" si="17"/>
        <v>9500</v>
      </c>
      <c r="O66" s="386">
        <f t="shared" si="14"/>
        <v>340</v>
      </c>
      <c r="P66" s="392">
        <f t="shared" si="15"/>
        <v>3.7100000000000001E-2</v>
      </c>
      <c r="Q66" s="385" t="s">
        <v>2197</v>
      </c>
      <c r="R66" s="572"/>
      <c r="S66" s="386"/>
      <c r="T66" s="23"/>
      <c r="U66" s="4"/>
    </row>
    <row r="67" spans="1:21" x14ac:dyDescent="0.2">
      <c r="A67" s="795">
        <v>5307</v>
      </c>
      <c r="B67" s="387" t="s">
        <v>944</v>
      </c>
      <c r="C67" s="391"/>
      <c r="D67" s="391"/>
      <c r="E67" s="391"/>
      <c r="F67" s="212"/>
      <c r="G67" s="212"/>
      <c r="H67" s="212"/>
      <c r="I67" s="212"/>
      <c r="J67" s="212"/>
      <c r="K67" s="212"/>
      <c r="L67" s="212"/>
      <c r="M67" s="390">
        <f t="shared" si="16"/>
        <v>1900</v>
      </c>
      <c r="N67" s="410">
        <f t="shared" si="17"/>
        <v>600</v>
      </c>
      <c r="O67" s="386">
        <f t="shared" si="14"/>
        <v>-1300</v>
      </c>
      <c r="P67" s="392">
        <f t="shared" si="15"/>
        <v>-0.68420000000000003</v>
      </c>
      <c r="Q67" s="385" t="s">
        <v>2198</v>
      </c>
      <c r="R67" s="572"/>
      <c r="S67" s="386"/>
      <c r="T67" s="23"/>
      <c r="U67" s="4"/>
    </row>
    <row r="68" spans="1:21" x14ac:dyDescent="0.2">
      <c r="A68" s="795">
        <v>5308</v>
      </c>
      <c r="B68" s="387" t="s">
        <v>945</v>
      </c>
      <c r="C68" s="391">
        <f>2000+4900</f>
        <v>6900</v>
      </c>
      <c r="D68" s="391">
        <v>6900</v>
      </c>
      <c r="E68" s="391">
        <v>6900</v>
      </c>
      <c r="F68" s="212"/>
      <c r="G68" s="212"/>
      <c r="H68" s="212"/>
      <c r="I68" s="212"/>
      <c r="J68" s="212"/>
      <c r="K68" s="212"/>
      <c r="L68" s="212"/>
      <c r="M68" s="390">
        <f t="shared" si="16"/>
        <v>5800</v>
      </c>
      <c r="N68" s="410">
        <f t="shared" si="17"/>
        <v>6000</v>
      </c>
      <c r="O68" s="386">
        <f t="shared" si="14"/>
        <v>200</v>
      </c>
      <c r="P68" s="392">
        <f t="shared" si="15"/>
        <v>3.4500000000000003E-2</v>
      </c>
      <c r="Q68" s="385" t="s">
        <v>2197</v>
      </c>
      <c r="R68" s="572"/>
      <c r="S68" s="386"/>
      <c r="T68" s="23"/>
      <c r="U68" s="4"/>
    </row>
    <row r="69" spans="1:21" x14ac:dyDescent="0.2">
      <c r="A69" s="795">
        <v>5311</v>
      </c>
      <c r="B69" s="387" t="s">
        <v>946</v>
      </c>
      <c r="C69" s="391">
        <v>86</v>
      </c>
      <c r="D69" s="391">
        <v>94</v>
      </c>
      <c r="E69" s="391">
        <v>17</v>
      </c>
      <c r="F69" s="212"/>
      <c r="G69" s="212"/>
      <c r="H69" s="212"/>
      <c r="I69" s="212"/>
      <c r="J69" s="212"/>
      <c r="K69" s="212"/>
      <c r="L69" s="212"/>
      <c r="M69" s="390">
        <f t="shared" si="16"/>
        <v>100</v>
      </c>
      <c r="N69" s="410">
        <f t="shared" si="17"/>
        <v>50</v>
      </c>
      <c r="O69" s="386">
        <f t="shared" si="14"/>
        <v>-50</v>
      </c>
      <c r="P69" s="392">
        <f t="shared" si="15"/>
        <v>-0.5</v>
      </c>
      <c r="Q69" s="385" t="s">
        <v>2199</v>
      </c>
      <c r="R69" s="572"/>
      <c r="S69" s="386"/>
      <c r="T69" s="23"/>
      <c r="U69" s="4"/>
    </row>
    <row r="70" spans="1:21" x14ac:dyDescent="0.2">
      <c r="A70" s="795">
        <v>5314</v>
      </c>
      <c r="B70" s="387" t="s">
        <v>860</v>
      </c>
      <c r="C70" s="391">
        <v>2071</v>
      </c>
      <c r="D70" s="391">
        <v>1328.75</v>
      </c>
      <c r="E70" s="391">
        <v>724.97</v>
      </c>
      <c r="F70" s="212"/>
      <c r="G70" s="212"/>
      <c r="H70" s="212"/>
      <c r="I70" s="212"/>
      <c r="J70" s="212"/>
      <c r="K70" s="212"/>
      <c r="L70" s="212"/>
      <c r="M70" s="390">
        <f t="shared" si="16"/>
        <v>3500</v>
      </c>
      <c r="N70" s="410">
        <f t="shared" si="17"/>
        <v>3000</v>
      </c>
      <c r="O70" s="386">
        <f t="shared" si="14"/>
        <v>-500</v>
      </c>
      <c r="P70" s="392">
        <f t="shared" si="15"/>
        <v>-0.1429</v>
      </c>
      <c r="Q70" s="385"/>
      <c r="R70" s="572"/>
      <c r="S70" s="386"/>
      <c r="T70" s="23"/>
      <c r="U70" s="4"/>
    </row>
    <row r="71" spans="1:21" x14ac:dyDescent="0.2">
      <c r="A71" s="795">
        <v>5315</v>
      </c>
      <c r="B71" s="387" t="s">
        <v>947</v>
      </c>
      <c r="C71" s="391">
        <v>2356.9</v>
      </c>
      <c r="D71" s="391"/>
      <c r="E71" s="391"/>
      <c r="F71" s="212"/>
      <c r="G71" s="212"/>
      <c r="H71" s="212"/>
      <c r="I71" s="212"/>
      <c r="J71" s="212"/>
      <c r="K71" s="212"/>
      <c r="L71" s="212"/>
      <c r="M71" s="390">
        <f t="shared" si="16"/>
        <v>15800</v>
      </c>
      <c r="N71" s="410">
        <f t="shared" si="17"/>
        <v>15000</v>
      </c>
      <c r="O71" s="386">
        <f t="shared" si="14"/>
        <v>-800</v>
      </c>
      <c r="P71" s="392">
        <f t="shared" si="15"/>
        <v>-5.0599999999999999E-2</v>
      </c>
      <c r="Q71" s="385"/>
      <c r="R71" s="572"/>
      <c r="S71" s="386"/>
      <c r="T71" s="23"/>
      <c r="U71" s="4"/>
    </row>
    <row r="72" spans="1:21" hidden="1" x14ac:dyDescent="0.2">
      <c r="A72" s="795">
        <v>5341</v>
      </c>
      <c r="B72" s="387" t="s">
        <v>862</v>
      </c>
      <c r="C72" s="391">
        <v>537.27</v>
      </c>
      <c r="D72" s="391">
        <v>473.76</v>
      </c>
      <c r="E72" s="391">
        <v>473.24</v>
      </c>
      <c r="F72" s="212"/>
      <c r="G72" s="212"/>
      <c r="H72" s="212"/>
      <c r="I72" s="212"/>
      <c r="J72" s="212"/>
      <c r="K72" s="212"/>
      <c r="L72" s="212"/>
      <c r="M72" s="390">
        <f t="shared" si="16"/>
        <v>0</v>
      </c>
      <c r="N72" s="410">
        <f t="shared" si="17"/>
        <v>0</v>
      </c>
      <c r="O72" s="386">
        <f t="shared" si="14"/>
        <v>0</v>
      </c>
      <c r="P72" s="392" t="str">
        <f t="shared" si="15"/>
        <v/>
      </c>
      <c r="Q72" s="385"/>
      <c r="R72" s="572"/>
      <c r="S72" s="386"/>
      <c r="T72" s="23"/>
      <c r="U72" s="4"/>
    </row>
    <row r="73" spans="1:21" x14ac:dyDescent="0.2">
      <c r="A73" s="795">
        <v>5316</v>
      </c>
      <c r="B73" s="387" t="s">
        <v>958</v>
      </c>
      <c r="C73" s="391"/>
      <c r="D73" s="391"/>
      <c r="E73" s="391"/>
      <c r="F73" s="212"/>
      <c r="G73" s="212"/>
      <c r="H73" s="212"/>
      <c r="I73" s="212"/>
      <c r="J73" s="212"/>
      <c r="K73" s="212"/>
      <c r="L73" s="212"/>
      <c r="M73" s="390">
        <f t="shared" si="16"/>
        <v>11130</v>
      </c>
      <c r="N73" s="410">
        <f t="shared" si="17"/>
        <v>11130</v>
      </c>
      <c r="O73" s="386">
        <f t="shared" si="14"/>
        <v>0</v>
      </c>
      <c r="P73" s="392" t="str">
        <f t="shared" si="15"/>
        <v/>
      </c>
      <c r="Q73" s="385"/>
      <c r="R73" s="572"/>
      <c r="S73" s="386"/>
      <c r="T73" s="23"/>
      <c r="U73" s="4"/>
    </row>
    <row r="74" spans="1:21" x14ac:dyDescent="0.2">
      <c r="A74" s="795">
        <v>5344</v>
      </c>
      <c r="B74" s="387" t="s">
        <v>832</v>
      </c>
      <c r="C74" s="391">
        <v>759.81</v>
      </c>
      <c r="D74" s="391">
        <v>509.12</v>
      </c>
      <c r="E74" s="391">
        <v>515.99</v>
      </c>
      <c r="F74" s="212"/>
      <c r="G74" s="212"/>
      <c r="H74" s="212"/>
      <c r="I74" s="212"/>
      <c r="J74" s="212"/>
      <c r="K74" s="212"/>
      <c r="L74" s="212"/>
      <c r="M74" s="390">
        <f t="shared" si="16"/>
        <v>900</v>
      </c>
      <c r="N74" s="410">
        <f t="shared" si="17"/>
        <v>900</v>
      </c>
      <c r="O74" s="386">
        <f t="shared" si="14"/>
        <v>0</v>
      </c>
      <c r="P74" s="392" t="str">
        <f t="shared" si="15"/>
        <v/>
      </c>
      <c r="Q74" s="385"/>
      <c r="R74" s="572"/>
      <c r="S74" s="386"/>
      <c r="T74" s="23"/>
      <c r="U74" s="4"/>
    </row>
    <row r="75" spans="1:21" x14ac:dyDescent="0.2">
      <c r="A75" s="795">
        <v>5345</v>
      </c>
      <c r="B75" s="387" t="s">
        <v>863</v>
      </c>
      <c r="C75" s="383">
        <v>178.85</v>
      </c>
      <c r="D75" s="383"/>
      <c r="E75" s="383">
        <v>6257.19</v>
      </c>
      <c r="F75" s="212"/>
      <c r="G75" s="212"/>
      <c r="H75" s="212"/>
      <c r="I75" s="212"/>
      <c r="J75" s="212"/>
      <c r="K75" s="212"/>
      <c r="L75" s="212"/>
      <c r="M75" s="390">
        <f t="shared" si="16"/>
        <v>400</v>
      </c>
      <c r="N75" s="410">
        <f t="shared" si="17"/>
        <v>400</v>
      </c>
      <c r="O75" s="386">
        <f t="shared" si="14"/>
        <v>0</v>
      </c>
      <c r="P75" s="392" t="str">
        <f t="shared" si="15"/>
        <v/>
      </c>
      <c r="Q75" s="385"/>
      <c r="R75" s="572"/>
      <c r="S75" s="386"/>
      <c r="T75" s="23"/>
      <c r="U75" s="4"/>
    </row>
    <row r="76" spans="1:21" x14ac:dyDescent="0.2">
      <c r="A76" s="795">
        <v>5350</v>
      </c>
      <c r="B76" s="387" t="s">
        <v>959</v>
      </c>
      <c r="C76" s="383"/>
      <c r="D76" s="383"/>
      <c r="E76" s="383"/>
      <c r="F76" s="212"/>
      <c r="G76" s="212"/>
      <c r="H76" s="212"/>
      <c r="I76" s="212"/>
      <c r="J76" s="212"/>
      <c r="K76" s="212"/>
      <c r="L76" s="212"/>
      <c r="M76" s="390">
        <f t="shared" si="16"/>
        <v>1500</v>
      </c>
      <c r="N76" s="410">
        <f t="shared" si="17"/>
        <v>1500</v>
      </c>
      <c r="O76" s="386">
        <f t="shared" si="14"/>
        <v>0</v>
      </c>
      <c r="P76" s="392" t="str">
        <f t="shared" si="15"/>
        <v/>
      </c>
      <c r="Q76" s="385"/>
      <c r="R76" s="572"/>
      <c r="S76" s="386"/>
      <c r="T76" s="23"/>
      <c r="U76" s="4"/>
    </row>
    <row r="77" spans="1:21" x14ac:dyDescent="0.2">
      <c r="A77" s="795">
        <v>5380</v>
      </c>
      <c r="B77" s="387" t="s">
        <v>950</v>
      </c>
      <c r="C77" s="391"/>
      <c r="D77" s="391">
        <v>906.15</v>
      </c>
      <c r="E77" s="391">
        <v>1125.5</v>
      </c>
      <c r="F77" s="212"/>
      <c r="G77" s="212"/>
      <c r="H77" s="212"/>
      <c r="I77" s="212"/>
      <c r="J77" s="212"/>
      <c r="K77" s="212"/>
      <c r="L77" s="212"/>
      <c r="M77" s="390">
        <f t="shared" si="16"/>
        <v>4500</v>
      </c>
      <c r="N77" s="410">
        <f t="shared" si="17"/>
        <v>3000</v>
      </c>
      <c r="O77" s="386">
        <f t="shared" si="14"/>
        <v>-1500</v>
      </c>
      <c r="P77" s="392">
        <f t="shared" si="15"/>
        <v>-0.33329999999999999</v>
      </c>
      <c r="Q77" s="385"/>
      <c r="R77" s="572"/>
      <c r="S77" s="386"/>
      <c r="T77" s="23"/>
      <c r="U77" s="4"/>
    </row>
    <row r="78" spans="1:21" x14ac:dyDescent="0.2">
      <c r="A78" s="795">
        <v>5420</v>
      </c>
      <c r="B78" s="387" t="s">
        <v>864</v>
      </c>
      <c r="C78" s="383">
        <v>1160.76</v>
      </c>
      <c r="D78" s="383">
        <v>1173.71</v>
      </c>
      <c r="E78" s="383">
        <v>1294.46</v>
      </c>
      <c r="F78" s="212"/>
      <c r="G78" s="212"/>
      <c r="H78" s="212"/>
      <c r="I78" s="212"/>
      <c r="J78" s="212"/>
      <c r="K78" s="212"/>
      <c r="L78" s="212"/>
      <c r="M78" s="390">
        <f t="shared" si="16"/>
        <v>1000</v>
      </c>
      <c r="N78" s="410">
        <f t="shared" si="17"/>
        <v>1500</v>
      </c>
      <c r="O78" s="386">
        <f t="shared" si="14"/>
        <v>500</v>
      </c>
      <c r="P78" s="392">
        <f t="shared" si="15"/>
        <v>0.5</v>
      </c>
      <c r="Q78" s="385"/>
      <c r="R78" s="572"/>
      <c r="S78" s="386"/>
      <c r="T78" s="23"/>
      <c r="U78" s="4"/>
    </row>
    <row r="79" spans="1:21" x14ac:dyDescent="0.2">
      <c r="A79" s="795">
        <v>5581</v>
      </c>
      <c r="B79" s="387" t="s">
        <v>866</v>
      </c>
      <c r="C79" s="391">
        <v>591.6</v>
      </c>
      <c r="D79" s="391">
        <v>721</v>
      </c>
      <c r="E79" s="391">
        <v>771</v>
      </c>
      <c r="F79" s="212"/>
      <c r="G79" s="212"/>
      <c r="H79" s="212"/>
      <c r="I79" s="212"/>
      <c r="J79" s="212"/>
      <c r="K79" s="212"/>
      <c r="L79" s="212"/>
      <c r="M79" s="390">
        <f t="shared" si="16"/>
        <v>150</v>
      </c>
      <c r="N79" s="410">
        <f t="shared" si="17"/>
        <v>100</v>
      </c>
      <c r="O79" s="386">
        <f t="shared" si="14"/>
        <v>-50</v>
      </c>
      <c r="P79" s="392">
        <f t="shared" si="15"/>
        <v>-0.33329999999999999</v>
      </c>
      <c r="Q79" s="385"/>
      <c r="R79" s="572"/>
      <c r="S79" s="386"/>
      <c r="T79" s="23"/>
      <c r="U79" s="4"/>
    </row>
    <row r="80" spans="1:21" x14ac:dyDescent="0.2">
      <c r="A80" s="795">
        <v>5710</v>
      </c>
      <c r="B80" s="387" t="s">
        <v>869</v>
      </c>
      <c r="C80" s="383">
        <v>1600.96</v>
      </c>
      <c r="D80" s="383">
        <v>2086.83</v>
      </c>
      <c r="E80" s="383">
        <v>455.03</v>
      </c>
      <c r="F80" s="212"/>
      <c r="G80" s="212"/>
      <c r="H80" s="212"/>
      <c r="I80" s="212"/>
      <c r="J80" s="212"/>
      <c r="K80" s="212"/>
      <c r="L80" s="212"/>
      <c r="M80" s="390">
        <f t="shared" si="16"/>
        <v>2200</v>
      </c>
      <c r="N80" s="410">
        <f t="shared" si="17"/>
        <v>500</v>
      </c>
      <c r="O80" s="386">
        <f t="shared" si="14"/>
        <v>-1700</v>
      </c>
      <c r="P80" s="392">
        <f t="shared" si="15"/>
        <v>-0.77270000000000005</v>
      </c>
      <c r="Q80" s="385" t="s">
        <v>2200</v>
      </c>
      <c r="R80" s="572"/>
      <c r="S80" s="386"/>
      <c r="T80" s="23"/>
      <c r="U80" s="4"/>
    </row>
    <row r="81" spans="1:21" ht="13.5" thickBot="1" x14ac:dyDescent="0.25">
      <c r="A81" s="795">
        <v>5730</v>
      </c>
      <c r="B81" s="387" t="s">
        <v>870</v>
      </c>
      <c r="C81" s="389">
        <v>225</v>
      </c>
      <c r="D81" s="389">
        <v>360</v>
      </c>
      <c r="E81" s="389">
        <v>325</v>
      </c>
      <c r="F81" s="212"/>
      <c r="G81" s="212"/>
      <c r="H81" s="212"/>
      <c r="I81" s="212"/>
      <c r="J81" s="212"/>
      <c r="K81" s="212"/>
      <c r="L81" s="212"/>
      <c r="M81" s="390">
        <f t="shared" si="16"/>
        <v>425</v>
      </c>
      <c r="N81" s="410">
        <f t="shared" si="17"/>
        <v>450</v>
      </c>
      <c r="O81" s="386">
        <f t="shared" si="14"/>
        <v>25</v>
      </c>
      <c r="P81" s="392">
        <f t="shared" si="15"/>
        <v>5.8799999999999998E-2</v>
      </c>
      <c r="Q81" s="385"/>
      <c r="R81" s="572"/>
      <c r="S81" s="386"/>
      <c r="T81" s="23"/>
      <c r="U81" s="4"/>
    </row>
    <row r="82" spans="1:21" x14ac:dyDescent="0.2">
      <c r="A82" s="774"/>
      <c r="B82" s="4"/>
      <c r="C82" s="23"/>
      <c r="D82" s="23"/>
      <c r="E82" s="23"/>
      <c r="F82" s="23"/>
      <c r="G82" s="23"/>
      <c r="H82" s="212"/>
      <c r="I82" s="212"/>
      <c r="J82" s="212"/>
      <c r="K82" s="212"/>
      <c r="L82" s="212"/>
      <c r="M82" s="23"/>
      <c r="N82" s="23"/>
      <c r="O82" s="23"/>
      <c r="P82" s="4"/>
      <c r="Q82" s="23"/>
      <c r="R82" s="23"/>
      <c r="S82" s="23"/>
      <c r="T82" s="23"/>
      <c r="U82" s="4"/>
    </row>
    <row r="83" spans="1:21" x14ac:dyDescent="0.2">
      <c r="A83" s="774"/>
      <c r="B83" s="4" t="s">
        <v>846</v>
      </c>
      <c r="C83" s="23"/>
      <c r="D83" s="23"/>
      <c r="E83" s="23"/>
      <c r="F83" s="23"/>
      <c r="G83" s="23"/>
      <c r="H83" s="212"/>
      <c r="I83" s="212"/>
      <c r="J83" s="212"/>
      <c r="K83" s="212"/>
      <c r="L83" s="212"/>
      <c r="M83" s="616">
        <f>SUM(M57:M81)</f>
        <v>190623</v>
      </c>
      <c r="N83" s="616">
        <f>SUM(N57:N81)</f>
        <v>189801</v>
      </c>
      <c r="O83" s="25">
        <f>+N83-M83</f>
        <v>-822</v>
      </c>
      <c r="P83" s="617">
        <f>IF(M83+N83&lt;&gt;0,IF(M83&lt;&gt;0,IF(O83&lt;&gt;0,ROUND((+O83/M83),4),""),1),"")</f>
        <v>-4.3E-3</v>
      </c>
      <c r="Q83" s="23"/>
      <c r="R83" s="23"/>
      <c r="S83" s="23"/>
      <c r="T83" s="23"/>
      <c r="U83" s="4"/>
    </row>
    <row r="84" spans="1:21" x14ac:dyDescent="0.2">
      <c r="A84" s="774" t="s">
        <v>960</v>
      </c>
      <c r="B84" s="4"/>
      <c r="C84" s="23"/>
      <c r="D84" s="23"/>
      <c r="E84" s="23"/>
      <c r="F84" s="23"/>
      <c r="G84" s="23"/>
      <c r="H84" s="23"/>
      <c r="I84" s="23"/>
      <c r="J84" s="23"/>
      <c r="K84" s="23"/>
      <c r="L84" s="23"/>
      <c r="M84" s="23"/>
      <c r="N84" s="23"/>
      <c r="O84" s="23"/>
      <c r="P84" s="4"/>
      <c r="Q84" s="23"/>
      <c r="R84" s="23"/>
      <c r="S84" s="23"/>
      <c r="T84" s="23"/>
      <c r="U84" s="4"/>
    </row>
    <row r="85" spans="1:21" ht="15" x14ac:dyDescent="0.2">
      <c r="A85" s="823" t="s">
        <v>961</v>
      </c>
      <c r="B85" s="4"/>
      <c r="C85" s="23"/>
      <c r="D85" s="23"/>
      <c r="E85" s="23"/>
      <c r="F85" s="23"/>
      <c r="G85" s="23"/>
      <c r="H85" s="23"/>
      <c r="I85" s="23"/>
      <c r="J85" s="23"/>
      <c r="K85" s="23"/>
      <c r="L85" s="23"/>
      <c r="M85" s="23"/>
      <c r="N85" s="23"/>
      <c r="O85" s="23"/>
      <c r="P85" s="4"/>
      <c r="Q85" s="23"/>
      <c r="R85" s="23"/>
      <c r="S85" s="23"/>
      <c r="T85" s="23"/>
      <c r="U85" s="4"/>
    </row>
    <row r="86" spans="1:21" x14ac:dyDescent="0.2">
      <c r="A86" s="774">
        <v>1</v>
      </c>
      <c r="B86" s="4" t="s">
        <v>962</v>
      </c>
      <c r="C86" s="23"/>
      <c r="D86" s="23"/>
      <c r="E86" s="23"/>
      <c r="F86" s="23"/>
      <c r="G86" s="23"/>
      <c r="H86" s="23"/>
      <c r="I86" s="23"/>
      <c r="J86" s="23"/>
      <c r="K86" s="23"/>
      <c r="L86" s="23"/>
      <c r="M86" s="23"/>
      <c r="N86" s="23"/>
      <c r="O86" s="23"/>
      <c r="P86" s="4"/>
      <c r="Q86" s="23"/>
      <c r="R86" s="23"/>
      <c r="S86" s="23"/>
      <c r="T86" s="23"/>
      <c r="U86" s="4"/>
    </row>
    <row r="87" spans="1:21" x14ac:dyDescent="0.2">
      <c r="A87" s="774">
        <v>2</v>
      </c>
      <c r="B87" s="4" t="s">
        <v>963</v>
      </c>
      <c r="C87" s="23"/>
      <c r="D87" s="23"/>
      <c r="E87" s="23"/>
      <c r="F87" s="23"/>
      <c r="G87" s="23"/>
      <c r="H87" s="23"/>
      <c r="I87" s="23"/>
      <c r="J87" s="23"/>
      <c r="K87" s="23"/>
      <c r="L87" s="23"/>
      <c r="M87" s="23"/>
      <c r="N87" s="23"/>
      <c r="O87" s="23"/>
      <c r="P87" s="4"/>
      <c r="Q87" s="23"/>
      <c r="R87" s="23"/>
      <c r="S87" s="23"/>
      <c r="T87" s="23"/>
      <c r="U87" s="4"/>
    </row>
    <row r="88" spans="1:21" x14ac:dyDescent="0.2">
      <c r="A88" s="774"/>
      <c r="B88" s="4" t="s">
        <v>964</v>
      </c>
      <c r="C88" s="23"/>
      <c r="D88" s="23"/>
      <c r="E88" s="23"/>
      <c r="F88" s="23"/>
      <c r="G88" s="23"/>
      <c r="H88" s="23"/>
      <c r="I88" s="23"/>
      <c r="J88" s="23"/>
      <c r="K88" s="23"/>
      <c r="L88" s="23"/>
      <c r="M88" s="23"/>
      <c r="N88" s="23"/>
      <c r="O88" s="23"/>
      <c r="P88" s="4"/>
      <c r="Q88" s="23"/>
      <c r="R88" s="23"/>
      <c r="S88" s="23"/>
      <c r="T88" s="23"/>
      <c r="U88" s="4"/>
    </row>
    <row r="89" spans="1:21" x14ac:dyDescent="0.2">
      <c r="A89" s="774"/>
      <c r="B89" s="4" t="s">
        <v>965</v>
      </c>
      <c r="C89" s="23"/>
      <c r="D89" s="23"/>
      <c r="E89" s="23"/>
      <c r="F89" s="23"/>
      <c r="G89" s="23"/>
      <c r="H89" s="23"/>
      <c r="I89" s="23"/>
      <c r="J89" s="23"/>
      <c r="K89" s="23"/>
      <c r="L89" s="23"/>
      <c r="M89" s="23"/>
      <c r="N89" s="23"/>
      <c r="O89" s="23"/>
      <c r="P89" s="4"/>
      <c r="Q89" s="23"/>
      <c r="R89" s="23"/>
      <c r="S89" s="23"/>
      <c r="T89" s="23"/>
      <c r="U89" s="4"/>
    </row>
    <row r="90" spans="1:21" x14ac:dyDescent="0.2">
      <c r="A90" s="774">
        <v>3</v>
      </c>
      <c r="B90" s="4" t="s">
        <v>966</v>
      </c>
      <c r="C90" s="23"/>
      <c r="D90" s="23"/>
      <c r="E90" s="23"/>
      <c r="F90" s="23"/>
      <c r="G90" s="23"/>
      <c r="H90" s="23"/>
      <c r="I90" s="23"/>
      <c r="J90" s="23"/>
      <c r="K90" s="23"/>
      <c r="L90" s="23"/>
      <c r="M90" s="23"/>
      <c r="N90" s="23"/>
      <c r="O90" s="23"/>
      <c r="P90" s="4"/>
      <c r="Q90" s="23"/>
      <c r="R90" s="23"/>
      <c r="S90" s="23"/>
      <c r="T90" s="23"/>
      <c r="U90" s="4"/>
    </row>
    <row r="91" spans="1:21" x14ac:dyDescent="0.2">
      <c r="A91" s="774">
        <v>4</v>
      </c>
      <c r="B91" s="4" t="s">
        <v>967</v>
      </c>
      <c r="C91" s="23"/>
      <c r="D91" s="23"/>
      <c r="E91" s="23"/>
      <c r="F91" s="23"/>
      <c r="G91" s="23"/>
      <c r="H91" s="23"/>
      <c r="I91" s="23"/>
      <c r="J91" s="23"/>
      <c r="K91" s="23"/>
      <c r="L91" s="23"/>
      <c r="M91" s="23"/>
      <c r="N91" s="23"/>
      <c r="O91" s="23"/>
      <c r="P91" s="4"/>
      <c r="Q91" s="23"/>
      <c r="R91" s="23"/>
      <c r="S91" s="23"/>
      <c r="T91" s="23"/>
      <c r="U91" s="4"/>
    </row>
    <row r="92" spans="1:21" x14ac:dyDescent="0.2">
      <c r="A92" s="774">
        <v>5</v>
      </c>
      <c r="B92" s="4" t="s">
        <v>968</v>
      </c>
      <c r="C92" s="23"/>
      <c r="D92" s="23"/>
      <c r="E92" s="23"/>
      <c r="F92" s="23"/>
      <c r="G92" s="23"/>
      <c r="H92" s="23"/>
      <c r="I92" s="23"/>
      <c r="J92" s="23"/>
      <c r="K92" s="23"/>
      <c r="L92" s="23"/>
      <c r="M92" s="23"/>
      <c r="N92" s="23"/>
      <c r="O92" s="23"/>
      <c r="P92" s="4"/>
      <c r="Q92" s="23"/>
      <c r="R92" s="23"/>
      <c r="S92" s="23"/>
      <c r="T92" s="23"/>
      <c r="U92" s="4"/>
    </row>
    <row r="93" spans="1:21" x14ac:dyDescent="0.2">
      <c r="A93" s="774">
        <v>6</v>
      </c>
      <c r="B93" s="4" t="s">
        <v>969</v>
      </c>
      <c r="C93" s="23"/>
      <c r="D93" s="23"/>
      <c r="E93" s="23"/>
      <c r="F93" s="23"/>
      <c r="G93" s="23"/>
      <c r="H93" s="23"/>
      <c r="I93" s="23"/>
      <c r="J93" s="23"/>
      <c r="K93" s="23"/>
      <c r="L93" s="23"/>
      <c r="M93" s="23"/>
      <c r="N93" s="23"/>
      <c r="O93" s="23"/>
      <c r="P93" s="4"/>
      <c r="Q93" s="23"/>
      <c r="R93" s="23"/>
      <c r="S93" s="23"/>
      <c r="T93" s="23"/>
      <c r="U93" s="4"/>
    </row>
    <row r="94" spans="1:21" x14ac:dyDescent="0.2">
      <c r="A94" s="774">
        <v>7</v>
      </c>
      <c r="B94" s="4" t="s">
        <v>970</v>
      </c>
      <c r="C94" s="23"/>
      <c r="D94" s="23"/>
      <c r="E94" s="23"/>
      <c r="F94" s="23"/>
      <c r="G94" s="23"/>
      <c r="H94" s="23"/>
      <c r="I94" s="23"/>
      <c r="J94" s="23"/>
      <c r="K94" s="23"/>
      <c r="L94" s="23"/>
      <c r="M94" s="23"/>
      <c r="N94" s="23"/>
      <c r="O94" s="23"/>
      <c r="P94" s="4"/>
      <c r="Q94" s="23"/>
      <c r="R94" s="23"/>
      <c r="S94" s="23"/>
      <c r="T94" s="23"/>
      <c r="U94" s="4"/>
    </row>
    <row r="95" spans="1:21" x14ac:dyDescent="0.2">
      <c r="A95" s="774">
        <v>8</v>
      </c>
      <c r="B95" s="4" t="s">
        <v>971</v>
      </c>
      <c r="C95" s="23"/>
      <c r="D95" s="23"/>
      <c r="E95" s="23"/>
      <c r="F95" s="23"/>
      <c r="G95" s="23"/>
      <c r="H95" s="23"/>
      <c r="I95" s="23"/>
      <c r="J95" s="23"/>
      <c r="K95" s="23"/>
      <c r="L95" s="23"/>
      <c r="M95" s="23"/>
      <c r="N95" s="23"/>
      <c r="O95" s="23"/>
      <c r="P95" s="4"/>
      <c r="Q95" s="23"/>
      <c r="R95" s="23"/>
      <c r="S95" s="23"/>
      <c r="T95" s="23"/>
      <c r="U95" s="4"/>
    </row>
    <row r="96" spans="1:21" x14ac:dyDescent="0.2">
      <c r="A96" s="774">
        <v>9</v>
      </c>
      <c r="B96" s="4" t="s">
        <v>972</v>
      </c>
      <c r="C96" s="23"/>
      <c r="D96" s="23"/>
      <c r="E96" s="23"/>
      <c r="F96" s="23"/>
      <c r="G96" s="23"/>
      <c r="H96" s="23"/>
      <c r="I96" s="23"/>
      <c r="J96" s="23"/>
      <c r="K96" s="23"/>
      <c r="L96" s="23"/>
      <c r="M96" s="23"/>
      <c r="N96" s="23"/>
      <c r="O96" s="23"/>
      <c r="P96" s="4"/>
      <c r="Q96" s="23"/>
      <c r="R96" s="23"/>
      <c r="S96" s="23"/>
      <c r="T96" s="23"/>
      <c r="U96" s="4"/>
    </row>
    <row r="97" spans="1:21" x14ac:dyDescent="0.2">
      <c r="A97" s="774">
        <v>10</v>
      </c>
      <c r="B97" s="4" t="s">
        <v>973</v>
      </c>
      <c r="C97" s="23"/>
      <c r="D97" s="23"/>
      <c r="E97" s="23"/>
      <c r="F97" s="23"/>
      <c r="G97" s="23"/>
      <c r="H97" s="23"/>
      <c r="I97" s="23"/>
      <c r="J97" s="23"/>
      <c r="K97" s="23"/>
      <c r="L97" s="23"/>
      <c r="M97" s="23"/>
      <c r="N97" s="23"/>
      <c r="O97" s="23"/>
      <c r="P97" s="4"/>
      <c r="Q97" s="23"/>
      <c r="R97" s="23"/>
      <c r="S97" s="23"/>
      <c r="T97" s="23"/>
      <c r="U97" s="4"/>
    </row>
    <row r="98" spans="1:21" x14ac:dyDescent="0.2">
      <c r="A98" s="774">
        <v>11</v>
      </c>
      <c r="B98" s="4" t="s">
        <v>974</v>
      </c>
      <c r="C98" s="23"/>
      <c r="D98" s="23"/>
      <c r="E98" s="23"/>
      <c r="F98" s="23"/>
      <c r="G98" s="23"/>
      <c r="H98" s="23"/>
      <c r="I98" s="23"/>
      <c r="J98" s="23"/>
      <c r="K98" s="23"/>
      <c r="L98" s="23"/>
      <c r="M98" s="23"/>
      <c r="N98" s="23"/>
      <c r="O98" s="23"/>
      <c r="P98" s="4"/>
      <c r="Q98" s="23"/>
      <c r="R98" s="23"/>
      <c r="S98" s="23"/>
      <c r="T98" s="23"/>
      <c r="U98" s="4"/>
    </row>
    <row r="99" spans="1:21" x14ac:dyDescent="0.2">
      <c r="A99" s="774">
        <v>12</v>
      </c>
      <c r="B99" s="4" t="s">
        <v>975</v>
      </c>
      <c r="C99" s="23"/>
      <c r="D99" s="23"/>
      <c r="E99" s="23"/>
      <c r="F99" s="23"/>
      <c r="G99" s="23"/>
      <c r="H99" s="23"/>
      <c r="I99" s="23"/>
      <c r="J99" s="23"/>
      <c r="K99" s="23"/>
      <c r="L99" s="23"/>
      <c r="M99" s="23"/>
      <c r="N99" s="23"/>
      <c r="O99" s="23"/>
      <c r="P99" s="4"/>
      <c r="Q99" s="23"/>
      <c r="R99" s="23"/>
      <c r="S99" s="23"/>
      <c r="T99" s="23"/>
      <c r="U99" s="4"/>
    </row>
    <row r="100" spans="1:21" x14ac:dyDescent="0.2">
      <c r="A100" s="774">
        <v>13</v>
      </c>
      <c r="B100" s="4" t="s">
        <v>976</v>
      </c>
      <c r="C100" s="23"/>
      <c r="D100" s="23"/>
      <c r="E100" s="23"/>
      <c r="F100" s="23"/>
      <c r="G100" s="23"/>
      <c r="H100" s="23"/>
      <c r="I100" s="23"/>
      <c r="J100" s="23"/>
      <c r="K100" s="23"/>
      <c r="L100" s="23"/>
      <c r="M100" s="23"/>
      <c r="N100" s="23"/>
      <c r="O100" s="23"/>
      <c r="P100" s="4"/>
      <c r="Q100" s="23"/>
      <c r="R100" s="23"/>
      <c r="S100" s="23"/>
      <c r="T100" s="23"/>
      <c r="U100" s="4"/>
    </row>
    <row r="101" spans="1:21" x14ac:dyDescent="0.2">
      <c r="A101" s="774">
        <v>14</v>
      </c>
      <c r="B101" s="4" t="s">
        <v>977</v>
      </c>
      <c r="C101" s="23"/>
      <c r="D101" s="23"/>
      <c r="E101" s="23"/>
      <c r="F101" s="23"/>
      <c r="G101" s="23"/>
      <c r="H101" s="23"/>
      <c r="I101" s="23"/>
      <c r="J101" s="23"/>
      <c r="K101" s="23"/>
      <c r="L101" s="23"/>
      <c r="M101" s="23"/>
      <c r="N101" s="23"/>
      <c r="O101" s="23"/>
      <c r="P101" s="4"/>
      <c r="Q101" s="23"/>
      <c r="R101" s="23"/>
      <c r="S101" s="23"/>
      <c r="T101" s="23"/>
      <c r="U101" s="4"/>
    </row>
    <row r="102" spans="1:21" x14ac:dyDescent="0.2">
      <c r="A102" s="774">
        <v>15</v>
      </c>
      <c r="B102" s="4" t="s">
        <v>978</v>
      </c>
      <c r="C102" s="23"/>
      <c r="D102" s="23"/>
      <c r="E102" s="23"/>
      <c r="F102" s="23"/>
      <c r="G102" s="23"/>
      <c r="H102" s="23"/>
      <c r="I102" s="23"/>
      <c r="J102" s="23"/>
      <c r="K102" s="23"/>
      <c r="L102" s="23"/>
      <c r="M102" s="23"/>
      <c r="N102" s="23"/>
      <c r="O102" s="23"/>
      <c r="P102" s="4"/>
      <c r="Q102" s="23"/>
      <c r="R102" s="23"/>
      <c r="S102" s="23"/>
      <c r="T102" s="23"/>
      <c r="U102" s="4"/>
    </row>
    <row r="103" spans="1:21" x14ac:dyDescent="0.2">
      <c r="A103" s="774"/>
      <c r="B103" s="4"/>
      <c r="C103" s="23"/>
      <c r="D103" s="23"/>
      <c r="E103" s="23"/>
      <c r="F103" s="23"/>
      <c r="G103" s="23"/>
      <c r="H103" s="23"/>
      <c r="I103" s="23"/>
      <c r="J103" s="23"/>
      <c r="K103" s="23"/>
      <c r="L103" s="23"/>
      <c r="M103" s="23"/>
      <c r="N103" s="23"/>
      <c r="O103" s="23"/>
      <c r="P103" s="4"/>
      <c r="Q103" s="23"/>
      <c r="R103" s="23"/>
      <c r="S103" s="23"/>
      <c r="T103" s="23"/>
      <c r="U103" s="4"/>
    </row>
    <row r="104" spans="1:21" x14ac:dyDescent="0.2">
      <c r="A104" s="774"/>
      <c r="B104" s="4"/>
      <c r="C104" s="23"/>
      <c r="D104" s="23"/>
      <c r="E104" s="23"/>
      <c r="F104" s="23"/>
      <c r="G104" s="23"/>
      <c r="H104" s="23"/>
      <c r="I104" s="23"/>
      <c r="J104" s="23"/>
      <c r="K104" s="23"/>
      <c r="L104" s="23"/>
      <c r="M104" s="23"/>
      <c r="N104" s="23"/>
      <c r="O104" s="23"/>
      <c r="P104" s="4"/>
      <c r="Q104" s="23"/>
      <c r="R104" s="23"/>
      <c r="S104" s="23"/>
      <c r="T104" s="23"/>
      <c r="U104" s="4"/>
    </row>
    <row r="105" spans="1:21" x14ac:dyDescent="0.2">
      <c r="A105" s="774"/>
      <c r="B105" s="4"/>
      <c r="C105" s="23"/>
      <c r="D105" s="23"/>
      <c r="E105" s="23"/>
      <c r="F105" s="23"/>
      <c r="G105" s="23"/>
      <c r="H105" s="23"/>
      <c r="I105" s="23"/>
      <c r="J105" s="23"/>
      <c r="K105" s="23"/>
      <c r="L105" s="23"/>
      <c r="M105" s="23"/>
      <c r="N105" s="23"/>
      <c r="O105" s="23"/>
      <c r="P105" s="4"/>
      <c r="Q105" s="23"/>
      <c r="R105" s="23"/>
      <c r="S105" s="23"/>
      <c r="T105" s="23"/>
      <c r="U105" s="4"/>
    </row>
    <row r="106" spans="1:21" x14ac:dyDescent="0.2">
      <c r="A106" s="774"/>
      <c r="B106" s="4"/>
      <c r="C106" s="23"/>
      <c r="D106" s="23"/>
      <c r="E106" s="23"/>
      <c r="F106" s="23"/>
      <c r="G106" s="23"/>
      <c r="H106" s="23"/>
      <c r="I106" s="23"/>
      <c r="J106" s="23"/>
      <c r="K106" s="23"/>
      <c r="L106" s="23"/>
      <c r="M106" s="23"/>
      <c r="N106" s="23"/>
      <c r="O106" s="23"/>
      <c r="P106" s="4"/>
      <c r="Q106" s="23"/>
      <c r="R106" s="23"/>
      <c r="S106" s="23"/>
      <c r="T106" s="23"/>
      <c r="U106" s="4"/>
    </row>
    <row r="107" spans="1:21" x14ac:dyDescent="0.2">
      <c r="A107" s="774"/>
      <c r="B107" s="4"/>
      <c r="C107" s="23"/>
      <c r="D107" s="23"/>
      <c r="E107" s="23"/>
      <c r="F107" s="23"/>
      <c r="G107" s="23"/>
      <c r="H107" s="23"/>
      <c r="I107" s="23"/>
      <c r="J107" s="23"/>
      <c r="K107" s="23"/>
      <c r="L107" s="23"/>
      <c r="M107" s="23"/>
      <c r="N107" s="23"/>
      <c r="O107" s="23"/>
      <c r="P107" s="4"/>
      <c r="Q107" s="23"/>
      <c r="R107" s="23"/>
      <c r="S107" s="23"/>
      <c r="T107" s="23"/>
      <c r="U107" s="4"/>
    </row>
    <row r="108" spans="1:21" x14ac:dyDescent="0.2">
      <c r="A108" s="774"/>
      <c r="B108" s="4"/>
      <c r="C108" s="23"/>
      <c r="D108" s="23"/>
      <c r="E108" s="23"/>
      <c r="F108" s="23"/>
      <c r="G108" s="23"/>
      <c r="H108" s="23"/>
      <c r="I108" s="23"/>
      <c r="J108" s="23"/>
      <c r="K108" s="23"/>
      <c r="L108" s="23"/>
      <c r="M108" s="23"/>
      <c r="N108" s="23"/>
      <c r="O108" s="23"/>
      <c r="P108" s="4"/>
      <c r="Q108" s="23"/>
      <c r="R108" s="23"/>
      <c r="S108" s="23"/>
      <c r="T108" s="23"/>
      <c r="U108" s="4"/>
    </row>
    <row r="109" spans="1:21" x14ac:dyDescent="0.2">
      <c r="A109" s="774"/>
      <c r="B109" s="4"/>
      <c r="C109" s="23"/>
      <c r="D109" s="23"/>
      <c r="E109" s="23"/>
      <c r="F109" s="23"/>
      <c r="G109" s="23"/>
      <c r="H109" s="23"/>
      <c r="I109" s="23"/>
      <c r="J109" s="23"/>
      <c r="K109" s="23"/>
      <c r="L109" s="23"/>
      <c r="M109" s="23"/>
      <c r="N109" s="23"/>
      <c r="O109" s="23"/>
      <c r="P109" s="4"/>
      <c r="Q109" s="23"/>
      <c r="R109" s="23"/>
      <c r="S109" s="23"/>
      <c r="T109" s="23"/>
      <c r="U109" s="4"/>
    </row>
    <row r="110" spans="1:21" x14ac:dyDescent="0.2">
      <c r="A110" s="774"/>
      <c r="B110" s="4"/>
      <c r="C110" s="23"/>
      <c r="D110" s="23"/>
      <c r="E110" s="23"/>
      <c r="F110" s="23"/>
      <c r="G110" s="23"/>
      <c r="H110" s="23"/>
      <c r="I110" s="23"/>
      <c r="J110" s="23"/>
      <c r="K110" s="23"/>
      <c r="L110" s="23"/>
      <c r="M110" s="23"/>
      <c r="N110" s="23"/>
      <c r="O110" s="23"/>
      <c r="P110" s="4"/>
      <c r="Q110" s="23"/>
      <c r="R110" s="23"/>
      <c r="S110" s="23"/>
      <c r="T110" s="23"/>
      <c r="U110" s="4"/>
    </row>
    <row r="111" spans="1:21" x14ac:dyDescent="0.2">
      <c r="A111" s="774"/>
      <c r="B111" s="4"/>
      <c r="C111" s="23"/>
      <c r="D111" s="23"/>
      <c r="E111" s="23"/>
      <c r="F111" s="23"/>
      <c r="G111" s="23"/>
      <c r="H111" s="23"/>
      <c r="I111" s="23"/>
      <c r="J111" s="23"/>
      <c r="K111" s="23"/>
      <c r="L111" s="23"/>
      <c r="M111" s="23"/>
      <c r="N111" s="23"/>
      <c r="O111" s="23"/>
      <c r="P111" s="4"/>
      <c r="Q111" s="23"/>
      <c r="R111" s="23"/>
      <c r="S111" s="23"/>
      <c r="T111" s="23"/>
      <c r="U111" s="4"/>
    </row>
    <row r="112" spans="1:21" x14ac:dyDescent="0.2">
      <c r="A112" s="774"/>
      <c r="B112" s="4"/>
      <c r="C112" s="23"/>
      <c r="D112" s="23"/>
      <c r="E112" s="23"/>
      <c r="F112" s="23"/>
      <c r="G112" s="23"/>
      <c r="H112" s="23"/>
      <c r="I112" s="23"/>
      <c r="J112" s="23"/>
      <c r="K112" s="23"/>
      <c r="L112" s="23"/>
      <c r="M112" s="23"/>
      <c r="N112" s="23"/>
      <c r="O112" s="23"/>
      <c r="P112" s="4"/>
      <c r="Q112" s="23"/>
      <c r="R112" s="23"/>
      <c r="S112" s="23"/>
      <c r="T112" s="23"/>
      <c r="U112" s="4"/>
    </row>
    <row r="113" spans="3:3" x14ac:dyDescent="0.2">
      <c r="C113" s="212"/>
    </row>
    <row r="114" spans="3:3" x14ac:dyDescent="0.2">
      <c r="C114" s="212"/>
    </row>
    <row r="115" spans="3:3" x14ac:dyDescent="0.2">
      <c r="C115" s="212"/>
    </row>
    <row r="116" spans="3:3" x14ac:dyDescent="0.2">
      <c r="C116" s="212"/>
    </row>
    <row r="117" spans="3:3" x14ac:dyDescent="0.2">
      <c r="C117" s="212"/>
    </row>
    <row r="118" spans="3:3" x14ac:dyDescent="0.2">
      <c r="C118" s="212"/>
    </row>
    <row r="119" spans="3:3" x14ac:dyDescent="0.2">
      <c r="C119" s="212"/>
    </row>
    <row r="120" spans="3:3" x14ac:dyDescent="0.2">
      <c r="C120" s="212"/>
    </row>
    <row r="121" spans="3:3" x14ac:dyDescent="0.2">
      <c r="C121" s="212"/>
    </row>
    <row r="122" spans="3:3" x14ac:dyDescent="0.2">
      <c r="C122" s="212"/>
    </row>
    <row r="123" spans="3:3" x14ac:dyDescent="0.2">
      <c r="C123" s="212"/>
    </row>
    <row r="124" spans="3:3" x14ac:dyDescent="0.2">
      <c r="C124" s="212"/>
    </row>
    <row r="125" spans="3:3" x14ac:dyDescent="0.2">
      <c r="C125" s="212"/>
    </row>
    <row r="126" spans="3:3" x14ac:dyDescent="0.2">
      <c r="C126" s="212"/>
    </row>
    <row r="127" spans="3:3" x14ac:dyDescent="0.2">
      <c r="C127" s="212"/>
    </row>
    <row r="128" spans="3:3" x14ac:dyDescent="0.2">
      <c r="C128" s="212"/>
    </row>
    <row r="129" spans="3:3" x14ac:dyDescent="0.2">
      <c r="C129" s="212"/>
    </row>
    <row r="130" spans="3:3" x14ac:dyDescent="0.2">
      <c r="C130" s="212"/>
    </row>
    <row r="131" spans="3:3" x14ac:dyDescent="0.2">
      <c r="C131" s="212"/>
    </row>
    <row r="132" spans="3:3" x14ac:dyDescent="0.2">
      <c r="C132" s="212"/>
    </row>
    <row r="133" spans="3:3" x14ac:dyDescent="0.2">
      <c r="C133" s="212"/>
    </row>
    <row r="134" spans="3:3" x14ac:dyDescent="0.2">
      <c r="C134" s="212"/>
    </row>
    <row r="135" spans="3:3" x14ac:dyDescent="0.2">
      <c r="C135" s="212"/>
    </row>
    <row r="136" spans="3:3" x14ac:dyDescent="0.2">
      <c r="C136" s="212"/>
    </row>
    <row r="137" spans="3:3" x14ac:dyDescent="0.2">
      <c r="C137" s="212"/>
    </row>
    <row r="138" spans="3:3" x14ac:dyDescent="0.2">
      <c r="C138" s="212"/>
    </row>
    <row r="139" spans="3:3" x14ac:dyDescent="0.2">
      <c r="C139" s="212"/>
    </row>
    <row r="140" spans="3:3" x14ac:dyDescent="0.2">
      <c r="C140" s="212"/>
    </row>
    <row r="141" spans="3:3" x14ac:dyDescent="0.2">
      <c r="C141" s="212"/>
    </row>
    <row r="142" spans="3:3" x14ac:dyDescent="0.2">
      <c r="C142" s="212"/>
    </row>
    <row r="143" spans="3:3" x14ac:dyDescent="0.2">
      <c r="C143" s="212"/>
    </row>
    <row r="144" spans="3:3" x14ac:dyDescent="0.2">
      <c r="C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row r="160" spans="3:3" x14ac:dyDescent="0.2">
      <c r="C160" s="212"/>
    </row>
    <row r="161" spans="3:3" x14ac:dyDescent="0.2">
      <c r="C161" s="212"/>
    </row>
    <row r="162" spans="3:3" x14ac:dyDescent="0.2">
      <c r="C162" s="212"/>
    </row>
    <row r="163" spans="3:3" x14ac:dyDescent="0.2">
      <c r="C163" s="212"/>
    </row>
    <row r="164" spans="3:3" x14ac:dyDescent="0.2">
      <c r="C164" s="212"/>
    </row>
  </sheetData>
  <phoneticPr fontId="0" type="noConversion"/>
  <hyperlinks>
    <hyperlink ref="A1" location="'Working Budget with funding det'!A1" display="Main " xr:uid="{00000000-0004-0000-0F00-000000000000}"/>
    <hyperlink ref="B1" location="'Table of Contents'!A1" display="TOC" xr:uid="{00000000-0004-0000-0F00-000001000000}"/>
  </hyperlinks>
  <pageMargins left="0.75" right="0.75" top="1" bottom="1" header="0.5" footer="0.5"/>
  <pageSetup scale="90" fitToHeight="0" orientation="landscape" r:id="rId1"/>
  <headerFooter alignWithMargins="0">
    <oddFooter>&amp;L&amp;D     &amp;T&amp;C&amp;F&amp;R&amp;A  &amp;P</oddFooter>
  </headerFooter>
  <rowBreaks count="1" manualBreakCount="1">
    <brk id="42" max="1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X132"/>
  <sheetViews>
    <sheetView zoomScaleNormal="100" workbookViewId="0">
      <pane ySplit="7" topLeftCell="A8" activePane="bottomLeft" state="frozen"/>
      <selection activeCell="P15" sqref="P15"/>
      <selection pane="bottomLeft" activeCell="P15" sqref="P15"/>
    </sheetView>
  </sheetViews>
  <sheetFormatPr defaultRowHeight="12.75" x14ac:dyDescent="0.2"/>
  <cols>
    <col min="1" max="1" width="11.6640625" style="783" customWidth="1"/>
    <col min="2" max="2" width="36.6640625" customWidth="1"/>
    <col min="3" max="3" width="14.5" style="1" hidden="1" customWidth="1"/>
    <col min="4" max="12" width="14.5" style="106" hidden="1" customWidth="1"/>
    <col min="13" max="15" width="14.5" style="106" customWidth="1"/>
    <col min="16" max="16" width="14.5" customWidth="1"/>
    <col min="17" max="20" width="14.5" style="1" customWidth="1"/>
    <col min="21" max="21" width="15.1640625" customWidth="1"/>
    <col min="22" max="23" width="14.5" customWidth="1"/>
    <col min="24" max="24" width="14.6640625" style="2" customWidth="1"/>
    <col min="25" max="25" width="10.5" bestFit="1" customWidth="1"/>
  </cols>
  <sheetData>
    <row r="1" spans="1:23" x14ac:dyDescent="0.2">
      <c r="A1" s="772" t="s">
        <v>847</v>
      </c>
      <c r="B1" s="308" t="s">
        <v>197</v>
      </c>
      <c r="D1" s="212"/>
      <c r="E1" s="212"/>
      <c r="F1" s="212"/>
      <c r="G1" s="212"/>
      <c r="H1" s="212"/>
      <c r="I1" s="212"/>
      <c r="J1" s="212"/>
      <c r="K1" s="212"/>
      <c r="L1" s="212"/>
      <c r="M1" s="212"/>
      <c r="N1" s="212"/>
      <c r="O1" s="212"/>
      <c r="T1"/>
    </row>
    <row r="2" spans="1:23" ht="15" x14ac:dyDescent="0.25">
      <c r="A2" s="773" t="s">
        <v>815</v>
      </c>
      <c r="B2" s="43"/>
      <c r="D2" s="212"/>
      <c r="E2" s="126"/>
      <c r="F2" s="212"/>
      <c r="G2" s="212"/>
      <c r="H2" s="212"/>
      <c r="I2" s="126" t="s">
        <v>816</v>
      </c>
      <c r="J2" s="126"/>
      <c r="K2" s="126"/>
      <c r="L2" s="126"/>
      <c r="M2" s="126"/>
      <c r="N2" s="126"/>
      <c r="O2" s="126"/>
      <c r="P2" s="58" t="s">
        <v>979</v>
      </c>
      <c r="S2" s="44" t="s">
        <v>980</v>
      </c>
    </row>
    <row r="3" spans="1:23" ht="13.5" thickBot="1" x14ac:dyDescent="0.25">
      <c r="A3" s="774"/>
      <c r="B3" s="4"/>
      <c r="C3" s="23"/>
      <c r="D3" s="23"/>
      <c r="E3" s="23"/>
      <c r="F3" s="23"/>
      <c r="G3" s="23"/>
      <c r="H3" s="23"/>
      <c r="I3" s="23"/>
      <c r="J3" s="23"/>
      <c r="K3" s="23"/>
      <c r="L3" s="23"/>
      <c r="M3" s="23"/>
      <c r="N3" s="23"/>
      <c r="O3" s="23"/>
      <c r="P3" s="4"/>
      <c r="Q3" s="23"/>
      <c r="R3" s="23"/>
      <c r="S3" s="4"/>
      <c r="T3" s="4"/>
      <c r="W3" s="4"/>
    </row>
    <row r="4" spans="1:23"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3"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3" x14ac:dyDescent="0.2">
      <c r="A6" s="776"/>
      <c r="B6" s="202"/>
      <c r="C6" s="113"/>
      <c r="D6" s="113"/>
      <c r="E6" s="113"/>
      <c r="F6" s="82"/>
      <c r="G6" s="113"/>
      <c r="H6" s="113"/>
      <c r="I6" s="83"/>
      <c r="J6" s="83"/>
      <c r="K6" s="83"/>
      <c r="L6" s="83"/>
      <c r="M6" s="83"/>
      <c r="N6" s="83"/>
      <c r="O6" s="83"/>
      <c r="P6" s="113"/>
      <c r="Q6" s="83" t="s">
        <v>823</v>
      </c>
      <c r="R6" s="83" t="s">
        <v>585</v>
      </c>
      <c r="S6" s="45" t="s">
        <v>824</v>
      </c>
    </row>
    <row r="7" spans="1:23"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3" ht="13.5" thickTop="1" x14ac:dyDescent="0.2">
      <c r="A8" s="796"/>
      <c r="B8" s="203"/>
      <c r="C8" s="118"/>
      <c r="D8" s="18"/>
      <c r="E8" s="18"/>
      <c r="F8" s="18"/>
      <c r="G8" s="18"/>
      <c r="H8" s="18"/>
      <c r="I8" s="18"/>
      <c r="J8" s="18"/>
      <c r="K8" s="19"/>
      <c r="L8" s="19"/>
      <c r="M8" s="19"/>
      <c r="N8" s="19"/>
      <c r="O8" s="19"/>
      <c r="P8" s="18"/>
      <c r="Q8" s="19"/>
      <c r="R8" s="19"/>
      <c r="S8" s="19"/>
    </row>
    <row r="9" spans="1:23" x14ac:dyDescent="0.2">
      <c r="A9" s="779">
        <v>5111</v>
      </c>
      <c r="B9" s="60" t="s">
        <v>849</v>
      </c>
      <c r="C9" s="116">
        <v>131608</v>
      </c>
      <c r="D9" s="13">
        <v>136232.44</v>
      </c>
      <c r="E9" s="13">
        <v>139812.09</v>
      </c>
      <c r="F9" s="13">
        <v>143256.26999999999</v>
      </c>
      <c r="G9" s="13">
        <v>141646.53</v>
      </c>
      <c r="H9" s="13">
        <v>133779.4</v>
      </c>
      <c r="I9" s="13">
        <v>137937.79999999999</v>
      </c>
      <c r="J9" s="13">
        <v>144351.59</v>
      </c>
      <c r="K9" s="14">
        <v>153813</v>
      </c>
      <c r="L9" s="13">
        <v>148846.21</v>
      </c>
      <c r="M9" s="14">
        <v>153735</v>
      </c>
      <c r="N9" s="13">
        <v>154734.49</v>
      </c>
      <c r="O9" s="14">
        <f>2540+2185+156818</f>
        <v>161543</v>
      </c>
      <c r="P9" s="13">
        <v>77704.7</v>
      </c>
      <c r="Q9" s="14">
        <f>ROUND((+P41+P43+P44),2)+1</f>
        <v>169078.2</v>
      </c>
      <c r="R9" s="14"/>
      <c r="S9" s="14"/>
    </row>
    <row r="10" spans="1:23" x14ac:dyDescent="0.2">
      <c r="A10" s="779">
        <v>5113</v>
      </c>
      <c r="B10" s="60" t="s">
        <v>850</v>
      </c>
      <c r="C10" s="116">
        <v>15961.4</v>
      </c>
      <c r="D10" s="13">
        <v>17462.41</v>
      </c>
      <c r="E10" s="13">
        <v>18590.79</v>
      </c>
      <c r="F10" s="13">
        <v>19711.2</v>
      </c>
      <c r="G10" s="13">
        <v>22812.32</v>
      </c>
      <c r="H10" s="13">
        <v>22997.21</v>
      </c>
      <c r="I10" s="13">
        <v>26904.959999999999</v>
      </c>
      <c r="J10" s="13">
        <v>27083</v>
      </c>
      <c r="K10" s="14">
        <v>22052</v>
      </c>
      <c r="L10" s="13">
        <v>16797.13</v>
      </c>
      <c r="M10" s="14">
        <v>19458</v>
      </c>
      <c r="N10" s="13"/>
      <c r="O10" s="14"/>
      <c r="P10" s="13"/>
      <c r="Q10" s="14">
        <f>+P45</f>
        <v>0</v>
      </c>
      <c r="R10" s="14"/>
      <c r="S10" s="14"/>
    </row>
    <row r="11" spans="1:23" x14ac:dyDescent="0.2">
      <c r="A11" s="779">
        <v>5113</v>
      </c>
      <c r="B11" s="60" t="s">
        <v>981</v>
      </c>
      <c r="C11" s="228"/>
      <c r="D11" s="35"/>
      <c r="E11" s="35"/>
      <c r="F11" s="35"/>
      <c r="G11" s="35"/>
      <c r="H11" s="35"/>
      <c r="I11" s="35"/>
      <c r="J11" s="35"/>
      <c r="K11" s="36">
        <v>1200</v>
      </c>
      <c r="L11" s="218"/>
      <c r="M11" s="36">
        <v>1200</v>
      </c>
      <c r="N11" s="218"/>
      <c r="O11" s="36"/>
      <c r="P11" s="35"/>
      <c r="Q11" s="36"/>
      <c r="R11" s="36"/>
      <c r="S11" s="36"/>
    </row>
    <row r="12" spans="1:23" x14ac:dyDescent="0.2">
      <c r="A12" s="779">
        <v>5144</v>
      </c>
      <c r="B12" s="60" t="s">
        <v>27</v>
      </c>
      <c r="C12" s="116">
        <v>200</v>
      </c>
      <c r="D12" s="13">
        <v>850</v>
      </c>
      <c r="E12" s="13">
        <v>850</v>
      </c>
      <c r="F12" s="13">
        <v>850</v>
      </c>
      <c r="G12" s="13">
        <v>1600</v>
      </c>
      <c r="H12" s="13">
        <v>1700</v>
      </c>
      <c r="I12" s="13">
        <v>2000</v>
      </c>
      <c r="J12" s="13">
        <v>2000</v>
      </c>
      <c r="K12" s="14">
        <v>2000</v>
      </c>
      <c r="L12" s="128">
        <v>2000</v>
      </c>
      <c r="M12" s="14">
        <v>1300</v>
      </c>
      <c r="N12" s="128">
        <v>500</v>
      </c>
      <c r="O12" s="14">
        <f>100+1300</f>
        <v>1400</v>
      </c>
      <c r="P12" s="13"/>
      <c r="Q12" s="14">
        <f>ROUND((+T46),0)</f>
        <v>1500</v>
      </c>
      <c r="R12" s="14"/>
      <c r="S12" s="14"/>
    </row>
    <row r="13" spans="1:23" x14ac:dyDescent="0.2">
      <c r="A13" s="779">
        <v>5145</v>
      </c>
      <c r="B13" s="60" t="s">
        <v>855</v>
      </c>
      <c r="C13" s="116"/>
      <c r="D13" s="13"/>
      <c r="E13" s="13"/>
      <c r="F13" s="13"/>
      <c r="G13" s="13"/>
      <c r="H13" s="13">
        <v>40.39</v>
      </c>
      <c r="I13" s="13">
        <v>300.04000000000002</v>
      </c>
      <c r="J13" s="13">
        <v>300.04000000000002</v>
      </c>
      <c r="K13" s="14">
        <v>300</v>
      </c>
      <c r="L13" s="128">
        <v>305.81</v>
      </c>
      <c r="M13" s="14">
        <v>300</v>
      </c>
      <c r="N13" s="128">
        <v>300.04000000000002</v>
      </c>
      <c r="O13" s="14">
        <v>300</v>
      </c>
      <c r="P13" s="13">
        <v>144.25</v>
      </c>
      <c r="Q13" s="14">
        <v>300</v>
      </c>
      <c r="R13" s="14"/>
      <c r="S13" s="36"/>
    </row>
    <row r="14" spans="1:23" x14ac:dyDescent="0.2">
      <c r="A14" s="796">
        <v>5193</v>
      </c>
      <c r="B14" s="102" t="s">
        <v>941</v>
      </c>
      <c r="C14" s="591"/>
      <c r="D14" s="28"/>
      <c r="E14" s="28"/>
      <c r="F14" s="28"/>
      <c r="G14" s="28"/>
      <c r="H14" s="28"/>
      <c r="I14" s="28"/>
      <c r="J14" s="28"/>
      <c r="K14" s="29">
        <v>3875</v>
      </c>
      <c r="L14" s="272">
        <v>4649.3999999999996</v>
      </c>
      <c r="M14" s="29"/>
      <c r="N14" s="272"/>
      <c r="O14" s="29"/>
      <c r="P14" s="28"/>
      <c r="Q14" s="29"/>
      <c r="R14" s="29"/>
      <c r="S14" s="36"/>
    </row>
    <row r="15" spans="1:23" ht="13.5" thickBot="1" x14ac:dyDescent="0.25">
      <c r="A15" s="779">
        <v>5194</v>
      </c>
      <c r="B15" s="60" t="s">
        <v>942</v>
      </c>
      <c r="C15" s="117"/>
      <c r="D15" s="15"/>
      <c r="E15" s="15"/>
      <c r="F15" s="15"/>
      <c r="G15" s="15"/>
      <c r="H15" s="15"/>
      <c r="I15" s="15"/>
      <c r="J15" s="15"/>
      <c r="K15" s="16">
        <v>3500</v>
      </c>
      <c r="L15" s="270">
        <v>3500</v>
      </c>
      <c r="M15" s="16"/>
      <c r="N15" s="270"/>
      <c r="O15" s="16"/>
      <c r="P15" s="15"/>
      <c r="Q15" s="16"/>
      <c r="R15" s="16"/>
      <c r="S15" s="16"/>
    </row>
    <row r="16" spans="1:23" x14ac:dyDescent="0.2">
      <c r="A16" s="779"/>
      <c r="B16" s="61" t="s">
        <v>828</v>
      </c>
      <c r="C16" s="118">
        <f t="shared" ref="C16:E16" si="0">SUM(C9:C12)</f>
        <v>147769.4</v>
      </c>
      <c r="D16" s="18">
        <f t="shared" si="0"/>
        <v>154544.85</v>
      </c>
      <c r="E16" s="18">
        <f t="shared" si="0"/>
        <v>159252.88</v>
      </c>
      <c r="F16" s="18">
        <f>SUM(F9:F12)</f>
        <v>163817.47</v>
      </c>
      <c r="G16" s="18">
        <f>SUM(G9:G12)</f>
        <v>166058.85</v>
      </c>
      <c r="H16" s="18">
        <f t="shared" ref="H16:Q16" si="1">SUM(H9:H15)</f>
        <v>158517</v>
      </c>
      <c r="I16" s="18">
        <f t="shared" si="1"/>
        <v>167142.79999999999</v>
      </c>
      <c r="J16" s="18">
        <f t="shared" si="1"/>
        <v>173734.63</v>
      </c>
      <c r="K16" s="19">
        <f t="shared" si="1"/>
        <v>186740</v>
      </c>
      <c r="L16" s="112">
        <f t="shared" si="1"/>
        <v>176098.55</v>
      </c>
      <c r="M16" s="19">
        <f t="shared" si="1"/>
        <v>175993</v>
      </c>
      <c r="N16" s="112">
        <f t="shared" si="1"/>
        <v>155534.53</v>
      </c>
      <c r="O16" s="19">
        <f t="shared" si="1"/>
        <v>163243</v>
      </c>
      <c r="P16" s="18">
        <f t="shared" si="1"/>
        <v>77848.95</v>
      </c>
      <c r="Q16" s="19">
        <f t="shared" si="1"/>
        <v>170878.2</v>
      </c>
      <c r="R16" s="19"/>
      <c r="S16" s="19">
        <f>SUM(S9:S12)</f>
        <v>0</v>
      </c>
    </row>
    <row r="17" spans="1:19" x14ac:dyDescent="0.2">
      <c r="A17" s="779"/>
      <c r="B17" s="60"/>
      <c r="C17" s="116"/>
      <c r="D17" s="13"/>
      <c r="E17" s="13"/>
      <c r="F17" s="13"/>
      <c r="G17" s="13"/>
      <c r="H17" s="13"/>
      <c r="I17" s="13"/>
      <c r="J17" s="13"/>
      <c r="K17" s="14"/>
      <c r="L17" s="128"/>
      <c r="M17" s="14"/>
      <c r="N17" s="128"/>
      <c r="O17" s="14"/>
      <c r="P17" s="13"/>
      <c r="Q17" s="14"/>
      <c r="R17" s="14"/>
      <c r="S17" s="14"/>
    </row>
    <row r="18" spans="1:19" hidden="1" x14ac:dyDescent="0.2">
      <c r="A18" s="779">
        <v>5305</v>
      </c>
      <c r="B18" s="60" t="s">
        <v>895</v>
      </c>
      <c r="C18" s="116"/>
      <c r="D18" s="13">
        <v>0</v>
      </c>
      <c r="E18" s="13"/>
      <c r="F18" s="13"/>
      <c r="G18" s="13"/>
      <c r="H18" s="13"/>
      <c r="I18" s="128">
        <v>0</v>
      </c>
      <c r="J18" s="128"/>
      <c r="K18" s="14">
        <v>0</v>
      </c>
      <c r="L18" s="128"/>
      <c r="M18" s="14"/>
      <c r="N18" s="128"/>
      <c r="O18" s="14"/>
      <c r="P18" s="13"/>
      <c r="Q18" s="14">
        <v>0</v>
      </c>
      <c r="R18" s="14"/>
      <c r="S18" s="14"/>
    </row>
    <row r="19" spans="1:19" x14ac:dyDescent="0.2">
      <c r="A19" s="779">
        <v>5306</v>
      </c>
      <c r="B19" s="60" t="s">
        <v>982</v>
      </c>
      <c r="C19" s="116">
        <v>4620</v>
      </c>
      <c r="D19" s="13">
        <v>4620</v>
      </c>
      <c r="E19" s="13">
        <v>5451</v>
      </c>
      <c r="F19" s="13">
        <v>5451</v>
      </c>
      <c r="G19" s="13">
        <v>4851</v>
      </c>
      <c r="H19" s="13">
        <v>5451</v>
      </c>
      <c r="I19" s="128">
        <v>5233.8</v>
      </c>
      <c r="J19" s="128">
        <v>6184</v>
      </c>
      <c r="K19" s="14">
        <v>7200</v>
      </c>
      <c r="L19" s="128">
        <v>7184</v>
      </c>
      <c r="M19" s="14">
        <v>6200</v>
      </c>
      <c r="N19" s="128">
        <v>6184</v>
      </c>
      <c r="O19" s="14">
        <v>6200</v>
      </c>
      <c r="P19" s="13">
        <v>6184</v>
      </c>
      <c r="Q19" s="14">
        <v>6200</v>
      </c>
      <c r="R19" s="14"/>
      <c r="S19" s="14"/>
    </row>
    <row r="20" spans="1:19" x14ac:dyDescent="0.2">
      <c r="A20" s="779">
        <v>5314</v>
      </c>
      <c r="B20" s="60" t="s">
        <v>860</v>
      </c>
      <c r="C20" s="116"/>
      <c r="D20" s="13">
        <v>110</v>
      </c>
      <c r="E20" s="13"/>
      <c r="F20" s="13"/>
      <c r="G20" s="13">
        <v>75</v>
      </c>
      <c r="H20" s="13">
        <v>95</v>
      </c>
      <c r="I20" s="13">
        <v>345</v>
      </c>
      <c r="J20" s="13">
        <v>95</v>
      </c>
      <c r="K20" s="40">
        <v>200</v>
      </c>
      <c r="L20" s="13"/>
      <c r="M20" s="40">
        <v>200</v>
      </c>
      <c r="N20" s="13">
        <v>190</v>
      </c>
      <c r="O20" s="40">
        <v>200</v>
      </c>
      <c r="P20" s="13"/>
      <c r="Q20" s="40">
        <v>200</v>
      </c>
      <c r="R20" s="40"/>
      <c r="S20" s="14"/>
    </row>
    <row r="21" spans="1:19" x14ac:dyDescent="0.2">
      <c r="A21" s="779">
        <v>5315</v>
      </c>
      <c r="B21" s="12" t="s">
        <v>983</v>
      </c>
      <c r="C21" s="13"/>
      <c r="D21" s="13"/>
      <c r="E21" s="13"/>
      <c r="F21" s="13"/>
      <c r="G21" s="13"/>
      <c r="H21" s="13">
        <v>1600</v>
      </c>
      <c r="I21" s="23">
        <v>550</v>
      </c>
      <c r="J21" s="13">
        <v>1650</v>
      </c>
      <c r="K21" s="73">
        <v>2200</v>
      </c>
      <c r="L21" s="13">
        <v>2750</v>
      </c>
      <c r="M21" s="73">
        <v>2200</v>
      </c>
      <c r="N21" s="13">
        <v>1650</v>
      </c>
      <c r="O21" s="73">
        <v>2200</v>
      </c>
      <c r="P21" s="13"/>
      <c r="Q21" s="40">
        <v>2600</v>
      </c>
      <c r="R21" s="73"/>
      <c r="S21" s="14"/>
    </row>
    <row r="22" spans="1:19" hidden="1" x14ac:dyDescent="0.2">
      <c r="A22" s="779">
        <v>5341</v>
      </c>
      <c r="B22" s="12" t="s">
        <v>862</v>
      </c>
      <c r="C22" s="13">
        <v>425.78</v>
      </c>
      <c r="D22" s="13">
        <v>415.92</v>
      </c>
      <c r="E22" s="13">
        <v>414.96</v>
      </c>
      <c r="F22" s="13">
        <v>392.85</v>
      </c>
      <c r="G22" s="13">
        <v>523.09</v>
      </c>
      <c r="H22" s="13"/>
      <c r="I22" s="128"/>
      <c r="J22" s="128"/>
      <c r="K22" s="14"/>
      <c r="L22" s="128"/>
      <c r="M22" s="14"/>
      <c r="N22" s="128"/>
      <c r="O22" s="14"/>
      <c r="P22" s="13"/>
      <c r="Q22" s="14"/>
      <c r="R22" s="14"/>
      <c r="S22" s="14"/>
    </row>
    <row r="23" spans="1:19" x14ac:dyDescent="0.2">
      <c r="A23" s="779">
        <v>5344</v>
      </c>
      <c r="B23" s="12" t="s">
        <v>832</v>
      </c>
      <c r="C23" s="13">
        <v>12123.38</v>
      </c>
      <c r="D23" s="13">
        <v>12087.96</v>
      </c>
      <c r="E23" s="13">
        <v>13215.57</v>
      </c>
      <c r="F23" s="13">
        <v>13906.85</v>
      </c>
      <c r="G23" s="13">
        <v>12997.21</v>
      </c>
      <c r="H23" s="13">
        <v>14485.3</v>
      </c>
      <c r="I23" s="128">
        <v>13397.79</v>
      </c>
      <c r="J23" s="128">
        <v>12794.75</v>
      </c>
      <c r="K23" s="14">
        <v>14000</v>
      </c>
      <c r="L23" s="128">
        <v>13070.53</v>
      </c>
      <c r="M23" s="14">
        <v>14000</v>
      </c>
      <c r="N23" s="128">
        <v>15234.78</v>
      </c>
      <c r="O23" s="14">
        <v>15000</v>
      </c>
      <c r="P23" s="13">
        <v>8126.28</v>
      </c>
      <c r="Q23" s="14">
        <v>16000</v>
      </c>
      <c r="R23" s="14"/>
      <c r="S23" s="14"/>
    </row>
    <row r="24" spans="1:19" x14ac:dyDescent="0.2">
      <c r="A24" s="779">
        <v>5345</v>
      </c>
      <c r="B24" s="12" t="s">
        <v>863</v>
      </c>
      <c r="C24" s="18"/>
      <c r="D24" s="18"/>
      <c r="E24" s="18"/>
      <c r="F24" s="18"/>
      <c r="G24" s="18">
        <v>1861.8</v>
      </c>
      <c r="H24" s="18"/>
      <c r="I24" s="112"/>
      <c r="J24" s="112"/>
      <c r="K24" s="19">
        <v>750</v>
      </c>
      <c r="L24" s="112"/>
      <c r="M24" s="19">
        <v>0</v>
      </c>
      <c r="N24" s="112"/>
      <c r="O24" s="19">
        <v>0</v>
      </c>
      <c r="P24" s="18"/>
      <c r="Q24" s="19">
        <v>0</v>
      </c>
      <c r="R24" s="19"/>
      <c r="S24" s="19"/>
    </row>
    <row r="25" spans="1:19" x14ac:dyDescent="0.2">
      <c r="A25" s="779">
        <v>5420</v>
      </c>
      <c r="B25" s="12" t="s">
        <v>864</v>
      </c>
      <c r="C25" s="18">
        <v>4414.04</v>
      </c>
      <c r="D25" s="18">
        <v>6221.32</v>
      </c>
      <c r="E25" s="18">
        <v>3872.38</v>
      </c>
      <c r="F25" s="18">
        <v>4961.75</v>
      </c>
      <c r="G25" s="18">
        <v>5246.18</v>
      </c>
      <c r="H25" s="18">
        <v>4720.84</v>
      </c>
      <c r="I25" s="112">
        <v>6197.54</v>
      </c>
      <c r="J25" s="112">
        <v>6097.7</v>
      </c>
      <c r="K25" s="19">
        <v>6600</v>
      </c>
      <c r="L25" s="112">
        <v>7856.4</v>
      </c>
      <c r="M25" s="19">
        <v>6400</v>
      </c>
      <c r="N25" s="112">
        <v>11128.74</v>
      </c>
      <c r="O25" s="19">
        <v>7000</v>
      </c>
      <c r="P25" s="18">
        <v>1654.8</v>
      </c>
      <c r="Q25" s="19">
        <v>8000</v>
      </c>
      <c r="R25" s="19"/>
      <c r="S25" s="19"/>
    </row>
    <row r="26" spans="1:19" hidden="1" x14ac:dyDescent="0.2">
      <c r="A26" s="779">
        <v>5590</v>
      </c>
      <c r="B26" s="12" t="s">
        <v>868</v>
      </c>
      <c r="C26" s="18"/>
      <c r="D26" s="18"/>
      <c r="E26" s="18"/>
      <c r="F26" s="18">
        <v>2000.7</v>
      </c>
      <c r="G26" s="18">
        <v>594</v>
      </c>
      <c r="H26" s="18">
        <v>4274.05</v>
      </c>
      <c r="I26" s="112"/>
      <c r="J26" s="112"/>
      <c r="K26" s="19"/>
      <c r="L26" s="112"/>
      <c r="M26" s="19"/>
      <c r="N26" s="112"/>
      <c r="O26" s="19"/>
      <c r="P26" s="18"/>
      <c r="Q26" s="19"/>
      <c r="R26" s="19"/>
      <c r="S26" s="19"/>
    </row>
    <row r="27" spans="1:19" x14ac:dyDescent="0.2">
      <c r="A27" s="779">
        <v>5710</v>
      </c>
      <c r="B27" s="12" t="s">
        <v>869</v>
      </c>
      <c r="C27" s="18">
        <v>916.62</v>
      </c>
      <c r="D27" s="18">
        <v>1018.29</v>
      </c>
      <c r="E27" s="18">
        <v>763.19</v>
      </c>
      <c r="F27" s="18">
        <v>779.21</v>
      </c>
      <c r="G27" s="18">
        <v>779.53</v>
      </c>
      <c r="H27" s="18">
        <v>624.79</v>
      </c>
      <c r="I27" s="112">
        <v>687.04</v>
      </c>
      <c r="J27" s="112">
        <v>606.72</v>
      </c>
      <c r="K27" s="19">
        <v>750</v>
      </c>
      <c r="L27" s="112">
        <v>472.67</v>
      </c>
      <c r="M27" s="19">
        <v>750</v>
      </c>
      <c r="N27" s="112">
        <v>508.53</v>
      </c>
      <c r="O27" s="19">
        <v>600</v>
      </c>
      <c r="P27" s="18">
        <v>137.51</v>
      </c>
      <c r="Q27" s="19">
        <v>600</v>
      </c>
      <c r="R27" s="19"/>
      <c r="S27" s="19"/>
    </row>
    <row r="28" spans="1:19" x14ac:dyDescent="0.2">
      <c r="A28" s="779">
        <v>5730</v>
      </c>
      <c r="B28" s="12" t="s">
        <v>870</v>
      </c>
      <c r="C28" s="13">
        <v>100</v>
      </c>
      <c r="D28" s="13">
        <v>100</v>
      </c>
      <c r="E28" s="13">
        <v>60</v>
      </c>
      <c r="F28" s="13">
        <v>60</v>
      </c>
      <c r="G28" s="13">
        <v>85</v>
      </c>
      <c r="H28" s="13">
        <v>60</v>
      </c>
      <c r="I28" s="128">
        <v>90</v>
      </c>
      <c r="J28" s="128">
        <v>60</v>
      </c>
      <c r="K28" s="14">
        <v>120</v>
      </c>
      <c r="L28" s="128">
        <v>145</v>
      </c>
      <c r="M28" s="14">
        <v>120</v>
      </c>
      <c r="N28" s="128">
        <v>80</v>
      </c>
      <c r="O28" s="14">
        <v>120</v>
      </c>
      <c r="P28" s="13">
        <v>60</v>
      </c>
      <c r="Q28" s="14">
        <v>120</v>
      </c>
      <c r="R28" s="14"/>
      <c r="S28" s="14"/>
    </row>
    <row r="29" spans="1:19" x14ac:dyDescent="0.2">
      <c r="A29" s="779">
        <v>5740</v>
      </c>
      <c r="B29" s="12" t="s">
        <v>984</v>
      </c>
      <c r="C29" s="13">
        <v>2197.5</v>
      </c>
      <c r="D29" s="13">
        <v>2197.5</v>
      </c>
      <c r="E29" s="13">
        <v>2197.5</v>
      </c>
      <c r="F29" s="13">
        <v>2197.5</v>
      </c>
      <c r="G29" s="13">
        <v>2892.11</v>
      </c>
      <c r="H29" s="13">
        <v>2960</v>
      </c>
      <c r="I29" s="128">
        <v>2960</v>
      </c>
      <c r="J29" s="128">
        <v>2960</v>
      </c>
      <c r="K29" s="14">
        <v>3000</v>
      </c>
      <c r="L29" s="128">
        <v>3120</v>
      </c>
      <c r="M29" s="14">
        <v>3100</v>
      </c>
      <c r="N29" s="128">
        <v>3120</v>
      </c>
      <c r="O29" s="14">
        <v>3150</v>
      </c>
      <c r="P29" s="13">
        <v>100</v>
      </c>
      <c r="Q29" s="14">
        <v>3150</v>
      </c>
      <c r="R29" s="14"/>
      <c r="S29" s="14"/>
    </row>
    <row r="30" spans="1:19" ht="13.5" thickBot="1" x14ac:dyDescent="0.25">
      <c r="A30" s="779">
        <v>5781</v>
      </c>
      <c r="B30" s="12" t="s">
        <v>985</v>
      </c>
      <c r="C30" s="15">
        <v>18473.189999999999</v>
      </c>
      <c r="D30" s="15">
        <v>15994.06</v>
      </c>
      <c r="E30" s="15">
        <v>21530.9</v>
      </c>
      <c r="F30" s="15">
        <v>24467.47</v>
      </c>
      <c r="G30" s="15">
        <v>17736.900000000001</v>
      </c>
      <c r="H30" s="15">
        <v>15882.35</v>
      </c>
      <c r="I30" s="270">
        <v>10222.24</v>
      </c>
      <c r="J30" s="270">
        <v>15229.29</v>
      </c>
      <c r="K30" s="16">
        <v>18000</v>
      </c>
      <c r="L30" s="270">
        <v>12500.79</v>
      </c>
      <c r="M30" s="16">
        <v>20000</v>
      </c>
      <c r="N30" s="270">
        <v>19107.25</v>
      </c>
      <c r="O30" s="16">
        <v>23000</v>
      </c>
      <c r="P30" s="15">
        <v>16128.37</v>
      </c>
      <c r="Q30" s="16">
        <v>23000</v>
      </c>
      <c r="R30" s="16"/>
      <c r="S30" s="16"/>
    </row>
    <row r="31" spans="1:19" x14ac:dyDescent="0.2">
      <c r="A31" s="779"/>
      <c r="B31" s="17" t="s">
        <v>838</v>
      </c>
      <c r="C31" s="13">
        <f t="shared" ref="C31:P31" si="2">SUM(C18:C30)</f>
        <v>43270.509999999995</v>
      </c>
      <c r="D31" s="13">
        <f t="shared" si="2"/>
        <v>42765.049999999996</v>
      </c>
      <c r="E31" s="13">
        <f t="shared" si="2"/>
        <v>47505.5</v>
      </c>
      <c r="F31" s="13">
        <f>SUM(F18:F30)</f>
        <v>54217.33</v>
      </c>
      <c r="G31" s="13">
        <f>SUM(G18:G30)</f>
        <v>47641.82</v>
      </c>
      <c r="H31" s="13">
        <f>SUM(H18:H30)</f>
        <v>50153.329999999994</v>
      </c>
      <c r="I31" s="13">
        <f t="shared" si="2"/>
        <v>39683.410000000003</v>
      </c>
      <c r="J31" s="13">
        <f t="shared" ref="J31" si="3">SUM(J18:J30)</f>
        <v>45677.460000000006</v>
      </c>
      <c r="K31" s="14">
        <f>SUM(K18:K30)</f>
        <v>52820</v>
      </c>
      <c r="L31" s="13">
        <f t="shared" ref="L31:O31" si="4">SUM(L18:L30)</f>
        <v>47099.39</v>
      </c>
      <c r="M31" s="14">
        <f t="shared" si="4"/>
        <v>52970</v>
      </c>
      <c r="N31" s="13">
        <f t="shared" ref="N31" si="5">SUM(N18:N30)</f>
        <v>57203.299999999996</v>
      </c>
      <c r="O31" s="14">
        <f t="shared" si="4"/>
        <v>57470</v>
      </c>
      <c r="P31" s="13">
        <f t="shared" si="2"/>
        <v>32390.959999999999</v>
      </c>
      <c r="Q31" s="14">
        <f>SUM(Q18:Q30)</f>
        <v>59870</v>
      </c>
      <c r="R31" s="14"/>
      <c r="S31" s="14">
        <f>SUM(S18:S30)</f>
        <v>0</v>
      </c>
    </row>
    <row r="32" spans="1:19" x14ac:dyDescent="0.2">
      <c r="A32" s="779"/>
      <c r="B32" s="12"/>
      <c r="C32" s="13"/>
      <c r="D32" s="13"/>
      <c r="E32" s="13"/>
      <c r="F32" s="13"/>
      <c r="G32" s="13"/>
      <c r="H32" s="13"/>
      <c r="I32" s="13"/>
      <c r="J32" s="13"/>
      <c r="K32" s="14"/>
      <c r="L32" s="13"/>
      <c r="M32" s="14"/>
      <c r="N32" s="13"/>
      <c r="O32" s="14"/>
      <c r="P32" s="13"/>
      <c r="Q32" s="14"/>
      <c r="R32" s="14"/>
      <c r="S32" s="14"/>
    </row>
    <row r="33" spans="1:23" ht="13.5" thickBot="1" x14ac:dyDescent="0.25">
      <c r="A33" s="780"/>
      <c r="B33" s="20" t="s">
        <v>986</v>
      </c>
      <c r="C33" s="21">
        <f t="shared" ref="C33:P33" si="6">+C31+C16</f>
        <v>191039.90999999997</v>
      </c>
      <c r="D33" s="21">
        <f t="shared" si="6"/>
        <v>197309.9</v>
      </c>
      <c r="E33" s="21">
        <f t="shared" si="6"/>
        <v>206758.38</v>
      </c>
      <c r="F33" s="21">
        <f>+F31+F16</f>
        <v>218034.8</v>
      </c>
      <c r="G33" s="21">
        <f>+G31+G16</f>
        <v>213700.67</v>
      </c>
      <c r="H33" s="21">
        <f>+H31+H16</f>
        <v>208670.33</v>
      </c>
      <c r="I33" s="21">
        <f t="shared" si="6"/>
        <v>206826.21</v>
      </c>
      <c r="J33" s="21">
        <f t="shared" ref="J33" si="7">+J31+J16</f>
        <v>219412.09000000003</v>
      </c>
      <c r="K33" s="39">
        <f>+K31+K16</f>
        <v>239560</v>
      </c>
      <c r="L33" s="21">
        <f t="shared" ref="L33:O33" si="8">+L31+L16</f>
        <v>223197.94</v>
      </c>
      <c r="M33" s="39">
        <f t="shared" si="8"/>
        <v>228963</v>
      </c>
      <c r="N33" s="21">
        <f t="shared" ref="N33" si="9">+N31+N16</f>
        <v>212737.83</v>
      </c>
      <c r="O33" s="39">
        <f t="shared" si="8"/>
        <v>220713</v>
      </c>
      <c r="P33" s="21">
        <f t="shared" si="6"/>
        <v>110239.91</v>
      </c>
      <c r="Q33" s="39">
        <f>+Q31+Q16</f>
        <v>230748.2</v>
      </c>
      <c r="R33" s="39">
        <f>+Q33</f>
        <v>230748.2</v>
      </c>
      <c r="S33" s="39">
        <f>+Q33</f>
        <v>230748.2</v>
      </c>
    </row>
    <row r="34" spans="1:23" ht="16.5" thickTop="1" x14ac:dyDescent="0.25">
      <c r="A34" s="774"/>
      <c r="B34" s="4"/>
      <c r="C34" s="23"/>
      <c r="D34" s="23"/>
      <c r="E34" s="23"/>
      <c r="F34" s="23"/>
      <c r="G34" s="23"/>
      <c r="H34" s="23"/>
      <c r="I34" s="23"/>
      <c r="J34" s="23"/>
      <c r="K34" s="23"/>
      <c r="L34" s="23"/>
      <c r="M34" s="23"/>
      <c r="N34" s="23"/>
      <c r="O34" s="23"/>
      <c r="P34" s="199" t="s">
        <v>843</v>
      </c>
      <c r="Q34" s="1116">
        <f>+Q33-O33</f>
        <v>10035.200000000012</v>
      </c>
      <c r="R34" s="1117">
        <f>ROUND((+Q34/O33),4)</f>
        <v>4.5499999999999999E-2</v>
      </c>
      <c r="S34" s="73"/>
      <c r="T34" s="23"/>
      <c r="U34" s="25"/>
      <c r="V34" s="201"/>
      <c r="W34" s="25"/>
    </row>
    <row r="35" spans="1:23" x14ac:dyDescent="0.2">
      <c r="A35" s="54">
        <v>44914</v>
      </c>
      <c r="B35" s="4" t="s">
        <v>2383</v>
      </c>
      <c r="C35" s="23"/>
      <c r="D35" s="23"/>
      <c r="E35" s="23"/>
      <c r="F35" s="23"/>
      <c r="G35" s="23"/>
      <c r="H35" s="23"/>
      <c r="I35" s="23"/>
      <c r="J35" s="23"/>
      <c r="K35" s="23"/>
      <c r="L35" s="23"/>
      <c r="M35" s="23"/>
      <c r="N35" s="23"/>
      <c r="O35" s="23"/>
      <c r="P35" s="25"/>
      <c r="Q35" s="23"/>
      <c r="R35" s="23"/>
      <c r="S35" s="73"/>
      <c r="T35" s="25"/>
      <c r="U35" s="25"/>
      <c r="V35" s="25"/>
      <c r="W35" s="25"/>
    </row>
    <row r="36" spans="1:23" x14ac:dyDescent="0.2">
      <c r="A36" s="63"/>
      <c r="B36" s="4"/>
      <c r="C36" s="23"/>
      <c r="D36" s="23"/>
      <c r="E36" s="23"/>
      <c r="F36" s="23"/>
      <c r="G36" s="23"/>
      <c r="H36" s="23"/>
      <c r="I36" s="23"/>
      <c r="J36" s="23"/>
      <c r="K36" s="23"/>
      <c r="L36" s="23"/>
      <c r="M36" s="23"/>
      <c r="N36" s="23"/>
      <c r="O36" s="23"/>
      <c r="P36" s="25"/>
      <c r="Q36" s="23"/>
      <c r="R36" s="23"/>
      <c r="S36" s="73"/>
      <c r="T36" s="25"/>
      <c r="U36" s="25"/>
      <c r="V36" s="25"/>
      <c r="W36" s="25"/>
    </row>
    <row r="37" spans="1:23" x14ac:dyDescent="0.2">
      <c r="A37" s="774" t="s">
        <v>911</v>
      </c>
      <c r="B37" s="4"/>
      <c r="D37" s="212"/>
      <c r="E37" s="212"/>
      <c r="F37" s="212"/>
      <c r="G37" s="212"/>
      <c r="H37" s="212"/>
      <c r="I37" s="212"/>
      <c r="J37" s="212"/>
      <c r="K37" s="212"/>
      <c r="L37" s="212"/>
      <c r="M37" s="212"/>
      <c r="N37" s="212"/>
      <c r="O37" s="212"/>
    </row>
    <row r="38" spans="1:23" ht="13.5" thickBot="1" x14ac:dyDescent="0.25">
      <c r="A38" s="774"/>
      <c r="B38" s="4"/>
      <c r="D38" s="212"/>
      <c r="E38" s="212"/>
      <c r="F38" s="212"/>
      <c r="G38" s="212"/>
      <c r="H38" s="212"/>
      <c r="I38" s="212"/>
      <c r="J38" s="212"/>
      <c r="K38" s="212"/>
      <c r="L38" s="212"/>
      <c r="M38" s="212"/>
      <c r="N38" s="212"/>
      <c r="O38" s="212"/>
    </row>
    <row r="39" spans="1:23" ht="13.5" thickTop="1" x14ac:dyDescent="0.2">
      <c r="A39" s="781" t="s">
        <v>872</v>
      </c>
      <c r="B39" s="99"/>
      <c r="D39" s="212"/>
      <c r="E39" s="212"/>
      <c r="F39" s="212"/>
      <c r="G39" s="212"/>
      <c r="H39" s="212"/>
      <c r="I39" s="212"/>
      <c r="J39" s="212"/>
      <c r="K39" s="212"/>
      <c r="L39" s="212"/>
      <c r="M39" s="131" t="s">
        <v>873</v>
      </c>
      <c r="N39" s="138" t="s">
        <v>874</v>
      </c>
      <c r="O39" s="150"/>
      <c r="P39" s="140" t="s">
        <v>875</v>
      </c>
      <c r="Q39"/>
      <c r="R39"/>
      <c r="S39" s="205" t="s">
        <v>876</v>
      </c>
      <c r="T39"/>
    </row>
    <row r="40" spans="1:23" ht="13.5" thickBot="1" x14ac:dyDescent="0.25">
      <c r="A40" s="782" t="s">
        <v>877</v>
      </c>
      <c r="B40" s="101" t="s">
        <v>878</v>
      </c>
      <c r="D40" s="212"/>
      <c r="E40" s="212"/>
      <c r="F40" s="212"/>
      <c r="G40" s="212"/>
      <c r="H40" s="212"/>
      <c r="I40" s="212"/>
      <c r="J40" s="212"/>
      <c r="K40" s="212"/>
      <c r="L40" s="212"/>
      <c r="M40" s="287">
        <v>45108</v>
      </c>
      <c r="N40" s="141" t="s">
        <v>879</v>
      </c>
      <c r="O40" s="142" t="s">
        <v>954</v>
      </c>
      <c r="P40" s="142" t="s">
        <v>881</v>
      </c>
      <c r="Q40" s="107" t="s">
        <v>882</v>
      </c>
      <c r="R40" s="107"/>
      <c r="S40" s="107" t="s">
        <v>571</v>
      </c>
      <c r="T40" s="107" t="s">
        <v>883</v>
      </c>
    </row>
    <row r="41" spans="1:23" ht="13.5" thickTop="1" x14ac:dyDescent="0.2">
      <c r="A41" s="133">
        <v>42674</v>
      </c>
      <c r="B41" s="102" t="s">
        <v>987</v>
      </c>
      <c r="D41" s="212"/>
      <c r="E41" s="212"/>
      <c r="F41" s="212"/>
      <c r="G41" s="212"/>
      <c r="H41" s="212"/>
      <c r="I41" s="212"/>
      <c r="J41" s="212"/>
      <c r="K41" s="212"/>
      <c r="L41" s="212"/>
      <c r="M41" s="18" t="s">
        <v>2229</v>
      </c>
      <c r="N41" s="102"/>
      <c r="O41" s="19"/>
      <c r="P41" s="137">
        <f>+'NAGE &amp; Non-Union Wages'!K10</f>
        <v>78423</v>
      </c>
      <c r="Q41"/>
      <c r="R41"/>
      <c r="S41"/>
      <c r="T41" s="2"/>
    </row>
    <row r="42" spans="1:23" x14ac:dyDescent="0.2">
      <c r="A42" s="133"/>
      <c r="B42" s="102" t="s">
        <v>988</v>
      </c>
      <c r="D42" s="212"/>
      <c r="E42" s="212"/>
      <c r="F42" s="212"/>
      <c r="G42" s="212"/>
      <c r="H42" s="212"/>
      <c r="I42" s="212"/>
      <c r="J42" s="212"/>
      <c r="K42" s="212"/>
      <c r="L42" s="212"/>
      <c r="M42" s="18"/>
      <c r="N42" s="200"/>
      <c r="O42" s="151"/>
      <c r="P42" s="137"/>
      <c r="Q42"/>
      <c r="R42"/>
      <c r="S42"/>
      <c r="T42" s="2"/>
    </row>
    <row r="43" spans="1:23" x14ac:dyDescent="0.2">
      <c r="A43" s="153">
        <v>41008</v>
      </c>
      <c r="B43" s="60" t="s">
        <v>989</v>
      </c>
      <c r="D43" s="212"/>
      <c r="E43" s="212"/>
      <c r="F43" s="212"/>
      <c r="G43" s="212"/>
      <c r="H43" s="212"/>
      <c r="I43" s="212"/>
      <c r="J43" s="212"/>
      <c r="K43" s="212"/>
      <c r="L43" s="212"/>
      <c r="M43" s="14" t="s">
        <v>990</v>
      </c>
      <c r="N43" s="148">
        <f>+'NAGE &amp; Non-Union Wages'!L5</f>
        <v>23.72</v>
      </c>
      <c r="O43" s="13">
        <v>1820</v>
      </c>
      <c r="P43" s="137">
        <f>ROUND((+N43*O43),2)</f>
        <v>43170.400000000001</v>
      </c>
      <c r="Q43" s="153">
        <v>41008</v>
      </c>
      <c r="R43" s="153"/>
      <c r="S43" s="783">
        <v>12</v>
      </c>
      <c r="T43" s="2">
        <v>500</v>
      </c>
    </row>
    <row r="44" spans="1:23" x14ac:dyDescent="0.2">
      <c r="A44" s="153">
        <v>38089</v>
      </c>
      <c r="B44" s="60" t="s">
        <v>991</v>
      </c>
      <c r="C44" s="283"/>
      <c r="D44" s="345"/>
      <c r="E44" s="345"/>
      <c r="F44" s="345"/>
      <c r="G44" s="345"/>
      <c r="H44" s="345"/>
      <c r="I44" s="212"/>
      <c r="J44" s="212"/>
      <c r="K44" s="212"/>
      <c r="L44" s="212"/>
      <c r="M44" s="14" t="s">
        <v>992</v>
      </c>
      <c r="N44" s="148">
        <f>+'NAGE &amp; Non-Union Wages'!I7</f>
        <v>26.09</v>
      </c>
      <c r="O44" s="112">
        <f>+'To Do and Changes'!E22</f>
        <v>1820</v>
      </c>
      <c r="P44" s="137">
        <f>ROUND((+N44*O44),2)</f>
        <v>47483.8</v>
      </c>
      <c r="Q44" s="153">
        <v>38089</v>
      </c>
      <c r="R44" s="153"/>
      <c r="S44" s="783">
        <v>20</v>
      </c>
      <c r="T44" s="2">
        <v>1000</v>
      </c>
    </row>
    <row r="45" spans="1:23" x14ac:dyDescent="0.2">
      <c r="B45" s="60" t="s">
        <v>993</v>
      </c>
      <c r="C45" s="283"/>
      <c r="D45" s="345"/>
      <c r="E45" s="345"/>
      <c r="F45" s="345"/>
      <c r="G45" s="345"/>
      <c r="H45" s="345"/>
      <c r="I45" s="212"/>
      <c r="J45" s="212"/>
      <c r="K45" s="212"/>
      <c r="L45" s="212"/>
      <c r="M45" s="14"/>
      <c r="N45" s="148"/>
      <c r="O45" s="112"/>
      <c r="P45" s="137"/>
      <c r="Q45" s="153"/>
      <c r="R45" s="153"/>
      <c r="S45"/>
      <c r="T45" s="2"/>
    </row>
    <row r="46" spans="1:23" x14ac:dyDescent="0.2">
      <c r="A46" s="774"/>
      <c r="B46" s="4"/>
      <c r="C46" s="23"/>
      <c r="D46" s="23"/>
      <c r="E46" s="23"/>
      <c r="F46" s="212"/>
      <c r="G46" s="212"/>
      <c r="H46" s="212"/>
      <c r="I46" s="23"/>
      <c r="J46" s="23"/>
      <c r="K46" s="23"/>
      <c r="L46" s="23"/>
      <c r="M46" s="23"/>
      <c r="N46" s="23"/>
      <c r="O46" s="23"/>
      <c r="P46" s="25"/>
      <c r="Q46" s="25"/>
      <c r="R46" s="25"/>
      <c r="S46" s="25" t="s">
        <v>193</v>
      </c>
      <c r="T46" s="2">
        <f>SUM(T43:T45)</f>
        <v>1500</v>
      </c>
    </row>
    <row r="47" spans="1:23" x14ac:dyDescent="0.2">
      <c r="A47" s="774"/>
      <c r="B47" s="4"/>
      <c r="C47" s="23"/>
      <c r="D47" s="23"/>
      <c r="E47" s="23"/>
      <c r="F47" s="212"/>
      <c r="G47" s="212"/>
      <c r="H47" s="212"/>
      <c r="I47" s="23"/>
      <c r="J47" s="23"/>
      <c r="K47" s="23"/>
      <c r="L47" s="23"/>
      <c r="M47" s="23"/>
      <c r="N47" s="23"/>
      <c r="O47" s="23"/>
      <c r="P47" s="25"/>
      <c r="Q47" s="25"/>
      <c r="R47" s="25"/>
      <c r="S47" s="25"/>
      <c r="T47" s="2"/>
    </row>
    <row r="48" spans="1:23" x14ac:dyDescent="0.2">
      <c r="A48" s="774"/>
      <c r="B48" s="4"/>
      <c r="C48" s="23"/>
      <c r="D48" s="23"/>
      <c r="E48" s="23"/>
      <c r="F48" s="212"/>
      <c r="G48" s="212"/>
      <c r="H48" s="212"/>
      <c r="I48" s="23"/>
      <c r="J48" s="23"/>
      <c r="K48" s="23"/>
      <c r="L48" s="23"/>
      <c r="M48" s="23"/>
      <c r="N48" s="23"/>
      <c r="O48" s="23"/>
      <c r="P48" s="25"/>
      <c r="Q48" s="23"/>
      <c r="R48" s="23"/>
      <c r="S48" s="23"/>
      <c r="T48" s="23"/>
      <c r="U48" s="25"/>
      <c r="V48" s="25"/>
      <c r="W48" s="25"/>
    </row>
    <row r="49" spans="1:23" x14ac:dyDescent="0.2">
      <c r="A49" s="774"/>
      <c r="B49" s="4"/>
      <c r="C49" s="23"/>
      <c r="D49" s="23"/>
      <c r="E49" s="23"/>
      <c r="F49" s="212"/>
      <c r="G49" s="212"/>
      <c r="H49" s="212"/>
      <c r="I49" s="23"/>
      <c r="J49" s="23"/>
      <c r="K49" s="23"/>
      <c r="L49" s="23"/>
      <c r="M49" s="23"/>
      <c r="N49" s="23"/>
      <c r="O49" s="23"/>
      <c r="P49" s="25"/>
      <c r="Q49" s="23"/>
      <c r="R49" s="23"/>
      <c r="S49" s="23"/>
      <c r="T49" s="23"/>
      <c r="U49" s="25"/>
      <c r="V49" s="25"/>
      <c r="W49" s="25"/>
    </row>
    <row r="50" spans="1:23" ht="13.5" thickBot="1" x14ac:dyDescent="0.25">
      <c r="A50" s="774"/>
      <c r="B50" s="4"/>
      <c r="C50" s="23"/>
      <c r="D50" s="23"/>
      <c r="E50" s="23"/>
      <c r="F50" s="212"/>
      <c r="G50" s="212"/>
      <c r="H50" s="212"/>
      <c r="I50" s="23"/>
      <c r="J50" s="23"/>
      <c r="K50" s="23"/>
      <c r="L50" s="23"/>
      <c r="M50" s="23"/>
      <c r="N50" s="23"/>
      <c r="O50" s="23"/>
      <c r="P50" s="25"/>
      <c r="Q50" s="24"/>
      <c r="R50" s="24"/>
      <c r="S50" s="23"/>
      <c r="T50" s="23"/>
      <c r="U50" s="25"/>
      <c r="V50" s="25"/>
      <c r="W50" s="25"/>
    </row>
    <row r="51" spans="1:23" ht="13.5" thickTop="1" x14ac:dyDescent="0.2">
      <c r="A51" s="789"/>
      <c r="B51" s="367"/>
      <c r="C51" s="368" t="s">
        <v>280</v>
      </c>
      <c r="D51" s="369" t="s">
        <v>280</v>
      </c>
      <c r="E51" s="369" t="s">
        <v>280</v>
      </c>
      <c r="F51" s="212"/>
      <c r="G51" s="212"/>
      <c r="H51" s="212"/>
      <c r="I51" s="212"/>
      <c r="J51" s="212"/>
      <c r="K51" s="212"/>
      <c r="L51" s="212"/>
      <c r="M51" s="370" t="s">
        <v>279</v>
      </c>
      <c r="N51" s="371" t="s">
        <v>826</v>
      </c>
      <c r="O51" s="372" t="s">
        <v>840</v>
      </c>
      <c r="P51" s="371" t="s">
        <v>841</v>
      </c>
      <c r="Q51" s="373"/>
      <c r="R51" s="569"/>
      <c r="S51" s="372"/>
      <c r="T51" s="23"/>
      <c r="U51" s="25"/>
      <c r="V51" s="25"/>
      <c r="W51" s="25"/>
    </row>
    <row r="52" spans="1:23" ht="13.5" thickBot="1" x14ac:dyDescent="0.25">
      <c r="A52" s="790" t="s">
        <v>825</v>
      </c>
      <c r="B52" s="374"/>
      <c r="C52" s="375" t="s">
        <v>267</v>
      </c>
      <c r="D52" s="375" t="s">
        <v>268</v>
      </c>
      <c r="E52" s="376" t="s">
        <v>269</v>
      </c>
      <c r="F52" s="212"/>
      <c r="G52" s="212"/>
      <c r="H52" s="212"/>
      <c r="I52" s="212"/>
      <c r="J52" s="212"/>
      <c r="K52" s="212"/>
      <c r="L52" s="212"/>
      <c r="M52" s="377" t="s">
        <v>277</v>
      </c>
      <c r="N52" s="377" t="s">
        <v>571</v>
      </c>
      <c r="O52" s="376" t="s">
        <v>843</v>
      </c>
      <c r="P52" s="378" t="s">
        <v>843</v>
      </c>
      <c r="Q52" s="379" t="s">
        <v>844</v>
      </c>
      <c r="R52" s="570"/>
      <c r="S52" s="377"/>
      <c r="T52" s="23"/>
      <c r="U52" s="25"/>
      <c r="V52" s="25"/>
      <c r="W52" s="25"/>
    </row>
    <row r="53" spans="1:23" ht="13.5" thickTop="1" x14ac:dyDescent="0.2">
      <c r="A53" s="797"/>
      <c r="B53" s="394"/>
      <c r="C53" s="383"/>
      <c r="D53" s="383"/>
      <c r="E53" s="383"/>
      <c r="F53" s="212"/>
      <c r="G53" s="212"/>
      <c r="H53" s="212"/>
      <c r="I53" s="212"/>
      <c r="J53" s="212"/>
      <c r="K53" s="212"/>
      <c r="L53" s="212"/>
      <c r="M53" s="384"/>
      <c r="N53" s="383"/>
      <c r="O53" s="386"/>
      <c r="P53" s="392"/>
      <c r="Q53" s="385"/>
      <c r="R53" s="572"/>
      <c r="S53" s="386"/>
      <c r="T53" s="23"/>
      <c r="U53" s="25"/>
      <c r="V53" s="25"/>
      <c r="W53" s="25"/>
    </row>
    <row r="54" spans="1:23" x14ac:dyDescent="0.2">
      <c r="A54" s="795">
        <v>5111</v>
      </c>
      <c r="B54" s="387" t="s">
        <v>849</v>
      </c>
      <c r="C54" s="391">
        <v>131608</v>
      </c>
      <c r="D54" s="391">
        <v>136232.44</v>
      </c>
      <c r="E54" s="391">
        <v>139812.09</v>
      </c>
      <c r="F54" s="212"/>
      <c r="G54" s="212"/>
      <c r="H54" s="212"/>
      <c r="I54" s="212"/>
      <c r="J54" s="212"/>
      <c r="K54" s="212"/>
      <c r="L54" s="212"/>
      <c r="M54" s="390">
        <f t="shared" ref="M54:M60" si="10">+O9</f>
        <v>161543</v>
      </c>
      <c r="N54" s="411">
        <f t="shared" ref="N54:N60" si="11">+Q9</f>
        <v>169078.2</v>
      </c>
      <c r="O54" s="386">
        <f t="shared" ref="O54:O73" si="12">+N54-M54</f>
        <v>7535.2000000000116</v>
      </c>
      <c r="P54" s="392">
        <f>IF(M54+N54&lt;&gt;0,IF(M54&lt;&gt;0,IF(O54&lt;&gt;0,ROUND((+O54/M54),4),""),1),"")</f>
        <v>4.6600000000000003E-2</v>
      </c>
      <c r="Q54" s="385" t="s">
        <v>2201</v>
      </c>
      <c r="R54" s="572"/>
      <c r="S54" s="386"/>
      <c r="T54" s="23"/>
      <c r="U54" s="25"/>
      <c r="V54" s="25"/>
      <c r="W54" s="25"/>
    </row>
    <row r="55" spans="1:23" x14ac:dyDescent="0.2">
      <c r="A55" s="795">
        <v>5113</v>
      </c>
      <c r="B55" s="387" t="s">
        <v>850</v>
      </c>
      <c r="C55" s="391">
        <v>15961.4</v>
      </c>
      <c r="D55" s="391">
        <v>17462.41</v>
      </c>
      <c r="E55" s="391">
        <v>18590.79</v>
      </c>
      <c r="F55" s="212"/>
      <c r="G55" s="212"/>
      <c r="H55" s="212"/>
      <c r="I55" s="212"/>
      <c r="J55" s="212"/>
      <c r="K55" s="212"/>
      <c r="L55" s="212"/>
      <c r="M55" s="390">
        <f t="shared" si="10"/>
        <v>0</v>
      </c>
      <c r="N55" s="411">
        <f t="shared" si="11"/>
        <v>0</v>
      </c>
      <c r="O55" s="386">
        <f t="shared" si="12"/>
        <v>0</v>
      </c>
      <c r="P55" s="392" t="str">
        <f>IF(M55+N55&lt;&gt;0,IF(M55&lt;&gt;0,IF(O55&lt;&gt;0,ROUND((+O55/M55),4),""),1),"")</f>
        <v/>
      </c>
      <c r="Q55" s="385" t="s">
        <v>2202</v>
      </c>
      <c r="R55" s="572"/>
      <c r="S55" s="386"/>
      <c r="T55" s="23"/>
      <c r="U55" s="25"/>
      <c r="V55" s="25"/>
      <c r="W55" s="25"/>
    </row>
    <row r="56" spans="1:23" x14ac:dyDescent="0.2">
      <c r="A56" s="795">
        <v>5113</v>
      </c>
      <c r="B56" s="387" t="s">
        <v>981</v>
      </c>
      <c r="C56" s="393"/>
      <c r="D56" s="393"/>
      <c r="E56" s="393"/>
      <c r="F56" s="212"/>
      <c r="G56" s="212"/>
      <c r="H56" s="212"/>
      <c r="I56" s="212"/>
      <c r="J56" s="212"/>
      <c r="K56" s="212"/>
      <c r="L56" s="212"/>
      <c r="M56" s="390">
        <f t="shared" si="10"/>
        <v>0</v>
      </c>
      <c r="N56" s="411">
        <f t="shared" si="11"/>
        <v>0</v>
      </c>
      <c r="O56" s="386">
        <f t="shared" si="12"/>
        <v>0</v>
      </c>
      <c r="P56" s="392" t="str">
        <f>IF(M56+N56&lt;&gt;0,IF(M56&lt;&gt;0,IF(O56&lt;&gt;0,ROUND((+O56/M56),4),""),1),"")</f>
        <v/>
      </c>
      <c r="Q56" s="385"/>
      <c r="R56" s="572"/>
      <c r="S56" s="386"/>
      <c r="T56" s="23"/>
      <c r="U56" s="25"/>
      <c r="V56" s="25"/>
      <c r="W56" s="25"/>
    </row>
    <row r="57" spans="1:23" ht="13.5" thickBot="1" x14ac:dyDescent="0.25">
      <c r="A57" s="795">
        <v>5144</v>
      </c>
      <c r="B57" s="387" t="s">
        <v>27</v>
      </c>
      <c r="C57" s="389">
        <v>200</v>
      </c>
      <c r="D57" s="389">
        <v>850</v>
      </c>
      <c r="E57" s="389">
        <v>850</v>
      </c>
      <c r="F57" s="212"/>
      <c r="G57" s="212"/>
      <c r="H57" s="212"/>
      <c r="I57" s="212"/>
      <c r="J57" s="212"/>
      <c r="K57" s="212"/>
      <c r="L57" s="212"/>
      <c r="M57" s="390">
        <f t="shared" si="10"/>
        <v>1400</v>
      </c>
      <c r="N57" s="411">
        <f t="shared" si="11"/>
        <v>1500</v>
      </c>
      <c r="O57" s="386">
        <f t="shared" si="12"/>
        <v>100</v>
      </c>
      <c r="P57" s="392">
        <f>IF(M57+N57&lt;&gt;0,IF(M57&lt;&gt;0,IF(O57&lt;&gt;0,ROUND((+O57/M57),4),""),1),"")</f>
        <v>7.1400000000000005E-2</v>
      </c>
      <c r="Q57" s="385"/>
      <c r="R57" s="572"/>
      <c r="S57" s="386"/>
      <c r="T57" s="23"/>
      <c r="U57" s="25"/>
      <c r="V57" s="25"/>
      <c r="W57" s="25"/>
    </row>
    <row r="58" spans="1:23" x14ac:dyDescent="0.2">
      <c r="A58" s="795">
        <v>5145</v>
      </c>
      <c r="B58" s="415" t="s">
        <v>855</v>
      </c>
      <c r="C58" s="393"/>
      <c r="D58" s="393"/>
      <c r="E58" s="393"/>
      <c r="F58" s="212"/>
      <c r="G58" s="212"/>
      <c r="H58" s="212"/>
      <c r="I58" s="212"/>
      <c r="J58" s="212"/>
      <c r="K58" s="212"/>
      <c r="L58" s="212"/>
      <c r="M58" s="390">
        <f t="shared" si="10"/>
        <v>300</v>
      </c>
      <c r="N58" s="411">
        <f t="shared" si="11"/>
        <v>300</v>
      </c>
      <c r="O58" s="386">
        <f t="shared" si="12"/>
        <v>0</v>
      </c>
      <c r="P58" s="392"/>
      <c r="Q58" s="385"/>
      <c r="R58" s="572"/>
      <c r="S58" s="386"/>
      <c r="T58" s="23"/>
      <c r="U58" s="25"/>
      <c r="V58" s="25"/>
      <c r="W58" s="25"/>
    </row>
    <row r="59" spans="1:23" x14ac:dyDescent="0.2">
      <c r="A59" s="797">
        <v>5193</v>
      </c>
      <c r="B59" s="418" t="s">
        <v>941</v>
      </c>
      <c r="C59" s="393"/>
      <c r="D59" s="393"/>
      <c r="E59" s="393"/>
      <c r="F59" s="212"/>
      <c r="G59" s="212"/>
      <c r="H59" s="212"/>
      <c r="I59" s="212"/>
      <c r="J59" s="212"/>
      <c r="K59" s="212"/>
      <c r="L59" s="212"/>
      <c r="M59" s="390">
        <f t="shared" si="10"/>
        <v>0</v>
      </c>
      <c r="N59" s="411">
        <f t="shared" si="11"/>
        <v>0</v>
      </c>
      <c r="O59" s="386">
        <f t="shared" si="12"/>
        <v>0</v>
      </c>
      <c r="P59" s="392"/>
      <c r="Q59" s="385"/>
      <c r="R59" s="572"/>
      <c r="S59" s="386"/>
      <c r="T59" s="23"/>
      <c r="U59" s="25"/>
      <c r="V59" s="25"/>
      <c r="W59" s="25"/>
    </row>
    <row r="60" spans="1:23" x14ac:dyDescent="0.2">
      <c r="A60" s="795">
        <v>5194</v>
      </c>
      <c r="B60" s="415" t="s">
        <v>942</v>
      </c>
      <c r="C60" s="393"/>
      <c r="D60" s="393"/>
      <c r="E60" s="393"/>
      <c r="F60" s="212"/>
      <c r="G60" s="212"/>
      <c r="H60" s="212"/>
      <c r="I60" s="212"/>
      <c r="J60" s="212"/>
      <c r="K60" s="212"/>
      <c r="L60" s="212"/>
      <c r="M60" s="390">
        <f t="shared" si="10"/>
        <v>0</v>
      </c>
      <c r="N60" s="411">
        <f t="shared" si="11"/>
        <v>0</v>
      </c>
      <c r="O60" s="386">
        <f t="shared" si="12"/>
        <v>0</v>
      </c>
      <c r="P60" s="392"/>
      <c r="Q60" s="385"/>
      <c r="R60" s="572"/>
      <c r="S60" s="386"/>
      <c r="T60" s="23"/>
      <c r="U60" s="25"/>
      <c r="V60" s="25"/>
      <c r="W60" s="25"/>
    </row>
    <row r="61" spans="1:23" hidden="1" x14ac:dyDescent="0.2">
      <c r="A61" s="795">
        <v>5305</v>
      </c>
      <c r="B61" s="387" t="s">
        <v>895</v>
      </c>
      <c r="C61" s="391"/>
      <c r="D61" s="391">
        <v>0</v>
      </c>
      <c r="E61" s="391"/>
      <c r="F61" s="212"/>
      <c r="G61" s="212"/>
      <c r="H61" s="212"/>
      <c r="I61" s="212"/>
      <c r="J61" s="212"/>
      <c r="K61" s="212"/>
      <c r="L61" s="212"/>
      <c r="M61" s="384">
        <f>+K18</f>
        <v>0</v>
      </c>
      <c r="N61" s="411">
        <f t="shared" ref="N61:N73" si="13">+Q18</f>
        <v>0</v>
      </c>
      <c r="O61" s="386">
        <f t="shared" si="12"/>
        <v>0</v>
      </c>
      <c r="P61" s="392" t="str">
        <f t="shared" ref="P61:P73" si="14">IF(M61+N61&lt;&gt;0,IF(M61&lt;&gt;0,IF(O61&lt;&gt;0,ROUND((+O61/M61),4),""),1),"")</f>
        <v/>
      </c>
      <c r="Q61" s="385"/>
      <c r="R61" s="572"/>
      <c r="S61" s="386"/>
      <c r="T61" s="23"/>
      <c r="U61" s="25"/>
      <c r="V61" s="25"/>
      <c r="W61" s="25"/>
    </row>
    <row r="62" spans="1:23" x14ac:dyDescent="0.2">
      <c r="A62" s="795">
        <v>5306</v>
      </c>
      <c r="B62" s="387" t="s">
        <v>982</v>
      </c>
      <c r="C62" s="391">
        <v>4620</v>
      </c>
      <c r="D62" s="391">
        <v>4620</v>
      </c>
      <c r="E62" s="391">
        <v>5451</v>
      </c>
      <c r="F62" s="212"/>
      <c r="G62" s="212"/>
      <c r="H62" s="212"/>
      <c r="I62" s="212"/>
      <c r="J62" s="212"/>
      <c r="K62" s="212"/>
      <c r="L62" s="212"/>
      <c r="M62" s="384">
        <f t="shared" ref="M62:M73" si="15">+O19</f>
        <v>6200</v>
      </c>
      <c r="N62" s="411">
        <f t="shared" si="13"/>
        <v>6200</v>
      </c>
      <c r="O62" s="386">
        <f t="shared" si="12"/>
        <v>0</v>
      </c>
      <c r="P62" s="392" t="str">
        <f t="shared" si="14"/>
        <v/>
      </c>
      <c r="Q62" s="385"/>
      <c r="R62" s="572"/>
      <c r="S62" s="386"/>
      <c r="T62" s="23"/>
      <c r="U62" s="25"/>
      <c r="V62" s="25"/>
      <c r="W62" s="25"/>
    </row>
    <row r="63" spans="1:23" x14ac:dyDescent="0.2">
      <c r="A63" s="795">
        <v>5314</v>
      </c>
      <c r="B63" s="387" t="s">
        <v>860</v>
      </c>
      <c r="C63" s="391"/>
      <c r="D63" s="391">
        <v>110</v>
      </c>
      <c r="E63" s="391"/>
      <c r="F63" s="212"/>
      <c r="G63" s="212"/>
      <c r="H63" s="212"/>
      <c r="I63" s="212"/>
      <c r="J63" s="212"/>
      <c r="K63" s="212"/>
      <c r="L63" s="212"/>
      <c r="M63" s="384">
        <f t="shared" si="15"/>
        <v>200</v>
      </c>
      <c r="N63" s="411">
        <f t="shared" si="13"/>
        <v>200</v>
      </c>
      <c r="O63" s="386">
        <f t="shared" si="12"/>
        <v>0</v>
      </c>
      <c r="P63" s="392" t="str">
        <f t="shared" si="14"/>
        <v/>
      </c>
      <c r="Q63" s="385"/>
      <c r="R63" s="572"/>
      <c r="S63" s="386"/>
      <c r="T63" s="23"/>
      <c r="U63" s="4"/>
      <c r="V63" s="4"/>
      <c r="W63" s="4"/>
    </row>
    <row r="64" spans="1:23" x14ac:dyDescent="0.2">
      <c r="A64" s="795">
        <v>5315</v>
      </c>
      <c r="B64" s="387" t="s">
        <v>983</v>
      </c>
      <c r="C64" s="391"/>
      <c r="D64" s="391"/>
      <c r="E64" s="391"/>
      <c r="F64" s="212"/>
      <c r="G64" s="212"/>
      <c r="H64" s="212"/>
      <c r="I64" s="212"/>
      <c r="J64" s="212"/>
      <c r="K64" s="212"/>
      <c r="L64" s="212"/>
      <c r="M64" s="384">
        <f t="shared" si="15"/>
        <v>2200</v>
      </c>
      <c r="N64" s="411">
        <f t="shared" si="13"/>
        <v>2600</v>
      </c>
      <c r="O64" s="386">
        <f t="shared" si="12"/>
        <v>400</v>
      </c>
      <c r="P64" s="392">
        <f t="shared" si="14"/>
        <v>0.18179999999999999</v>
      </c>
      <c r="Q64" s="385" t="s">
        <v>2203</v>
      </c>
      <c r="R64" s="572"/>
      <c r="S64" s="386"/>
      <c r="T64" s="23"/>
      <c r="U64" s="4"/>
      <c r="V64" s="4"/>
      <c r="W64" s="4"/>
    </row>
    <row r="65" spans="1:23" hidden="1" x14ac:dyDescent="0.2">
      <c r="A65" s="795">
        <v>5341</v>
      </c>
      <c r="B65" s="387" t="s">
        <v>862</v>
      </c>
      <c r="C65" s="391">
        <v>425.78</v>
      </c>
      <c r="D65" s="391">
        <v>415.92</v>
      </c>
      <c r="E65" s="391">
        <v>414.96</v>
      </c>
      <c r="F65" s="212"/>
      <c r="G65" s="212"/>
      <c r="H65" s="212"/>
      <c r="I65" s="212"/>
      <c r="J65" s="212"/>
      <c r="K65" s="212"/>
      <c r="L65" s="212"/>
      <c r="M65" s="384">
        <f t="shared" si="15"/>
        <v>0</v>
      </c>
      <c r="N65" s="411">
        <f t="shared" si="13"/>
        <v>0</v>
      </c>
      <c r="O65" s="386">
        <f t="shared" si="12"/>
        <v>0</v>
      </c>
      <c r="P65" s="392" t="str">
        <f t="shared" si="14"/>
        <v/>
      </c>
      <c r="Q65" s="385"/>
      <c r="R65" s="572"/>
      <c r="S65" s="386"/>
      <c r="T65" s="23"/>
      <c r="U65" s="4"/>
      <c r="V65" s="4"/>
      <c r="W65" s="4"/>
    </row>
    <row r="66" spans="1:23" x14ac:dyDescent="0.2">
      <c r="A66" s="795">
        <v>5344</v>
      </c>
      <c r="B66" s="387" t="s">
        <v>832</v>
      </c>
      <c r="C66" s="391">
        <v>12123.38</v>
      </c>
      <c r="D66" s="391">
        <v>12087.96</v>
      </c>
      <c r="E66" s="391">
        <v>13215.57</v>
      </c>
      <c r="F66" s="212"/>
      <c r="G66" s="212"/>
      <c r="H66" s="212"/>
      <c r="I66" s="212"/>
      <c r="J66" s="212"/>
      <c r="K66" s="212"/>
      <c r="L66" s="212"/>
      <c r="M66" s="384">
        <f t="shared" si="15"/>
        <v>15000</v>
      </c>
      <c r="N66" s="411">
        <f t="shared" si="13"/>
        <v>16000</v>
      </c>
      <c r="O66" s="386">
        <f t="shared" si="12"/>
        <v>1000</v>
      </c>
      <c r="P66" s="392">
        <f t="shared" si="14"/>
        <v>6.6699999999999995E-2</v>
      </c>
      <c r="Q66" s="385" t="s">
        <v>2204</v>
      </c>
      <c r="R66" s="572"/>
      <c r="S66" s="386"/>
      <c r="T66" s="23"/>
      <c r="U66" s="4"/>
      <c r="V66" s="4"/>
      <c r="W66" s="4"/>
    </row>
    <row r="67" spans="1:23" x14ac:dyDescent="0.2">
      <c r="A67" s="795">
        <v>5345</v>
      </c>
      <c r="B67" s="387" t="s">
        <v>863</v>
      </c>
      <c r="C67" s="383"/>
      <c r="D67" s="383"/>
      <c r="E67" s="383"/>
      <c r="F67" s="212"/>
      <c r="G67" s="212"/>
      <c r="H67" s="212"/>
      <c r="I67" s="212"/>
      <c r="J67" s="212"/>
      <c r="K67" s="212"/>
      <c r="L67" s="212"/>
      <c r="M67" s="384">
        <f t="shared" si="15"/>
        <v>0</v>
      </c>
      <c r="N67" s="411">
        <f t="shared" si="13"/>
        <v>0</v>
      </c>
      <c r="O67" s="386">
        <f t="shared" si="12"/>
        <v>0</v>
      </c>
      <c r="P67" s="392" t="str">
        <f t="shared" si="14"/>
        <v/>
      </c>
      <c r="Q67" s="385"/>
      <c r="R67" s="572"/>
      <c r="S67" s="386"/>
      <c r="T67" s="23"/>
      <c r="U67" s="4"/>
      <c r="V67" s="4"/>
      <c r="W67" s="4"/>
    </row>
    <row r="68" spans="1:23" x14ac:dyDescent="0.2">
      <c r="A68" s="795">
        <v>5420</v>
      </c>
      <c r="B68" s="387" t="s">
        <v>864</v>
      </c>
      <c r="C68" s="383">
        <v>4414.04</v>
      </c>
      <c r="D68" s="383">
        <v>6221.32</v>
      </c>
      <c r="E68" s="383">
        <v>3872.38</v>
      </c>
      <c r="F68" s="212"/>
      <c r="G68" s="212"/>
      <c r="H68" s="212"/>
      <c r="I68" s="212"/>
      <c r="J68" s="212"/>
      <c r="K68" s="212"/>
      <c r="L68" s="212"/>
      <c r="M68" s="384">
        <f t="shared" si="15"/>
        <v>7000</v>
      </c>
      <c r="N68" s="411">
        <f t="shared" si="13"/>
        <v>8000</v>
      </c>
      <c r="O68" s="386">
        <f t="shared" si="12"/>
        <v>1000</v>
      </c>
      <c r="P68" s="392">
        <f t="shared" si="14"/>
        <v>0.1429</v>
      </c>
      <c r="Q68" s="385" t="s">
        <v>2205</v>
      </c>
      <c r="R68" s="572"/>
      <c r="S68" s="386"/>
      <c r="T68" s="23"/>
      <c r="U68" s="4"/>
      <c r="V68" s="4"/>
      <c r="W68" s="4"/>
    </row>
    <row r="69" spans="1:23" x14ac:dyDescent="0.2">
      <c r="A69" s="795">
        <v>5590</v>
      </c>
      <c r="B69" s="387" t="s">
        <v>868</v>
      </c>
      <c r="C69" s="383"/>
      <c r="D69" s="383"/>
      <c r="E69" s="383"/>
      <c r="F69" s="212"/>
      <c r="G69" s="212"/>
      <c r="H69" s="212"/>
      <c r="I69" s="212"/>
      <c r="J69" s="212"/>
      <c r="K69" s="212"/>
      <c r="L69" s="212"/>
      <c r="M69" s="384">
        <f t="shared" si="15"/>
        <v>0</v>
      </c>
      <c r="N69" s="411">
        <f t="shared" si="13"/>
        <v>0</v>
      </c>
      <c r="O69" s="386">
        <f t="shared" si="12"/>
        <v>0</v>
      </c>
      <c r="P69" s="392" t="str">
        <f t="shared" si="14"/>
        <v/>
      </c>
      <c r="Q69" s="385" t="s">
        <v>2206</v>
      </c>
      <c r="R69" s="572"/>
      <c r="S69" s="386"/>
      <c r="T69" s="23"/>
      <c r="U69" s="4"/>
      <c r="V69" s="4"/>
      <c r="W69" s="4"/>
    </row>
    <row r="70" spans="1:23" x14ac:dyDescent="0.2">
      <c r="A70" s="795">
        <v>5710</v>
      </c>
      <c r="B70" s="387" t="s">
        <v>869</v>
      </c>
      <c r="C70" s="383">
        <v>916.62</v>
      </c>
      <c r="D70" s="383">
        <v>1018.29</v>
      </c>
      <c r="E70" s="383">
        <v>763.19</v>
      </c>
      <c r="F70" s="212"/>
      <c r="G70" s="212"/>
      <c r="H70" s="212"/>
      <c r="I70" s="212"/>
      <c r="J70" s="212"/>
      <c r="K70" s="212"/>
      <c r="L70" s="212"/>
      <c r="M70" s="384">
        <f t="shared" si="15"/>
        <v>600</v>
      </c>
      <c r="N70" s="411">
        <f t="shared" si="13"/>
        <v>600</v>
      </c>
      <c r="O70" s="386">
        <f t="shared" si="12"/>
        <v>0</v>
      </c>
      <c r="P70" s="392" t="str">
        <f t="shared" si="14"/>
        <v/>
      </c>
      <c r="Q70" s="385"/>
      <c r="R70" s="572"/>
      <c r="S70" s="386"/>
      <c r="T70" s="23"/>
      <c r="U70" s="4"/>
      <c r="V70" s="4"/>
      <c r="W70" s="4"/>
    </row>
    <row r="71" spans="1:23" x14ac:dyDescent="0.2">
      <c r="A71" s="795">
        <v>5730</v>
      </c>
      <c r="B71" s="387" t="s">
        <v>870</v>
      </c>
      <c r="C71" s="391">
        <v>100</v>
      </c>
      <c r="D71" s="391">
        <v>100</v>
      </c>
      <c r="E71" s="391">
        <v>60</v>
      </c>
      <c r="F71" s="212"/>
      <c r="G71" s="212"/>
      <c r="H71" s="212"/>
      <c r="I71" s="212"/>
      <c r="J71" s="212"/>
      <c r="K71" s="212"/>
      <c r="L71" s="212"/>
      <c r="M71" s="384">
        <f t="shared" si="15"/>
        <v>120</v>
      </c>
      <c r="N71" s="411">
        <f t="shared" si="13"/>
        <v>120</v>
      </c>
      <c r="O71" s="386">
        <f t="shared" si="12"/>
        <v>0</v>
      </c>
      <c r="P71" s="392" t="str">
        <f t="shared" si="14"/>
        <v/>
      </c>
      <c r="Q71" s="385"/>
      <c r="R71" s="572"/>
      <c r="S71" s="386"/>
      <c r="T71" s="23"/>
      <c r="U71" s="4"/>
      <c r="V71" s="4"/>
      <c r="W71" s="4"/>
    </row>
    <row r="72" spans="1:23" x14ac:dyDescent="0.2">
      <c r="A72" s="795">
        <v>5740</v>
      </c>
      <c r="B72" s="387" t="s">
        <v>984</v>
      </c>
      <c r="C72" s="391">
        <v>2197.5</v>
      </c>
      <c r="D72" s="391">
        <v>2197.5</v>
      </c>
      <c r="E72" s="391">
        <v>2197.5</v>
      </c>
      <c r="F72" s="212"/>
      <c r="G72" s="212"/>
      <c r="H72" s="212"/>
      <c r="I72" s="212"/>
      <c r="J72" s="212"/>
      <c r="K72" s="212"/>
      <c r="L72" s="212"/>
      <c r="M72" s="384">
        <f t="shared" si="15"/>
        <v>3150</v>
      </c>
      <c r="N72" s="411">
        <f t="shared" si="13"/>
        <v>3150</v>
      </c>
      <c r="O72" s="386">
        <f t="shared" si="12"/>
        <v>0</v>
      </c>
      <c r="P72" s="392" t="str">
        <f t="shared" si="14"/>
        <v/>
      </c>
      <c r="Q72" s="385"/>
      <c r="R72" s="572"/>
      <c r="S72" s="386"/>
      <c r="T72" s="23"/>
      <c r="U72" s="4"/>
      <c r="V72" s="4"/>
      <c r="W72" s="4"/>
    </row>
    <row r="73" spans="1:23" ht="13.5" thickBot="1" x14ac:dyDescent="0.25">
      <c r="A73" s="795">
        <v>5781</v>
      </c>
      <c r="B73" s="387" t="s">
        <v>985</v>
      </c>
      <c r="C73" s="389">
        <v>18473.189999999999</v>
      </c>
      <c r="D73" s="389">
        <v>15994.06</v>
      </c>
      <c r="E73" s="389">
        <v>21530.9</v>
      </c>
      <c r="F73" s="212"/>
      <c r="G73" s="212"/>
      <c r="H73" s="212"/>
      <c r="I73" s="212"/>
      <c r="J73" s="212"/>
      <c r="K73" s="212"/>
      <c r="L73" s="212"/>
      <c r="M73" s="384">
        <f t="shared" si="15"/>
        <v>23000</v>
      </c>
      <c r="N73" s="411">
        <f t="shared" si="13"/>
        <v>23000</v>
      </c>
      <c r="O73" s="386">
        <f t="shared" si="12"/>
        <v>0</v>
      </c>
      <c r="P73" s="392" t="str">
        <f t="shared" si="14"/>
        <v/>
      </c>
      <c r="Q73" s="385"/>
      <c r="R73" s="572"/>
      <c r="S73" s="386"/>
      <c r="T73" s="23"/>
      <c r="U73" s="4"/>
      <c r="V73" s="4"/>
      <c r="W73" s="4"/>
    </row>
    <row r="74" spans="1:23" x14ac:dyDescent="0.2">
      <c r="A74" s="774"/>
      <c r="B74" s="4"/>
      <c r="C74" s="23"/>
      <c r="D74" s="23"/>
      <c r="E74" s="23"/>
      <c r="F74" s="23"/>
      <c r="G74" s="23"/>
      <c r="H74" s="212"/>
      <c r="I74" s="212"/>
      <c r="J74" s="212"/>
      <c r="K74" s="212"/>
      <c r="L74" s="212"/>
      <c r="M74" s="23"/>
      <c r="N74" s="23"/>
      <c r="O74" s="23"/>
      <c r="P74" s="4"/>
      <c r="Q74" s="23"/>
      <c r="R74" s="23"/>
      <c r="S74" s="23"/>
      <c r="T74" s="23"/>
      <c r="U74" s="4"/>
      <c r="V74" s="4"/>
      <c r="W74" s="4"/>
    </row>
    <row r="75" spans="1:23" x14ac:dyDescent="0.2">
      <c r="A75" s="774"/>
      <c r="B75" s="4" t="s">
        <v>846</v>
      </c>
      <c r="C75" s="23"/>
      <c r="D75" s="23"/>
      <c r="E75" s="23"/>
      <c r="F75" s="23"/>
      <c r="G75" s="23"/>
      <c r="H75" s="212"/>
      <c r="I75" s="212"/>
      <c r="J75" s="212"/>
      <c r="K75" s="212"/>
      <c r="L75" s="212"/>
      <c r="M75" s="616">
        <f>SUM(M54:M73)</f>
        <v>220713</v>
      </c>
      <c r="N75" s="616">
        <f>SUM(N54:N73)</f>
        <v>230748.2</v>
      </c>
      <c r="O75" s="25">
        <f>+N75-M75</f>
        <v>10035.200000000012</v>
      </c>
      <c r="P75" s="617">
        <f>IF(M75+N75&lt;&gt;0,IF(M75&lt;&gt;0,IF(O75&lt;&gt;0,ROUND((+O75/M75),4),""),1),"")</f>
        <v>4.5499999999999999E-2</v>
      </c>
      <c r="Q75" s="23"/>
      <c r="R75" s="23"/>
      <c r="S75" s="23"/>
      <c r="T75" s="23"/>
      <c r="U75" s="4"/>
      <c r="V75" s="4"/>
      <c r="W75" s="4"/>
    </row>
    <row r="76" spans="1:23" ht="15.75" x14ac:dyDescent="0.2">
      <c r="A76" s="821" t="s">
        <v>994</v>
      </c>
      <c r="B76" s="4"/>
      <c r="C76" s="23"/>
      <c r="D76" s="23"/>
      <c r="E76" s="23"/>
      <c r="F76" s="23"/>
      <c r="G76" s="23"/>
      <c r="H76" s="23"/>
      <c r="I76" s="23"/>
      <c r="J76" s="23"/>
      <c r="K76" s="23"/>
      <c r="L76" s="23"/>
      <c r="M76" s="23"/>
      <c r="N76" s="23"/>
      <c r="O76" s="23"/>
      <c r="P76" s="4"/>
      <c r="Q76" s="23"/>
      <c r="R76" s="23"/>
      <c r="S76" s="23"/>
      <c r="T76" s="23"/>
      <c r="U76" s="4"/>
      <c r="V76" s="4"/>
      <c r="W76" s="4"/>
    </row>
    <row r="77" spans="1:23" x14ac:dyDescent="0.2">
      <c r="A77" s="774"/>
      <c r="B77" s="4"/>
      <c r="C77" s="23"/>
      <c r="D77" s="23"/>
      <c r="E77" s="23"/>
      <c r="F77" s="23"/>
      <c r="G77" s="23"/>
      <c r="H77" s="23"/>
      <c r="I77" s="23"/>
      <c r="J77" s="23"/>
      <c r="K77" s="23"/>
      <c r="L77" s="23"/>
      <c r="M77" s="23"/>
      <c r="N77" s="23"/>
      <c r="O77" s="23"/>
      <c r="P77" s="4"/>
      <c r="Q77" s="23"/>
      <c r="R77" s="23"/>
      <c r="S77" s="23"/>
      <c r="T77" s="23"/>
      <c r="U77" s="4"/>
      <c r="V77" s="4"/>
      <c r="W77" s="4"/>
    </row>
    <row r="78" spans="1:23" x14ac:dyDescent="0.2">
      <c r="A78" s="774"/>
      <c r="B78" s="4"/>
      <c r="C78" s="23"/>
      <c r="D78" s="23"/>
      <c r="E78" s="23"/>
      <c r="F78" s="23"/>
      <c r="G78" s="23"/>
      <c r="H78" s="23"/>
      <c r="I78" s="23"/>
      <c r="J78" s="23"/>
      <c r="K78" s="23"/>
      <c r="L78" s="23"/>
      <c r="M78" s="23"/>
      <c r="N78" s="23"/>
      <c r="O78" s="23"/>
      <c r="P78" s="4"/>
      <c r="Q78" s="23"/>
      <c r="R78" s="23"/>
      <c r="S78" s="23"/>
      <c r="T78" s="23"/>
      <c r="U78" s="4"/>
      <c r="V78" s="4"/>
      <c r="W78" s="4"/>
    </row>
    <row r="79" spans="1:23" x14ac:dyDescent="0.2">
      <c r="A79" s="774"/>
      <c r="B79" s="4"/>
      <c r="C79" s="23"/>
      <c r="D79" s="23"/>
      <c r="E79" s="23"/>
      <c r="F79" s="23"/>
      <c r="G79" s="23"/>
      <c r="H79" s="23"/>
      <c r="I79" s="23"/>
      <c r="J79" s="23"/>
      <c r="K79" s="23"/>
      <c r="L79" s="23"/>
      <c r="M79" s="23"/>
      <c r="N79" s="23"/>
      <c r="O79" s="23"/>
      <c r="P79" s="4"/>
      <c r="Q79" s="23"/>
      <c r="R79" s="23"/>
      <c r="S79" s="23"/>
      <c r="T79" s="23"/>
      <c r="U79" s="4"/>
      <c r="V79" s="4"/>
      <c r="W79" s="4"/>
    </row>
    <row r="80" spans="1:23" x14ac:dyDescent="0.2">
      <c r="A80" s="774"/>
      <c r="B80" s="4"/>
      <c r="C80" s="23"/>
      <c r="D80" s="23"/>
      <c r="E80" s="23"/>
      <c r="F80" s="23"/>
      <c r="G80" s="23"/>
      <c r="H80" s="23"/>
      <c r="I80" s="23"/>
      <c r="J80" s="23"/>
      <c r="K80" s="23"/>
      <c r="L80" s="23"/>
      <c r="M80" s="23"/>
      <c r="N80" s="23"/>
      <c r="O80" s="23"/>
      <c r="P80" s="4"/>
      <c r="Q80" s="23"/>
      <c r="R80" s="23"/>
      <c r="S80" s="23"/>
      <c r="T80" s="23"/>
      <c r="U80" s="4"/>
      <c r="V80" s="4"/>
      <c r="W80" s="4"/>
    </row>
    <row r="81" spans="3:3" x14ac:dyDescent="0.2">
      <c r="C81" s="212"/>
    </row>
    <row r="82" spans="3:3" x14ac:dyDescent="0.2">
      <c r="C82" s="212"/>
    </row>
    <row r="83" spans="3:3" x14ac:dyDescent="0.2">
      <c r="C83" s="212"/>
    </row>
    <row r="84" spans="3:3" x14ac:dyDescent="0.2">
      <c r="C84" s="212"/>
    </row>
    <row r="85" spans="3:3" x14ac:dyDescent="0.2">
      <c r="C85" s="212"/>
    </row>
    <row r="86" spans="3:3" x14ac:dyDescent="0.2">
      <c r="C86" s="212"/>
    </row>
    <row r="87" spans="3:3" x14ac:dyDescent="0.2">
      <c r="C87" s="212"/>
    </row>
    <row r="88" spans="3:3" x14ac:dyDescent="0.2">
      <c r="C88" s="212"/>
    </row>
    <row r="89" spans="3:3" x14ac:dyDescent="0.2">
      <c r="C89" s="212"/>
    </row>
    <row r="90" spans="3:3" x14ac:dyDescent="0.2">
      <c r="C90" s="212"/>
    </row>
    <row r="91" spans="3:3" x14ac:dyDescent="0.2">
      <c r="C91" s="212"/>
    </row>
    <row r="92" spans="3:3" x14ac:dyDescent="0.2">
      <c r="C92" s="212"/>
    </row>
    <row r="93" spans="3:3" x14ac:dyDescent="0.2">
      <c r="C93" s="212"/>
    </row>
    <row r="94" spans="3:3" x14ac:dyDescent="0.2">
      <c r="C94" s="212"/>
    </row>
    <row r="95" spans="3:3" x14ac:dyDescent="0.2">
      <c r="C95" s="212"/>
    </row>
    <row r="96" spans="3:3" x14ac:dyDescent="0.2">
      <c r="C96" s="212"/>
    </row>
    <row r="97" spans="3:3" x14ac:dyDescent="0.2">
      <c r="C97" s="212"/>
    </row>
    <row r="98" spans="3:3" x14ac:dyDescent="0.2">
      <c r="C98" s="212"/>
    </row>
    <row r="99" spans="3:3" x14ac:dyDescent="0.2">
      <c r="C99" s="212"/>
    </row>
    <row r="100" spans="3:3" x14ac:dyDescent="0.2">
      <c r="C100" s="212"/>
    </row>
    <row r="101" spans="3:3" x14ac:dyDescent="0.2">
      <c r="C101" s="212"/>
    </row>
    <row r="102" spans="3:3" x14ac:dyDescent="0.2">
      <c r="C102" s="212"/>
    </row>
    <row r="103" spans="3:3" x14ac:dyDescent="0.2">
      <c r="C103" s="212"/>
    </row>
    <row r="104" spans="3:3" x14ac:dyDescent="0.2">
      <c r="C104" s="212"/>
    </row>
    <row r="105" spans="3:3" x14ac:dyDescent="0.2">
      <c r="C105" s="212"/>
    </row>
    <row r="106" spans="3:3" x14ac:dyDescent="0.2">
      <c r="C106" s="212"/>
    </row>
    <row r="107" spans="3:3" x14ac:dyDescent="0.2">
      <c r="C107" s="212"/>
    </row>
    <row r="108" spans="3:3" x14ac:dyDescent="0.2">
      <c r="C108" s="212"/>
    </row>
    <row r="109" spans="3:3" x14ac:dyDescent="0.2">
      <c r="C109" s="212"/>
    </row>
    <row r="110" spans="3:3" x14ac:dyDescent="0.2">
      <c r="C110" s="212"/>
    </row>
    <row r="111" spans="3:3" x14ac:dyDescent="0.2">
      <c r="C111" s="212"/>
    </row>
    <row r="112" spans="3:3" x14ac:dyDescent="0.2">
      <c r="C112" s="212"/>
    </row>
    <row r="113" spans="3:3" x14ac:dyDescent="0.2">
      <c r="C113" s="212"/>
    </row>
    <row r="114" spans="3:3" x14ac:dyDescent="0.2">
      <c r="C114" s="212"/>
    </row>
    <row r="115" spans="3:3" x14ac:dyDescent="0.2">
      <c r="C115" s="212"/>
    </row>
    <row r="116" spans="3:3" x14ac:dyDescent="0.2">
      <c r="C116" s="212"/>
    </row>
    <row r="117" spans="3:3" x14ac:dyDescent="0.2">
      <c r="C117" s="212"/>
    </row>
    <row r="118" spans="3:3" x14ac:dyDescent="0.2">
      <c r="C118" s="212"/>
    </row>
    <row r="119" spans="3:3" x14ac:dyDescent="0.2">
      <c r="C119" s="212"/>
    </row>
    <row r="120" spans="3:3" x14ac:dyDescent="0.2">
      <c r="C120" s="212"/>
    </row>
    <row r="121" spans="3:3" x14ac:dyDescent="0.2">
      <c r="C121" s="212"/>
    </row>
    <row r="122" spans="3:3" x14ac:dyDescent="0.2">
      <c r="C122" s="212"/>
    </row>
    <row r="123" spans="3:3" x14ac:dyDescent="0.2">
      <c r="C123" s="212"/>
    </row>
    <row r="124" spans="3:3" x14ac:dyDescent="0.2">
      <c r="C124" s="212"/>
    </row>
    <row r="125" spans="3:3" x14ac:dyDescent="0.2">
      <c r="C125" s="212"/>
    </row>
    <row r="126" spans="3:3" x14ac:dyDescent="0.2">
      <c r="C126" s="212"/>
    </row>
    <row r="127" spans="3:3" x14ac:dyDescent="0.2">
      <c r="C127" s="212"/>
    </row>
    <row r="128" spans="3:3" x14ac:dyDescent="0.2">
      <c r="C128" s="212"/>
    </row>
    <row r="129" spans="3:3" x14ac:dyDescent="0.2">
      <c r="C129" s="212"/>
    </row>
    <row r="130" spans="3:3" x14ac:dyDescent="0.2">
      <c r="C130" s="212"/>
    </row>
    <row r="131" spans="3:3" x14ac:dyDescent="0.2">
      <c r="C131" s="212"/>
    </row>
    <row r="132" spans="3:3" x14ac:dyDescent="0.2">
      <c r="C132" s="212"/>
    </row>
  </sheetData>
  <phoneticPr fontId="0" type="noConversion"/>
  <hyperlinks>
    <hyperlink ref="A1" location="'Working Budget with funding det'!A1" display="Main " xr:uid="{00000000-0004-0000-1000-000000000000}"/>
    <hyperlink ref="B1" location="'Table of Contents'!A1" display="TOC" xr:uid="{00000000-0004-0000-1000-000001000000}"/>
  </hyperlinks>
  <pageMargins left="0.75" right="0.75" top="1" bottom="1" header="0.5" footer="0.5"/>
  <pageSetup scale="90" fitToHeight="2" orientation="landscape" r:id="rId1"/>
  <headerFooter alignWithMargins="0">
    <oddFooter>&amp;L&amp;D     &amp;T&amp;C&amp;F&amp;R&amp;A   &amp;P</oddFooter>
  </headerFooter>
  <rowBreaks count="1" manualBreakCount="1">
    <brk id="36"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A6165-1049-46C7-929B-E577694828C7}">
  <sheetPr>
    <pageSetUpPr fitToPage="1"/>
  </sheetPr>
  <dimension ref="A1:AF80"/>
  <sheetViews>
    <sheetView workbookViewId="0">
      <selection activeCell="B73" sqref="B73"/>
    </sheetView>
  </sheetViews>
  <sheetFormatPr defaultRowHeight="12.75" x14ac:dyDescent="0.2"/>
  <cols>
    <col min="1" max="1" width="8.83203125" style="928"/>
    <col min="2" max="32" width="8.83203125" style="619"/>
  </cols>
  <sheetData>
    <row r="1" spans="1:6" x14ac:dyDescent="0.2">
      <c r="A1" s="928" t="s">
        <v>75</v>
      </c>
      <c r="C1" s="619" t="s">
        <v>76</v>
      </c>
    </row>
    <row r="3" spans="1:6" x14ac:dyDescent="0.2">
      <c r="B3" s="949" t="s">
        <v>77</v>
      </c>
      <c r="F3" s="619" t="s">
        <v>78</v>
      </c>
    </row>
    <row r="4" spans="1:6" x14ac:dyDescent="0.2">
      <c r="B4" s="949" t="s">
        <v>79</v>
      </c>
    </row>
    <row r="5" spans="1:6" x14ac:dyDescent="0.2">
      <c r="A5" s="928" t="s">
        <v>80</v>
      </c>
      <c r="B5" s="949" t="s">
        <v>81</v>
      </c>
    </row>
    <row r="6" spans="1:6" x14ac:dyDescent="0.2">
      <c r="B6" s="949" t="s">
        <v>82</v>
      </c>
    </row>
    <row r="7" spans="1:6" x14ac:dyDescent="0.2">
      <c r="A7" s="928" t="s">
        <v>80</v>
      </c>
      <c r="B7" s="619" t="s">
        <v>83</v>
      </c>
    </row>
    <row r="8" spans="1:6" x14ac:dyDescent="0.2">
      <c r="A8" s="928" t="s">
        <v>80</v>
      </c>
      <c r="B8" s="619" t="s">
        <v>84</v>
      </c>
    </row>
    <row r="9" spans="1:6" x14ac:dyDescent="0.2">
      <c r="A9" s="928" t="s">
        <v>80</v>
      </c>
      <c r="B9" s="619" t="s">
        <v>10</v>
      </c>
    </row>
    <row r="10" spans="1:6" x14ac:dyDescent="0.2">
      <c r="A10" s="928" t="s">
        <v>85</v>
      </c>
      <c r="B10" s="619" t="s">
        <v>12</v>
      </c>
    </row>
    <row r="11" spans="1:6" x14ac:dyDescent="0.2">
      <c r="A11" s="928" t="s">
        <v>85</v>
      </c>
      <c r="B11" s="619" t="s">
        <v>86</v>
      </c>
    </row>
    <row r="12" spans="1:6" x14ac:dyDescent="0.2">
      <c r="A12" s="928">
        <v>113</v>
      </c>
      <c r="B12" s="619" t="s">
        <v>87</v>
      </c>
    </row>
    <row r="13" spans="1:6" x14ac:dyDescent="0.2">
      <c r="A13" s="928">
        <v>122</v>
      </c>
      <c r="B13" s="619" t="s">
        <v>88</v>
      </c>
    </row>
    <row r="14" spans="1:6" x14ac:dyDescent="0.2">
      <c r="A14" s="928">
        <v>131</v>
      </c>
      <c r="B14" s="619" t="s">
        <v>89</v>
      </c>
    </row>
    <row r="15" spans="1:6" x14ac:dyDescent="0.2">
      <c r="A15" s="928">
        <v>132</v>
      </c>
      <c r="B15" s="619" t="s">
        <v>90</v>
      </c>
    </row>
    <row r="16" spans="1:6" x14ac:dyDescent="0.2">
      <c r="A16" s="928">
        <v>135</v>
      </c>
      <c r="B16" s="619" t="s">
        <v>91</v>
      </c>
    </row>
    <row r="17" spans="1:2" x14ac:dyDescent="0.2">
      <c r="A17" s="928">
        <v>141</v>
      </c>
      <c r="B17" s="619" t="s">
        <v>92</v>
      </c>
    </row>
    <row r="18" spans="1:2" x14ac:dyDescent="0.2">
      <c r="A18" s="928">
        <v>145</v>
      </c>
      <c r="B18" s="619" t="s">
        <v>93</v>
      </c>
    </row>
    <row r="19" spans="1:2" x14ac:dyDescent="0.2">
      <c r="A19" s="928">
        <v>151</v>
      </c>
      <c r="B19" s="619" t="s">
        <v>94</v>
      </c>
    </row>
    <row r="20" spans="1:2" x14ac:dyDescent="0.2">
      <c r="A20" s="928">
        <v>155</v>
      </c>
      <c r="B20" s="619" t="s">
        <v>95</v>
      </c>
    </row>
    <row r="21" spans="1:2" x14ac:dyDescent="0.2">
      <c r="A21" s="928">
        <v>159</v>
      </c>
      <c r="B21" s="619" t="s">
        <v>96</v>
      </c>
    </row>
    <row r="22" spans="1:2" x14ac:dyDescent="0.2">
      <c r="A22" s="928">
        <v>161</v>
      </c>
      <c r="B22" s="619" t="s">
        <v>97</v>
      </c>
    </row>
    <row r="23" spans="1:2" x14ac:dyDescent="0.2">
      <c r="A23" s="928">
        <v>175</v>
      </c>
      <c r="B23" s="619" t="s">
        <v>98</v>
      </c>
    </row>
    <row r="24" spans="1:2" x14ac:dyDescent="0.2">
      <c r="A24" s="928">
        <v>176</v>
      </c>
      <c r="B24" s="619" t="s">
        <v>99</v>
      </c>
    </row>
    <row r="25" spans="1:2" x14ac:dyDescent="0.2">
      <c r="A25" s="928">
        <v>182</v>
      </c>
      <c r="B25" s="619" t="s">
        <v>100</v>
      </c>
    </row>
    <row r="26" spans="1:2" x14ac:dyDescent="0.2">
      <c r="A26" s="928">
        <v>190</v>
      </c>
      <c r="B26" s="619" t="s">
        <v>101</v>
      </c>
    </row>
    <row r="27" spans="1:2" x14ac:dyDescent="0.2">
      <c r="A27" s="928">
        <v>211</v>
      </c>
      <c r="B27" s="619" t="s">
        <v>102</v>
      </c>
    </row>
    <row r="28" spans="1:2" x14ac:dyDescent="0.2">
      <c r="A28" s="928">
        <v>212</v>
      </c>
      <c r="B28" s="619" t="s">
        <v>103</v>
      </c>
    </row>
    <row r="29" spans="1:2" x14ac:dyDescent="0.2">
      <c r="A29" s="928">
        <v>241</v>
      </c>
      <c r="B29" s="619" t="s">
        <v>104</v>
      </c>
    </row>
    <row r="30" spans="1:2" x14ac:dyDescent="0.2">
      <c r="A30" s="928">
        <v>244</v>
      </c>
      <c r="B30" s="619" t="s">
        <v>105</v>
      </c>
    </row>
    <row r="31" spans="1:2" x14ac:dyDescent="0.2">
      <c r="A31" s="928">
        <v>291</v>
      </c>
      <c r="B31" s="619" t="s">
        <v>106</v>
      </c>
    </row>
    <row r="32" spans="1:2" x14ac:dyDescent="0.2">
      <c r="A32" s="928">
        <v>292</v>
      </c>
      <c r="B32" s="619" t="s">
        <v>107</v>
      </c>
    </row>
    <row r="33" spans="1:2" x14ac:dyDescent="0.2">
      <c r="A33" s="928">
        <v>294</v>
      </c>
      <c r="B33" s="619" t="s">
        <v>108</v>
      </c>
    </row>
    <row r="34" spans="1:2" x14ac:dyDescent="0.2">
      <c r="A34" s="928">
        <v>299</v>
      </c>
      <c r="B34" s="619" t="s">
        <v>109</v>
      </c>
    </row>
    <row r="35" spans="1:2" x14ac:dyDescent="0.2">
      <c r="A35" s="928">
        <v>300</v>
      </c>
      <c r="B35" s="619" t="s">
        <v>110</v>
      </c>
    </row>
    <row r="36" spans="1:2" x14ac:dyDescent="0.2">
      <c r="A36" s="928">
        <v>420</v>
      </c>
      <c r="B36" s="619" t="s">
        <v>111</v>
      </c>
    </row>
    <row r="37" spans="1:2" x14ac:dyDescent="0.2">
      <c r="A37" s="928">
        <v>192</v>
      </c>
      <c r="B37" s="619" t="s">
        <v>112</v>
      </c>
    </row>
    <row r="38" spans="1:2" x14ac:dyDescent="0.2">
      <c r="A38" s="928">
        <v>422</v>
      </c>
      <c r="B38" s="619" t="s">
        <v>113</v>
      </c>
    </row>
    <row r="39" spans="1:2" x14ac:dyDescent="0.2">
      <c r="A39" s="928">
        <v>652</v>
      </c>
      <c r="B39" s="619" t="s">
        <v>114</v>
      </c>
    </row>
    <row r="40" spans="1:2" x14ac:dyDescent="0.2">
      <c r="A40" s="928">
        <v>423</v>
      </c>
      <c r="B40" s="619" t="s">
        <v>115</v>
      </c>
    </row>
    <row r="41" spans="1:2" x14ac:dyDescent="0.2">
      <c r="A41" s="928">
        <v>433</v>
      </c>
      <c r="B41" s="619" t="s">
        <v>116</v>
      </c>
    </row>
    <row r="42" spans="1:2" x14ac:dyDescent="0.2">
      <c r="A42" s="928">
        <v>480</v>
      </c>
      <c r="B42" s="619" t="s">
        <v>117</v>
      </c>
    </row>
    <row r="43" spans="1:2" x14ac:dyDescent="0.2">
      <c r="A43" s="928">
        <v>491</v>
      </c>
      <c r="B43" s="619" t="s">
        <v>118</v>
      </c>
    </row>
    <row r="44" spans="1:2" x14ac:dyDescent="0.2">
      <c r="A44" s="928">
        <v>511</v>
      </c>
      <c r="B44" s="619" t="s">
        <v>119</v>
      </c>
    </row>
    <row r="45" spans="1:2" x14ac:dyDescent="0.2">
      <c r="A45" s="928">
        <v>541</v>
      </c>
      <c r="B45" s="619" t="s">
        <v>120</v>
      </c>
    </row>
    <row r="46" spans="1:2" x14ac:dyDescent="0.2">
      <c r="A46" s="928">
        <v>543</v>
      </c>
      <c r="B46" s="619" t="s">
        <v>121</v>
      </c>
    </row>
    <row r="47" spans="1:2" x14ac:dyDescent="0.2">
      <c r="A47" s="928">
        <v>610</v>
      </c>
      <c r="B47" s="619" t="s">
        <v>122</v>
      </c>
    </row>
    <row r="48" spans="1:2" x14ac:dyDescent="0.2">
      <c r="A48" s="928">
        <v>630</v>
      </c>
      <c r="B48" s="619" t="s">
        <v>123</v>
      </c>
    </row>
    <row r="49" spans="1:5" x14ac:dyDescent="0.2">
      <c r="A49" s="928">
        <v>693</v>
      </c>
      <c r="B49" s="619" t="s">
        <v>124</v>
      </c>
    </row>
    <row r="50" spans="1:5" x14ac:dyDescent="0.2">
      <c r="A50" s="928">
        <v>700</v>
      </c>
      <c r="B50" s="619" t="s">
        <v>125</v>
      </c>
    </row>
    <row r="51" spans="1:5" x14ac:dyDescent="0.2">
      <c r="A51" s="928">
        <v>840</v>
      </c>
      <c r="B51" s="619" t="s">
        <v>126</v>
      </c>
    </row>
    <row r="52" spans="1:5" x14ac:dyDescent="0.2">
      <c r="A52" s="928">
        <v>910</v>
      </c>
      <c r="B52" s="619" t="s">
        <v>127</v>
      </c>
    </row>
    <row r="53" spans="1:5" x14ac:dyDescent="0.2">
      <c r="A53" s="928">
        <v>946</v>
      </c>
      <c r="B53" s="619" t="s">
        <v>128</v>
      </c>
    </row>
    <row r="54" spans="1:5" x14ac:dyDescent="0.2">
      <c r="A54" s="928">
        <v>228</v>
      </c>
      <c r="B54" s="619" t="s">
        <v>129</v>
      </c>
    </row>
    <row r="55" spans="1:5" x14ac:dyDescent="0.2">
      <c r="A55" s="928" t="s">
        <v>130</v>
      </c>
      <c r="B55" s="619" t="s">
        <v>131</v>
      </c>
    </row>
    <row r="56" spans="1:5" x14ac:dyDescent="0.2">
      <c r="A56" s="928" t="s">
        <v>132</v>
      </c>
      <c r="B56" s="619" t="s">
        <v>133</v>
      </c>
    </row>
    <row r="57" spans="1:5" x14ac:dyDescent="0.2">
      <c r="A57" s="928" t="s">
        <v>134</v>
      </c>
      <c r="B57" s="619" t="s">
        <v>135</v>
      </c>
    </row>
    <row r="58" spans="1:5" x14ac:dyDescent="0.2">
      <c r="A58" s="928" t="s">
        <v>136</v>
      </c>
      <c r="B58" s="619" t="s">
        <v>137</v>
      </c>
    </row>
    <row r="59" spans="1:5" x14ac:dyDescent="0.2">
      <c r="A59" s="928" t="s">
        <v>138</v>
      </c>
      <c r="B59" s="619" t="s">
        <v>139</v>
      </c>
    </row>
    <row r="60" spans="1:5" x14ac:dyDescent="0.2">
      <c r="A60" s="928" t="s">
        <v>140</v>
      </c>
      <c r="B60" s="619" t="s">
        <v>141</v>
      </c>
    </row>
    <row r="61" spans="1:5" x14ac:dyDescent="0.2">
      <c r="A61" s="928" t="s">
        <v>142</v>
      </c>
      <c r="B61" s="619" t="s">
        <v>143</v>
      </c>
    </row>
    <row r="62" spans="1:5" x14ac:dyDescent="0.2">
      <c r="B62" s="619" t="s">
        <v>144</v>
      </c>
      <c r="D62" s="619" t="s">
        <v>145</v>
      </c>
      <c r="E62" s="619" t="s">
        <v>146</v>
      </c>
    </row>
    <row r="63" spans="1:5" x14ac:dyDescent="0.2">
      <c r="B63" s="619" t="s">
        <v>147</v>
      </c>
      <c r="D63" s="619" t="s">
        <v>145</v>
      </c>
      <c r="E63" s="619" t="s">
        <v>146</v>
      </c>
    </row>
    <row r="64" spans="1:5" x14ac:dyDescent="0.2">
      <c r="B64" s="619" t="s">
        <v>148</v>
      </c>
      <c r="D64" s="619" t="s">
        <v>145</v>
      </c>
      <c r="E64" s="619" t="s">
        <v>146</v>
      </c>
    </row>
    <row r="65" spans="2:5" x14ac:dyDescent="0.2">
      <c r="B65" s="619" t="s">
        <v>21</v>
      </c>
      <c r="D65" s="619" t="s">
        <v>145</v>
      </c>
      <c r="E65" s="619" t="s">
        <v>146</v>
      </c>
    </row>
    <row r="66" spans="2:5" x14ac:dyDescent="0.2">
      <c r="B66" s="619" t="s">
        <v>149</v>
      </c>
      <c r="D66" s="619" t="s">
        <v>145</v>
      </c>
      <c r="E66" s="619" t="s">
        <v>146</v>
      </c>
    </row>
    <row r="67" spans="2:5" x14ac:dyDescent="0.2">
      <c r="B67" s="619" t="s">
        <v>150</v>
      </c>
      <c r="D67" s="619" t="s">
        <v>145</v>
      </c>
      <c r="E67" s="619" t="s">
        <v>146</v>
      </c>
    </row>
    <row r="68" spans="2:5" x14ac:dyDescent="0.2">
      <c r="B68" s="949" t="s">
        <v>27</v>
      </c>
    </row>
    <row r="69" spans="2:5" x14ac:dyDescent="0.2">
      <c r="B69" s="619" t="s">
        <v>151</v>
      </c>
      <c r="D69" s="619" t="s">
        <v>145</v>
      </c>
    </row>
    <row r="70" spans="2:5" x14ac:dyDescent="0.2">
      <c r="B70" s="619" t="s">
        <v>152</v>
      </c>
      <c r="D70" s="619" t="s">
        <v>145</v>
      </c>
    </row>
    <row r="71" spans="2:5" x14ac:dyDescent="0.2">
      <c r="B71" s="949" t="s">
        <v>33</v>
      </c>
    </row>
    <row r="72" spans="2:5" x14ac:dyDescent="0.2">
      <c r="B72" s="949" t="s">
        <v>153</v>
      </c>
    </row>
    <row r="73" spans="2:5" x14ac:dyDescent="0.2">
      <c r="B73" s="619" t="s">
        <v>41</v>
      </c>
    </row>
    <row r="74" spans="2:5" x14ac:dyDescent="0.2">
      <c r="B74" s="949" t="s">
        <v>154</v>
      </c>
    </row>
    <row r="75" spans="2:5" x14ac:dyDescent="0.2">
      <c r="B75" s="949" t="s">
        <v>45</v>
      </c>
    </row>
    <row r="76" spans="2:5" x14ac:dyDescent="0.2">
      <c r="B76" s="949" t="s">
        <v>155</v>
      </c>
    </row>
    <row r="77" spans="2:5" x14ac:dyDescent="0.2">
      <c r="B77" s="949" t="s">
        <v>156</v>
      </c>
    </row>
    <row r="78" spans="2:5" x14ac:dyDescent="0.2">
      <c r="B78" s="949" t="s">
        <v>157</v>
      </c>
    </row>
    <row r="79" spans="2:5" x14ac:dyDescent="0.2">
      <c r="B79" s="949" t="s">
        <v>158</v>
      </c>
    </row>
    <row r="80" spans="2:5" x14ac:dyDescent="0.2">
      <c r="B80" s="949" t="s">
        <v>159</v>
      </c>
    </row>
  </sheetData>
  <pageMargins left="0.7" right="0.7" top="0.75" bottom="0.75" header="0.3" footer="0.3"/>
  <pageSetup scale="96" fitToHeight="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W171"/>
  <sheetViews>
    <sheetView workbookViewId="0">
      <selection activeCell="P15" sqref="P15"/>
    </sheetView>
  </sheetViews>
  <sheetFormatPr defaultRowHeight="12.75" x14ac:dyDescent="0.2"/>
  <cols>
    <col min="1" max="1" width="8.83203125" style="783"/>
    <col min="2" max="2" width="36.6640625" customWidth="1"/>
    <col min="3" max="3" width="14.5" style="1" hidden="1" customWidth="1"/>
    <col min="4" max="12" width="14.5" style="106" hidden="1" customWidth="1"/>
    <col min="13" max="15" width="14.5" style="106" customWidth="1"/>
    <col min="16" max="16" width="14.5" customWidth="1"/>
    <col min="17" max="19" width="14.5" style="1" customWidth="1"/>
    <col min="20" max="22" width="14.5" customWidth="1"/>
    <col min="23" max="23" width="14.6640625" style="2" customWidth="1"/>
  </cols>
  <sheetData>
    <row r="1" spans="1:22" x14ac:dyDescent="0.2">
      <c r="A1" s="772" t="s">
        <v>847</v>
      </c>
      <c r="B1" s="308" t="s">
        <v>197</v>
      </c>
      <c r="D1" s="212"/>
      <c r="E1" s="212"/>
      <c r="F1" s="212"/>
      <c r="G1" s="212"/>
      <c r="H1" s="212"/>
      <c r="I1" s="212"/>
      <c r="J1" s="212"/>
      <c r="K1" s="212"/>
      <c r="L1" s="212"/>
      <c r="M1" s="212"/>
      <c r="N1" s="212"/>
      <c r="O1" s="212"/>
      <c r="S1"/>
    </row>
    <row r="2" spans="1:22" ht="15" x14ac:dyDescent="0.25">
      <c r="A2" s="773" t="s">
        <v>815</v>
      </c>
      <c r="B2" s="43"/>
      <c r="D2" s="212"/>
      <c r="E2" s="126"/>
      <c r="F2" s="212"/>
      <c r="G2" s="212"/>
      <c r="H2" s="212"/>
      <c r="I2" s="126" t="s">
        <v>816</v>
      </c>
      <c r="J2" s="126"/>
      <c r="K2" s="126"/>
      <c r="L2" s="126"/>
      <c r="M2" s="126"/>
      <c r="N2" s="126"/>
      <c r="O2" s="126"/>
      <c r="P2" s="58" t="s">
        <v>627</v>
      </c>
      <c r="S2" s="44" t="s">
        <v>995</v>
      </c>
    </row>
    <row r="3" spans="1:22" ht="13.5" thickBot="1" x14ac:dyDescent="0.25">
      <c r="A3" s="774"/>
      <c r="B3" s="4"/>
      <c r="C3" s="23"/>
      <c r="D3" s="23"/>
      <c r="E3" s="23"/>
      <c r="F3" s="23"/>
      <c r="G3" s="23"/>
      <c r="H3" s="23"/>
      <c r="I3" s="23"/>
      <c r="J3" s="23"/>
      <c r="K3" s="23"/>
      <c r="L3" s="23"/>
      <c r="M3" s="23"/>
      <c r="N3" s="23"/>
      <c r="O3" s="23"/>
      <c r="P3" s="4"/>
      <c r="Q3" s="23"/>
      <c r="R3" s="23"/>
      <c r="S3" s="4"/>
      <c r="V3" s="4"/>
    </row>
    <row r="4" spans="1:22"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2"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2" x14ac:dyDescent="0.2">
      <c r="A6" s="776"/>
      <c r="B6" s="202"/>
      <c r="C6" s="113"/>
      <c r="D6" s="113"/>
      <c r="E6" s="113"/>
      <c r="F6" s="113"/>
      <c r="G6" s="113"/>
      <c r="H6" s="113"/>
      <c r="I6" s="83"/>
      <c r="J6" s="83"/>
      <c r="K6" s="83"/>
      <c r="L6" s="83"/>
      <c r="M6" s="83"/>
      <c r="N6" s="83"/>
      <c r="O6" s="83"/>
      <c r="P6" s="113"/>
      <c r="Q6" s="83" t="s">
        <v>823</v>
      </c>
      <c r="R6" s="83" t="s">
        <v>585</v>
      </c>
      <c r="S6" s="45" t="s">
        <v>824</v>
      </c>
    </row>
    <row r="7" spans="1:22"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2" ht="13.5" thickTop="1" x14ac:dyDescent="0.2">
      <c r="A8" s="796"/>
      <c r="B8" s="203"/>
      <c r="C8" s="118"/>
      <c r="D8" s="18"/>
      <c r="E8" s="18"/>
      <c r="F8" s="18"/>
      <c r="G8" s="18"/>
      <c r="H8" s="18"/>
      <c r="I8" s="18"/>
      <c r="J8" s="18"/>
      <c r="K8" s="19"/>
      <c r="L8" s="19"/>
      <c r="M8" s="19"/>
      <c r="N8" s="19"/>
      <c r="O8" s="19"/>
      <c r="P8" s="18"/>
      <c r="Q8" s="19"/>
      <c r="R8" s="19"/>
      <c r="S8" s="19"/>
    </row>
    <row r="9" spans="1:22" x14ac:dyDescent="0.2">
      <c r="A9" s="779">
        <v>5301</v>
      </c>
      <c r="B9" s="60" t="s">
        <v>996</v>
      </c>
      <c r="C9" s="116">
        <v>13833</v>
      </c>
      <c r="D9" s="13">
        <v>14157.5</v>
      </c>
      <c r="E9" s="13">
        <v>18901.330000000002</v>
      </c>
      <c r="F9" s="13">
        <v>13281.7</v>
      </c>
      <c r="G9" s="13">
        <v>26679.23</v>
      </c>
      <c r="H9" s="13">
        <v>19011.8</v>
      </c>
      <c r="I9" s="13">
        <v>14065.25</v>
      </c>
      <c r="J9" s="13">
        <v>14591.66</v>
      </c>
      <c r="K9" s="14">
        <v>20000</v>
      </c>
      <c r="L9" s="13">
        <v>3810.5</v>
      </c>
      <c r="M9" s="14">
        <v>25000</v>
      </c>
      <c r="N9" s="13">
        <v>16224</v>
      </c>
      <c r="O9" s="14">
        <v>20000</v>
      </c>
      <c r="P9" s="13">
        <v>6192</v>
      </c>
      <c r="Q9" s="14">
        <v>20000</v>
      </c>
      <c r="R9" s="14"/>
      <c r="S9" s="14"/>
    </row>
    <row r="10" spans="1:22" x14ac:dyDescent="0.2">
      <c r="A10" s="779">
        <v>5302</v>
      </c>
      <c r="B10" s="60" t="s">
        <v>94</v>
      </c>
      <c r="C10" s="116">
        <v>65458.74</v>
      </c>
      <c r="D10" s="13">
        <v>54064.83</v>
      </c>
      <c r="E10" s="13">
        <v>85357.14</v>
      </c>
      <c r="F10" s="13">
        <v>56286.879999999997</v>
      </c>
      <c r="G10" s="13">
        <v>68311.7</v>
      </c>
      <c r="H10" s="13">
        <v>59740.73</v>
      </c>
      <c r="I10" s="13">
        <v>47985.74</v>
      </c>
      <c r="J10" s="13">
        <v>32798.629999999997</v>
      </c>
      <c r="K10" s="14">
        <v>60000</v>
      </c>
      <c r="L10" s="13">
        <v>47217.58</v>
      </c>
      <c r="M10" s="14">
        <v>60000</v>
      </c>
      <c r="N10" s="13">
        <v>46301.78</v>
      </c>
      <c r="O10" s="14">
        <v>55000</v>
      </c>
      <c r="P10" s="13">
        <v>11438.44</v>
      </c>
      <c r="Q10" s="14">
        <v>55000</v>
      </c>
      <c r="R10" s="14"/>
      <c r="S10" s="36"/>
    </row>
    <row r="11" spans="1:22" x14ac:dyDescent="0.2">
      <c r="A11" s="796">
        <v>5304</v>
      </c>
      <c r="B11" s="60" t="s">
        <v>2267</v>
      </c>
      <c r="C11" s="116"/>
      <c r="D11" s="13"/>
      <c r="E11" s="13"/>
      <c r="F11" s="13"/>
      <c r="G11" s="13"/>
      <c r="H11" s="13"/>
      <c r="I11" s="13"/>
      <c r="J11" s="13"/>
      <c r="K11" s="14"/>
      <c r="L11" s="13"/>
      <c r="M11" s="14"/>
      <c r="N11" s="13"/>
      <c r="O11" s="14"/>
      <c r="P11" s="13"/>
      <c r="Q11" s="14">
        <v>5000</v>
      </c>
      <c r="R11" s="14"/>
      <c r="S11" s="36"/>
    </row>
    <row r="12" spans="1:22" ht="13.5" thickBot="1" x14ac:dyDescent="0.25">
      <c r="A12" s="796">
        <v>5303</v>
      </c>
      <c r="B12" s="102" t="s">
        <v>997</v>
      </c>
      <c r="C12" s="600"/>
      <c r="D12" s="37"/>
      <c r="E12" s="37"/>
      <c r="F12" s="37">
        <v>5000</v>
      </c>
      <c r="G12" s="37"/>
      <c r="H12" s="37"/>
      <c r="I12" s="37"/>
      <c r="J12" s="37"/>
      <c r="K12" s="38"/>
      <c r="L12" s="37"/>
      <c r="M12" s="38"/>
      <c r="N12" s="37"/>
      <c r="O12" s="38"/>
      <c r="P12" s="37"/>
      <c r="Q12" s="38"/>
      <c r="R12" s="38"/>
      <c r="S12" s="16"/>
    </row>
    <row r="13" spans="1:22" x14ac:dyDescent="0.2">
      <c r="A13" s="779"/>
      <c r="B13" s="61" t="s">
        <v>838</v>
      </c>
      <c r="C13" s="118">
        <f t="shared" ref="C13:Q13" si="0">SUM(C9:C12)</f>
        <v>79291.739999999991</v>
      </c>
      <c r="D13" s="18">
        <f t="shared" si="0"/>
        <v>68222.33</v>
      </c>
      <c r="E13" s="18">
        <f t="shared" si="0"/>
        <v>104258.47</v>
      </c>
      <c r="F13" s="18">
        <f>SUM(F9:F12)</f>
        <v>74568.58</v>
      </c>
      <c r="G13" s="18">
        <f>SUM(G9:G12)</f>
        <v>94990.93</v>
      </c>
      <c r="H13" s="18">
        <f>SUM(H9:H12)</f>
        <v>78752.53</v>
      </c>
      <c r="I13" s="18">
        <f t="shared" si="0"/>
        <v>62050.99</v>
      </c>
      <c r="J13" s="18">
        <f t="shared" ref="J13" si="1">SUM(J9:J12)</f>
        <v>47390.289999999994</v>
      </c>
      <c r="K13" s="19">
        <f t="shared" ref="K13:O13" si="2">SUM(K9:K12)</f>
        <v>80000</v>
      </c>
      <c r="L13" s="18">
        <f t="shared" si="2"/>
        <v>51028.08</v>
      </c>
      <c r="M13" s="19">
        <f t="shared" si="2"/>
        <v>85000</v>
      </c>
      <c r="N13" s="18">
        <f t="shared" ref="N13" si="3">SUM(N9:N12)</f>
        <v>62525.78</v>
      </c>
      <c r="O13" s="19">
        <f t="shared" si="2"/>
        <v>75000</v>
      </c>
      <c r="P13" s="18">
        <f t="shared" si="0"/>
        <v>17630.440000000002</v>
      </c>
      <c r="Q13" s="19">
        <f t="shared" si="0"/>
        <v>80000</v>
      </c>
      <c r="R13" s="19"/>
      <c r="S13" s="19"/>
    </row>
    <row r="14" spans="1:22" x14ac:dyDescent="0.2">
      <c r="A14" s="779"/>
      <c r="B14" s="60"/>
      <c r="C14" s="116"/>
      <c r="D14" s="13"/>
      <c r="E14" s="13"/>
      <c r="F14" s="13"/>
      <c r="G14" s="13"/>
      <c r="H14" s="13"/>
      <c r="I14" s="13"/>
      <c r="J14" s="13"/>
      <c r="K14" s="14"/>
      <c r="L14" s="13"/>
      <c r="M14" s="14"/>
      <c r="N14" s="13"/>
      <c r="O14" s="14"/>
      <c r="P14" s="13"/>
      <c r="Q14" s="14"/>
      <c r="R14" s="14"/>
      <c r="S14" s="14"/>
    </row>
    <row r="15" spans="1:22" x14ac:dyDescent="0.2">
      <c r="A15" s="779"/>
      <c r="B15" s="60"/>
      <c r="C15" s="116"/>
      <c r="D15" s="13"/>
      <c r="E15" s="13"/>
      <c r="F15" s="13"/>
      <c r="G15" s="13"/>
      <c r="H15" s="13"/>
      <c r="I15" s="13"/>
      <c r="J15" s="13"/>
      <c r="K15" s="14"/>
      <c r="L15" s="13"/>
      <c r="M15" s="14"/>
      <c r="N15" s="13"/>
      <c r="O15" s="14"/>
      <c r="P15" s="13"/>
      <c r="Q15" s="14"/>
      <c r="R15" s="14"/>
      <c r="S15" s="14"/>
    </row>
    <row r="16" spans="1:22" ht="13.5" thickBot="1" x14ac:dyDescent="0.25">
      <c r="A16" s="780"/>
      <c r="B16" s="602" t="s">
        <v>998</v>
      </c>
      <c r="C16" s="596">
        <f t="shared" ref="C16:Q16" si="4">+C13</f>
        <v>79291.739999999991</v>
      </c>
      <c r="D16" s="21">
        <f t="shared" si="4"/>
        <v>68222.33</v>
      </c>
      <c r="E16" s="21">
        <f>+E13</f>
        <v>104258.47</v>
      </c>
      <c r="F16" s="21">
        <f>+F13</f>
        <v>74568.58</v>
      </c>
      <c r="G16" s="21">
        <f>+G13</f>
        <v>94990.93</v>
      </c>
      <c r="H16" s="21">
        <f>+H13</f>
        <v>78752.53</v>
      </c>
      <c r="I16" s="21">
        <f t="shared" si="4"/>
        <v>62050.99</v>
      </c>
      <c r="J16" s="21">
        <f t="shared" ref="J16" si="5">+J13</f>
        <v>47390.289999999994</v>
      </c>
      <c r="K16" s="22">
        <f t="shared" ref="K16:O16" si="6">+K13</f>
        <v>80000</v>
      </c>
      <c r="L16" s="21">
        <f t="shared" si="6"/>
        <v>51028.08</v>
      </c>
      <c r="M16" s="22">
        <f t="shared" si="6"/>
        <v>85000</v>
      </c>
      <c r="N16" s="21">
        <f t="shared" ref="N16" si="7">+N13</f>
        <v>62525.78</v>
      </c>
      <c r="O16" s="22">
        <f t="shared" si="6"/>
        <v>75000</v>
      </c>
      <c r="P16" s="21">
        <f t="shared" si="4"/>
        <v>17630.440000000002</v>
      </c>
      <c r="Q16" s="22">
        <f t="shared" si="4"/>
        <v>80000</v>
      </c>
      <c r="R16" s="22">
        <f>+Q16</f>
        <v>80000</v>
      </c>
      <c r="S16" s="22">
        <f>+Q16</f>
        <v>80000</v>
      </c>
    </row>
    <row r="17" spans="1:22" ht="13.5" thickTop="1" x14ac:dyDescent="0.2">
      <c r="A17" s="774"/>
      <c r="B17" s="603"/>
      <c r="C17" s="23"/>
      <c r="D17" s="23"/>
      <c r="E17" s="23"/>
      <c r="F17" s="23"/>
      <c r="G17" s="23"/>
      <c r="H17" s="23"/>
      <c r="I17" s="23"/>
      <c r="J17" s="23"/>
      <c r="K17" s="23"/>
      <c r="L17" s="23"/>
      <c r="M17" s="23"/>
      <c r="N17" s="23"/>
      <c r="O17" s="23"/>
      <c r="P17" s="199" t="s">
        <v>843</v>
      </c>
      <c r="Q17" s="1116">
        <f>+Q16-O16</f>
        <v>5000</v>
      </c>
      <c r="R17" s="1117">
        <f>ROUND((+Q17/O16),4)</f>
        <v>6.6699999999999995E-2</v>
      </c>
      <c r="S17" s="23"/>
      <c r="T17" s="25"/>
      <c r="U17" s="25"/>
      <c r="V17" s="25"/>
    </row>
    <row r="18" spans="1:22" ht="13.5" thickBot="1" x14ac:dyDescent="0.25">
      <c r="A18" s="63"/>
      <c r="B18" s="603"/>
      <c r="C18" s="23"/>
      <c r="D18" s="23"/>
      <c r="E18" s="23"/>
      <c r="F18" s="23"/>
      <c r="G18" s="23"/>
      <c r="H18" s="23"/>
      <c r="I18" s="23"/>
      <c r="J18" s="23"/>
      <c r="K18" s="23"/>
      <c r="L18" s="23"/>
      <c r="M18" s="23"/>
      <c r="N18" s="23"/>
      <c r="O18" s="23"/>
      <c r="P18" s="25"/>
      <c r="Q18" s="23"/>
      <c r="R18" s="23"/>
      <c r="S18" s="23"/>
      <c r="T18" s="25"/>
      <c r="U18" s="25"/>
      <c r="V18" s="25"/>
    </row>
    <row r="19" spans="1:22" ht="13.5" thickTop="1" x14ac:dyDescent="0.2">
      <c r="A19" s="789"/>
      <c r="B19" s="604"/>
      <c r="C19" s="597" t="s">
        <v>280</v>
      </c>
      <c r="D19" s="369" t="s">
        <v>280</v>
      </c>
      <c r="E19" s="369" t="s">
        <v>280</v>
      </c>
      <c r="F19" s="212"/>
      <c r="G19" s="212"/>
      <c r="H19" s="212"/>
      <c r="I19" s="212"/>
      <c r="J19" s="212"/>
      <c r="K19" s="212"/>
      <c r="L19" s="212"/>
      <c r="M19" s="370" t="s">
        <v>279</v>
      </c>
      <c r="N19" s="371" t="s">
        <v>826</v>
      </c>
      <c r="O19" s="372" t="s">
        <v>840</v>
      </c>
      <c r="P19" s="371" t="s">
        <v>841</v>
      </c>
      <c r="Q19" s="373"/>
      <c r="R19" s="569"/>
      <c r="S19" s="372"/>
      <c r="T19" s="25"/>
      <c r="U19" s="25"/>
      <c r="V19" s="25"/>
    </row>
    <row r="20" spans="1:22" ht="13.5" thickBot="1" x14ac:dyDescent="0.25">
      <c r="A20" s="790" t="s">
        <v>825</v>
      </c>
      <c r="B20" s="374"/>
      <c r="C20" s="375" t="s">
        <v>267</v>
      </c>
      <c r="D20" s="375" t="s">
        <v>268</v>
      </c>
      <c r="E20" s="376" t="s">
        <v>269</v>
      </c>
      <c r="F20" s="212"/>
      <c r="G20" s="212"/>
      <c r="H20" s="212"/>
      <c r="I20" s="212"/>
      <c r="J20" s="212"/>
      <c r="K20" s="212"/>
      <c r="L20" s="212"/>
      <c r="M20" s="377" t="s">
        <v>277</v>
      </c>
      <c r="N20" s="377" t="s">
        <v>571</v>
      </c>
      <c r="O20" s="376" t="s">
        <v>843</v>
      </c>
      <c r="P20" s="378" t="s">
        <v>843</v>
      </c>
      <c r="Q20" s="379" t="s">
        <v>844</v>
      </c>
      <c r="R20" s="570"/>
      <c r="S20" s="377"/>
      <c r="T20" s="25"/>
      <c r="U20" s="25"/>
      <c r="V20" s="25"/>
    </row>
    <row r="21" spans="1:22" ht="13.5" thickTop="1" x14ac:dyDescent="0.2">
      <c r="A21" s="797"/>
      <c r="B21" s="394"/>
      <c r="C21" s="383"/>
      <c r="D21" s="383"/>
      <c r="E21" s="383"/>
      <c r="F21" s="212"/>
      <c r="G21" s="212"/>
      <c r="H21" s="212"/>
      <c r="I21" s="212"/>
      <c r="J21" s="212"/>
      <c r="K21" s="212"/>
      <c r="L21" s="212"/>
      <c r="M21" s="384"/>
      <c r="N21" s="383"/>
      <c r="O21" s="386"/>
      <c r="P21" s="392"/>
      <c r="Q21" s="385"/>
      <c r="R21" s="572"/>
      <c r="S21" s="386"/>
      <c r="T21" s="25"/>
      <c r="U21" s="25"/>
      <c r="V21" s="25"/>
    </row>
    <row r="22" spans="1:22" x14ac:dyDescent="0.2">
      <c r="A22" s="795">
        <v>5301</v>
      </c>
      <c r="B22" s="387" t="s">
        <v>996</v>
      </c>
      <c r="C22" s="391">
        <v>13833</v>
      </c>
      <c r="D22" s="391">
        <v>14157.5</v>
      </c>
      <c r="E22" s="391">
        <v>18901.330000000002</v>
      </c>
      <c r="F22" s="212"/>
      <c r="G22" s="212"/>
      <c r="H22" s="212"/>
      <c r="I22" s="212"/>
      <c r="J22" s="212"/>
      <c r="K22" s="212"/>
      <c r="L22" s="212"/>
      <c r="M22" s="390">
        <f>+O9</f>
        <v>20000</v>
      </c>
      <c r="N22" s="411">
        <f>+Q9</f>
        <v>20000</v>
      </c>
      <c r="O22" s="386">
        <f>+N22-M22</f>
        <v>0</v>
      </c>
      <c r="P22" s="392" t="str">
        <f>IF(M22+N22&lt;&gt;0,IF(M22&lt;&gt;0,IF(O22&lt;&gt;0,ROUND((+O22/M22),4),""),1),"")</f>
        <v/>
      </c>
      <c r="Q22" s="385"/>
      <c r="R22" s="572"/>
      <c r="S22" s="386"/>
      <c r="T22" s="25"/>
      <c r="U22" s="25"/>
      <c r="V22" s="25"/>
    </row>
    <row r="23" spans="1:22" x14ac:dyDescent="0.2">
      <c r="A23" s="795">
        <v>5301</v>
      </c>
      <c r="B23" s="387" t="s">
        <v>996</v>
      </c>
      <c r="C23" s="391">
        <v>13833</v>
      </c>
      <c r="D23" s="391">
        <v>14157.5</v>
      </c>
      <c r="E23" s="391">
        <v>18901.330000000002</v>
      </c>
      <c r="F23" s="212"/>
      <c r="G23" s="212"/>
      <c r="H23" s="212"/>
      <c r="I23" s="212"/>
      <c r="J23" s="212"/>
      <c r="K23" s="212"/>
      <c r="L23" s="212"/>
      <c r="M23" s="390">
        <f t="shared" ref="M23:M24" si="8">+O10</f>
        <v>55000</v>
      </c>
      <c r="N23" s="411">
        <f t="shared" ref="N23:N24" si="9">+Q10</f>
        <v>55000</v>
      </c>
      <c r="O23" s="386">
        <f t="shared" ref="O23:O24" si="10">+N23-M23</f>
        <v>0</v>
      </c>
      <c r="P23" s="392" t="str">
        <f t="shared" ref="P23:P24" si="11">IF(M23+N23&lt;&gt;0,IF(M23&lt;&gt;0,IF(O23&lt;&gt;0,ROUND((+O23/M23),4),""),1),"")</f>
        <v/>
      </c>
      <c r="Q23" s="385"/>
      <c r="R23" s="572"/>
      <c r="S23" s="386"/>
      <c r="T23" s="25"/>
      <c r="U23" s="25"/>
      <c r="V23" s="25"/>
    </row>
    <row r="24" spans="1:22" x14ac:dyDescent="0.2">
      <c r="A24" s="795">
        <v>5301</v>
      </c>
      <c r="B24" s="387" t="s">
        <v>996</v>
      </c>
      <c r="C24" s="391">
        <v>13833</v>
      </c>
      <c r="D24" s="391">
        <v>14157.5</v>
      </c>
      <c r="E24" s="391">
        <v>18901.330000000002</v>
      </c>
      <c r="F24" s="212"/>
      <c r="G24" s="212"/>
      <c r="H24" s="212"/>
      <c r="I24" s="212"/>
      <c r="J24" s="212"/>
      <c r="K24" s="212"/>
      <c r="L24" s="212"/>
      <c r="M24" s="390">
        <f t="shared" si="8"/>
        <v>0</v>
      </c>
      <c r="N24" s="411">
        <f t="shared" si="9"/>
        <v>5000</v>
      </c>
      <c r="O24" s="386">
        <f t="shared" si="10"/>
        <v>5000</v>
      </c>
      <c r="P24" s="392">
        <f t="shared" si="11"/>
        <v>1</v>
      </c>
      <c r="Q24" s="385" t="s">
        <v>2268</v>
      </c>
      <c r="R24" s="572"/>
      <c r="S24" s="386"/>
      <c r="T24" s="25"/>
      <c r="U24" s="25"/>
      <c r="V24" s="25"/>
    </row>
    <row r="25" spans="1:22" x14ac:dyDescent="0.2">
      <c r="A25" s="774"/>
      <c r="B25" s="4"/>
      <c r="C25" s="23"/>
      <c r="D25" s="23"/>
      <c r="E25" s="23"/>
      <c r="F25" s="23"/>
      <c r="G25" s="23"/>
      <c r="H25" s="212"/>
      <c r="I25" s="212"/>
      <c r="J25" s="212"/>
      <c r="K25" s="212"/>
      <c r="L25" s="212"/>
      <c r="M25" s="23"/>
      <c r="N25" s="23"/>
      <c r="O25" s="23"/>
      <c r="P25" s="25"/>
      <c r="Q25" s="23"/>
      <c r="R25" s="23"/>
      <c r="S25" s="23"/>
      <c r="T25" s="25"/>
      <c r="U25" s="25"/>
      <c r="V25" s="25"/>
    </row>
    <row r="26" spans="1:22" x14ac:dyDescent="0.2">
      <c r="A26" s="774"/>
      <c r="B26" s="4" t="s">
        <v>846</v>
      </c>
      <c r="C26" s="23"/>
      <c r="D26" s="23"/>
      <c r="E26" s="23"/>
      <c r="F26" s="23"/>
      <c r="G26" s="23"/>
      <c r="H26" s="212"/>
      <c r="I26" s="212"/>
      <c r="J26" s="212"/>
      <c r="K26" s="212"/>
      <c r="L26" s="212"/>
      <c r="M26" s="616">
        <f>SUM(M22:M25)</f>
        <v>75000</v>
      </c>
      <c r="N26" s="616">
        <f>SUM(N22:N25)</f>
        <v>80000</v>
      </c>
      <c r="O26" s="25">
        <f>+N26-M26</f>
        <v>5000</v>
      </c>
      <c r="P26" s="617">
        <f>IF(M26+N26&lt;&gt;0,IF(M26&lt;&gt;0,IF(O26&lt;&gt;0,ROUND((+O26/M26),4),""),1),"")</f>
        <v>6.6699999999999995E-2</v>
      </c>
      <c r="Q26" s="23"/>
      <c r="R26" s="23"/>
      <c r="S26" s="23"/>
      <c r="T26" s="25"/>
      <c r="U26" s="25"/>
      <c r="V26" s="25"/>
    </row>
    <row r="27" spans="1:22" x14ac:dyDescent="0.2">
      <c r="A27" s="774"/>
      <c r="B27" s="4"/>
      <c r="C27" s="23"/>
      <c r="D27" s="23"/>
      <c r="E27" s="23"/>
      <c r="F27" s="23"/>
      <c r="G27" s="23"/>
      <c r="H27" s="23"/>
      <c r="I27" s="23"/>
      <c r="J27" s="23"/>
      <c r="K27" s="23"/>
      <c r="L27" s="23"/>
      <c r="M27" s="23"/>
      <c r="N27" s="23"/>
      <c r="O27" s="23"/>
      <c r="P27" s="25"/>
      <c r="Q27" s="23"/>
      <c r="R27" s="23"/>
      <c r="S27" s="23"/>
      <c r="T27" s="25"/>
      <c r="U27" s="25"/>
      <c r="V27" s="25"/>
    </row>
    <row r="28" spans="1:22" x14ac:dyDescent="0.2">
      <c r="A28" s="774"/>
      <c r="B28" s="4"/>
      <c r="C28" s="23"/>
      <c r="D28" s="23"/>
      <c r="E28" s="23"/>
      <c r="F28" s="23"/>
      <c r="G28" s="23"/>
      <c r="H28" s="23"/>
      <c r="I28" s="23"/>
      <c r="J28" s="23"/>
      <c r="K28" s="23"/>
      <c r="L28" s="23"/>
      <c r="M28" s="23"/>
      <c r="N28" s="23"/>
      <c r="O28" s="23"/>
      <c r="P28" s="25"/>
      <c r="Q28" s="23"/>
      <c r="R28" s="23"/>
      <c r="S28" s="23"/>
      <c r="T28" s="25"/>
      <c r="U28" s="25"/>
      <c r="V28" s="25"/>
    </row>
    <row r="29" spans="1:22" x14ac:dyDescent="0.2">
      <c r="A29" s="774"/>
      <c r="B29" s="4"/>
      <c r="C29" s="23"/>
      <c r="D29" s="23"/>
      <c r="E29" s="23"/>
      <c r="F29" s="23"/>
      <c r="G29" s="23"/>
      <c r="H29" s="23"/>
      <c r="I29" s="23"/>
      <c r="J29" s="23"/>
      <c r="K29" s="23"/>
      <c r="L29" s="23"/>
      <c r="M29" s="23"/>
      <c r="N29" s="23"/>
      <c r="O29" s="23"/>
      <c r="P29" s="25"/>
      <c r="Q29" s="23"/>
      <c r="R29" s="23"/>
      <c r="S29" s="23"/>
      <c r="T29" s="25"/>
      <c r="U29" s="25"/>
      <c r="V29" s="25"/>
    </row>
    <row r="30" spans="1:22" x14ac:dyDescent="0.2">
      <c r="A30" s="774"/>
      <c r="B30" s="4"/>
      <c r="C30" s="23"/>
      <c r="D30" s="23"/>
      <c r="E30" s="23"/>
      <c r="F30" s="23"/>
      <c r="G30" s="23"/>
      <c r="H30" s="23"/>
      <c r="I30" s="23"/>
      <c r="J30" s="23"/>
      <c r="K30" s="23"/>
      <c r="L30" s="23"/>
      <c r="M30" s="23"/>
      <c r="N30" s="23"/>
      <c r="O30" s="23"/>
      <c r="P30" s="25"/>
      <c r="Q30" s="23"/>
      <c r="R30" s="23"/>
      <c r="S30" s="23"/>
      <c r="T30" s="25"/>
      <c r="U30" s="25"/>
      <c r="V30" s="25"/>
    </row>
    <row r="31" spans="1:22" x14ac:dyDescent="0.2">
      <c r="A31" s="774"/>
      <c r="B31" s="4"/>
      <c r="C31" s="23"/>
      <c r="D31" s="23"/>
      <c r="E31" s="23"/>
      <c r="F31" s="23"/>
      <c r="G31" s="23"/>
      <c r="H31" s="23"/>
      <c r="I31" s="23"/>
      <c r="J31" s="23"/>
      <c r="K31" s="23"/>
      <c r="L31" s="23"/>
      <c r="M31" s="23"/>
      <c r="N31" s="23"/>
      <c r="O31" s="23"/>
      <c r="P31" s="25"/>
      <c r="Q31" s="23"/>
      <c r="R31" s="23"/>
      <c r="S31" s="23"/>
      <c r="T31" s="25"/>
      <c r="U31" s="25"/>
      <c r="V31" s="25"/>
    </row>
    <row r="32" spans="1:22" x14ac:dyDescent="0.2">
      <c r="A32" s="774"/>
      <c r="B32" s="4"/>
      <c r="C32" s="23"/>
      <c r="D32" s="23"/>
      <c r="E32" s="23"/>
      <c r="F32" s="23"/>
      <c r="G32" s="23"/>
      <c r="H32" s="23"/>
      <c r="I32" s="23"/>
      <c r="J32" s="23"/>
      <c r="K32" s="23"/>
      <c r="L32" s="23"/>
      <c r="M32" s="23"/>
      <c r="N32" s="23"/>
      <c r="O32" s="23"/>
      <c r="P32" s="25"/>
      <c r="Q32" s="23"/>
      <c r="R32" s="23"/>
      <c r="S32" s="23"/>
      <c r="T32" s="25"/>
      <c r="U32" s="25"/>
      <c r="V32" s="25"/>
    </row>
    <row r="33" spans="1:22" x14ac:dyDescent="0.2">
      <c r="A33" s="774"/>
      <c r="B33" s="4"/>
      <c r="C33" s="23"/>
      <c r="D33" s="23"/>
      <c r="E33" s="23"/>
      <c r="F33" s="23"/>
      <c r="G33" s="23"/>
      <c r="H33" s="23"/>
      <c r="I33" s="23"/>
      <c r="J33" s="23"/>
      <c r="K33" s="23"/>
      <c r="L33" s="23"/>
      <c r="M33" s="23"/>
      <c r="N33" s="23"/>
      <c r="O33" s="23"/>
      <c r="P33" s="25"/>
      <c r="Q33" s="23"/>
      <c r="R33" s="23"/>
      <c r="S33" s="23"/>
      <c r="T33" s="25"/>
      <c r="U33" s="25"/>
      <c r="V33" s="25"/>
    </row>
    <row r="34" spans="1:22" x14ac:dyDescent="0.2">
      <c r="A34" s="774"/>
      <c r="B34" s="4"/>
      <c r="C34" s="23"/>
      <c r="D34" s="23"/>
      <c r="E34" s="23"/>
      <c r="F34" s="23"/>
      <c r="G34" s="23"/>
      <c r="H34" s="23"/>
      <c r="I34" s="23"/>
      <c r="J34" s="23"/>
      <c r="K34" s="23"/>
      <c r="L34" s="23"/>
      <c r="M34" s="23"/>
      <c r="N34" s="23"/>
      <c r="O34" s="23"/>
      <c r="P34" s="25"/>
      <c r="Q34" s="23"/>
      <c r="R34" s="23"/>
      <c r="S34" s="23"/>
      <c r="T34" s="25"/>
      <c r="U34" s="25"/>
      <c r="V34" s="25"/>
    </row>
    <row r="35" spans="1:22" x14ac:dyDescent="0.2">
      <c r="A35" s="774"/>
      <c r="B35" s="4"/>
      <c r="C35" s="23"/>
      <c r="D35" s="23"/>
      <c r="E35" s="23"/>
      <c r="F35" s="23"/>
      <c r="G35" s="23"/>
      <c r="H35" s="23"/>
      <c r="I35" s="23"/>
      <c r="J35" s="23"/>
      <c r="K35" s="23"/>
      <c r="L35" s="23"/>
      <c r="M35" s="23"/>
      <c r="N35" s="23"/>
      <c r="O35" s="23"/>
      <c r="P35" s="25"/>
      <c r="Q35" s="23"/>
      <c r="R35" s="23"/>
      <c r="S35" s="23"/>
      <c r="T35" s="25"/>
      <c r="U35" s="25"/>
      <c r="V35" s="25"/>
    </row>
    <row r="36" spans="1:22" x14ac:dyDescent="0.2">
      <c r="A36" s="774"/>
      <c r="B36" s="4"/>
      <c r="C36" s="23"/>
      <c r="D36" s="23"/>
      <c r="E36" s="23"/>
      <c r="F36" s="23"/>
      <c r="G36" s="23"/>
      <c r="H36" s="23"/>
      <c r="I36" s="23"/>
      <c r="J36" s="23"/>
      <c r="K36" s="23"/>
      <c r="L36" s="23"/>
      <c r="M36" s="23"/>
      <c r="N36" s="23"/>
      <c r="O36" s="23"/>
      <c r="P36" s="25"/>
      <c r="Q36" s="23"/>
      <c r="R36" s="23"/>
      <c r="S36" s="23"/>
      <c r="T36" s="25"/>
      <c r="U36" s="25"/>
      <c r="V36" s="25"/>
    </row>
    <row r="37" spans="1:22" x14ac:dyDescent="0.2">
      <c r="A37" s="774"/>
      <c r="B37" s="4"/>
      <c r="C37" s="23"/>
      <c r="D37" s="23"/>
      <c r="E37" s="23"/>
      <c r="F37" s="23"/>
      <c r="G37" s="23"/>
      <c r="H37" s="23"/>
      <c r="I37" s="23"/>
      <c r="J37" s="23"/>
      <c r="K37" s="23"/>
      <c r="L37" s="23"/>
      <c r="M37" s="23"/>
      <c r="N37" s="23"/>
      <c r="O37" s="23"/>
      <c r="P37" s="25"/>
      <c r="Q37" s="23"/>
      <c r="R37" s="23"/>
      <c r="S37" s="23"/>
      <c r="T37" s="25"/>
      <c r="U37" s="25"/>
      <c r="V37" s="25"/>
    </row>
    <row r="38" spans="1:22" x14ac:dyDescent="0.2">
      <c r="A38" s="774"/>
      <c r="B38" s="4"/>
      <c r="C38" s="23"/>
      <c r="D38" s="23"/>
      <c r="E38" s="23"/>
      <c r="F38" s="23"/>
      <c r="G38" s="23"/>
      <c r="H38" s="23"/>
      <c r="I38" s="23"/>
      <c r="J38" s="23"/>
      <c r="K38" s="23"/>
      <c r="L38" s="23"/>
      <c r="M38" s="23"/>
      <c r="N38" s="23"/>
      <c r="O38" s="23"/>
      <c r="P38" s="25"/>
      <c r="Q38" s="23"/>
      <c r="R38" s="23"/>
      <c r="S38" s="23"/>
      <c r="T38" s="25"/>
      <c r="U38" s="25"/>
      <c r="V38" s="25"/>
    </row>
    <row r="39" spans="1:22" x14ac:dyDescent="0.2">
      <c r="A39" s="774"/>
      <c r="B39" s="4"/>
      <c r="C39" s="23"/>
      <c r="D39" s="23"/>
      <c r="E39" s="23"/>
      <c r="F39" s="23"/>
      <c r="G39" s="23"/>
      <c r="H39" s="23"/>
      <c r="I39" s="23"/>
      <c r="J39" s="23"/>
      <c r="K39" s="23"/>
      <c r="L39" s="23"/>
      <c r="M39" s="23"/>
      <c r="N39" s="23"/>
      <c r="O39" s="23"/>
      <c r="P39" s="25"/>
      <c r="Q39" s="23"/>
      <c r="R39" s="23"/>
      <c r="S39" s="23"/>
      <c r="T39" s="25"/>
      <c r="U39" s="25"/>
      <c r="V39" s="25"/>
    </row>
    <row r="40" spans="1:22" x14ac:dyDescent="0.2">
      <c r="A40" s="774"/>
      <c r="B40" s="4"/>
      <c r="C40" s="23"/>
      <c r="D40" s="23"/>
      <c r="E40" s="23"/>
      <c r="F40" s="23"/>
      <c r="G40" s="23"/>
      <c r="H40" s="23"/>
      <c r="I40" s="23"/>
      <c r="J40" s="23"/>
      <c r="K40" s="23"/>
      <c r="L40" s="23"/>
      <c r="M40" s="23"/>
      <c r="N40" s="23"/>
      <c r="O40" s="23"/>
      <c r="P40" s="25"/>
      <c r="Q40" s="23"/>
      <c r="R40" s="23"/>
      <c r="S40" s="23"/>
      <c r="T40" s="25"/>
      <c r="U40" s="25"/>
      <c r="V40" s="25"/>
    </row>
    <row r="41" spans="1:22" x14ac:dyDescent="0.2">
      <c r="A41" s="774"/>
      <c r="B41" s="4"/>
      <c r="C41" s="23"/>
      <c r="D41" s="23"/>
      <c r="E41" s="23"/>
      <c r="F41" s="23"/>
      <c r="G41" s="23"/>
      <c r="H41" s="23"/>
      <c r="I41" s="23"/>
      <c r="J41" s="23"/>
      <c r="K41" s="23"/>
      <c r="L41" s="23"/>
      <c r="M41" s="23"/>
      <c r="N41" s="23"/>
      <c r="O41" s="23"/>
      <c r="P41" s="25"/>
      <c r="Q41" s="23"/>
      <c r="R41" s="23"/>
      <c r="S41" s="23"/>
      <c r="T41" s="25"/>
      <c r="U41" s="25"/>
      <c r="V41" s="25"/>
    </row>
    <row r="42" spans="1:22" x14ac:dyDescent="0.2">
      <c r="A42" s="774"/>
      <c r="B42" s="4"/>
      <c r="C42" s="23"/>
      <c r="D42" s="23"/>
      <c r="E42" s="23"/>
      <c r="F42" s="23"/>
      <c r="G42" s="23"/>
      <c r="H42" s="23"/>
      <c r="I42" s="23"/>
      <c r="J42" s="23"/>
      <c r="K42" s="23"/>
      <c r="L42" s="23"/>
      <c r="M42" s="23"/>
      <c r="N42" s="23"/>
      <c r="O42" s="23"/>
      <c r="P42" s="25"/>
      <c r="Q42" s="23"/>
      <c r="R42" s="23"/>
      <c r="S42" s="23"/>
      <c r="T42" s="25"/>
      <c r="U42" s="25"/>
      <c r="V42" s="25"/>
    </row>
    <row r="43" spans="1:22" x14ac:dyDescent="0.2">
      <c r="A43" s="774"/>
      <c r="B43" s="4"/>
      <c r="C43" s="23"/>
      <c r="D43" s="23"/>
      <c r="E43" s="23"/>
      <c r="F43" s="23"/>
      <c r="G43" s="23"/>
      <c r="H43" s="23"/>
      <c r="I43" s="23"/>
      <c r="J43" s="23"/>
      <c r="K43" s="23"/>
      <c r="L43" s="23"/>
      <c r="M43" s="23"/>
      <c r="N43" s="23"/>
      <c r="O43" s="23"/>
      <c r="P43" s="25"/>
      <c r="Q43" s="23"/>
      <c r="R43" s="23"/>
      <c r="S43" s="23"/>
      <c r="T43" s="25"/>
      <c r="U43" s="25"/>
      <c r="V43" s="25"/>
    </row>
    <row r="44" spans="1:22" x14ac:dyDescent="0.2">
      <c r="A44" s="774"/>
      <c r="B44" s="4"/>
      <c r="C44" s="23"/>
      <c r="D44" s="23"/>
      <c r="E44" s="23"/>
      <c r="F44" s="23"/>
      <c r="G44" s="23"/>
      <c r="H44" s="23"/>
      <c r="I44" s="23"/>
      <c r="J44" s="23"/>
      <c r="K44" s="23"/>
      <c r="L44" s="23"/>
      <c r="M44" s="23"/>
      <c r="N44" s="23"/>
      <c r="O44" s="23"/>
      <c r="P44" s="25"/>
      <c r="Q44" s="23"/>
      <c r="R44" s="23"/>
      <c r="S44" s="23"/>
      <c r="T44" s="25"/>
      <c r="U44" s="25"/>
      <c r="V44" s="25"/>
    </row>
    <row r="45" spans="1:22" x14ac:dyDescent="0.2">
      <c r="A45" s="774"/>
      <c r="B45" s="4"/>
      <c r="C45" s="23"/>
      <c r="D45" s="23"/>
      <c r="E45" s="23"/>
      <c r="F45" s="23"/>
      <c r="G45" s="23"/>
      <c r="H45" s="23"/>
      <c r="I45" s="23"/>
      <c r="J45" s="23"/>
      <c r="K45" s="23"/>
      <c r="L45" s="23"/>
      <c r="M45" s="23"/>
      <c r="N45" s="23"/>
      <c r="O45" s="23"/>
      <c r="P45" s="25"/>
      <c r="Q45" s="23"/>
      <c r="R45" s="23"/>
      <c r="S45" s="23"/>
      <c r="T45" s="25"/>
      <c r="U45" s="25"/>
      <c r="V45" s="25"/>
    </row>
    <row r="46" spans="1:22" x14ac:dyDescent="0.2">
      <c r="A46" s="774"/>
      <c r="B46" s="4"/>
      <c r="C46" s="23"/>
      <c r="D46" s="23"/>
      <c r="E46" s="23"/>
      <c r="F46" s="23"/>
      <c r="G46" s="23"/>
      <c r="H46" s="23"/>
      <c r="I46" s="23"/>
      <c r="J46" s="23"/>
      <c r="K46" s="23"/>
      <c r="L46" s="23"/>
      <c r="M46" s="23"/>
      <c r="N46" s="23"/>
      <c r="O46" s="23"/>
      <c r="P46" s="25"/>
      <c r="Q46" s="23"/>
      <c r="R46" s="23"/>
      <c r="S46" s="23"/>
      <c r="T46" s="25"/>
      <c r="U46" s="25"/>
      <c r="V46" s="25"/>
    </row>
    <row r="47" spans="1:22" x14ac:dyDescent="0.2">
      <c r="A47" s="774"/>
      <c r="B47" s="4"/>
      <c r="C47" s="23"/>
      <c r="D47" s="23"/>
      <c r="E47" s="23"/>
      <c r="F47" s="23"/>
      <c r="G47" s="23"/>
      <c r="H47" s="23"/>
      <c r="I47" s="23"/>
      <c r="J47" s="23"/>
      <c r="K47" s="23"/>
      <c r="L47" s="23"/>
      <c r="M47" s="23"/>
      <c r="N47" s="23"/>
      <c r="O47" s="23"/>
      <c r="P47" s="25"/>
      <c r="Q47" s="23"/>
      <c r="R47" s="23"/>
      <c r="S47" s="23"/>
      <c r="T47" s="25"/>
      <c r="U47" s="25"/>
      <c r="V47" s="25"/>
    </row>
    <row r="48" spans="1:22" x14ac:dyDescent="0.2">
      <c r="A48" s="774"/>
      <c r="B48" s="4"/>
      <c r="C48" s="23"/>
      <c r="D48" s="23"/>
      <c r="E48" s="23"/>
      <c r="F48" s="23"/>
      <c r="G48" s="23"/>
      <c r="H48" s="23"/>
      <c r="I48" s="23"/>
      <c r="J48" s="23"/>
      <c r="K48" s="23"/>
      <c r="L48" s="23"/>
      <c r="M48" s="23"/>
      <c r="N48" s="23"/>
      <c r="O48" s="23"/>
      <c r="P48" s="25"/>
      <c r="Q48" s="23"/>
      <c r="R48" s="23"/>
      <c r="S48" s="23"/>
      <c r="T48" s="25"/>
      <c r="U48" s="25"/>
      <c r="V48" s="25"/>
    </row>
    <row r="49" spans="1:22" x14ac:dyDescent="0.2">
      <c r="A49" s="774"/>
      <c r="B49" s="4"/>
      <c r="C49" s="23"/>
      <c r="D49" s="23"/>
      <c r="E49" s="23"/>
      <c r="F49" s="23"/>
      <c r="G49" s="23"/>
      <c r="H49" s="23"/>
      <c r="I49" s="23"/>
      <c r="J49" s="23"/>
      <c r="K49" s="23"/>
      <c r="L49" s="23"/>
      <c r="M49" s="23"/>
      <c r="N49" s="23"/>
      <c r="O49" s="23"/>
      <c r="P49" s="25"/>
      <c r="Q49" s="23"/>
      <c r="R49" s="23"/>
      <c r="S49" s="23"/>
      <c r="T49" s="25"/>
      <c r="U49" s="25"/>
      <c r="V49" s="25"/>
    </row>
    <row r="50" spans="1:22" x14ac:dyDescent="0.2">
      <c r="A50" s="774"/>
      <c r="B50" s="4"/>
      <c r="C50" s="23"/>
      <c r="D50" s="23"/>
      <c r="E50" s="23"/>
      <c r="F50" s="23"/>
      <c r="G50" s="23"/>
      <c r="H50" s="23"/>
      <c r="I50" s="23"/>
      <c r="J50" s="23"/>
      <c r="K50" s="23"/>
      <c r="L50" s="23"/>
      <c r="M50" s="23"/>
      <c r="N50" s="23"/>
      <c r="O50" s="23"/>
      <c r="P50" s="25"/>
      <c r="Q50" s="23"/>
      <c r="R50" s="23"/>
      <c r="S50" s="23"/>
      <c r="T50" s="25"/>
      <c r="U50" s="25"/>
      <c r="V50" s="25"/>
    </row>
    <row r="51" spans="1:22" x14ac:dyDescent="0.2">
      <c r="A51" s="774"/>
      <c r="B51" s="4"/>
      <c r="C51" s="23"/>
      <c r="D51" s="23"/>
      <c r="E51" s="23"/>
      <c r="F51" s="23"/>
      <c r="G51" s="23"/>
      <c r="H51" s="23"/>
      <c r="I51" s="23"/>
      <c r="J51" s="23"/>
      <c r="K51" s="23"/>
      <c r="L51" s="23"/>
      <c r="M51" s="23"/>
      <c r="N51" s="23"/>
      <c r="O51" s="23"/>
      <c r="P51" s="25"/>
      <c r="Q51" s="23"/>
      <c r="R51" s="23"/>
      <c r="S51" s="23"/>
      <c r="T51" s="25"/>
      <c r="U51" s="25"/>
      <c r="V51" s="25"/>
    </row>
    <row r="52" spans="1:22" x14ac:dyDescent="0.2">
      <c r="A52" s="774"/>
      <c r="B52" s="4"/>
      <c r="C52" s="23"/>
      <c r="D52" s="23"/>
      <c r="E52" s="23"/>
      <c r="F52" s="23"/>
      <c r="G52" s="23"/>
      <c r="H52" s="23"/>
      <c r="I52" s="23"/>
      <c r="J52" s="23"/>
      <c r="K52" s="23"/>
      <c r="L52" s="23"/>
      <c r="M52" s="23"/>
      <c r="N52" s="23"/>
      <c r="O52" s="23"/>
      <c r="P52" s="4"/>
      <c r="Q52" s="23"/>
      <c r="R52" s="23"/>
      <c r="S52" s="23"/>
      <c r="T52" s="4"/>
      <c r="U52" s="4"/>
      <c r="V52" s="4"/>
    </row>
    <row r="53" spans="1:22" x14ac:dyDescent="0.2">
      <c r="A53" s="774"/>
      <c r="B53" s="4"/>
      <c r="C53" s="23"/>
      <c r="D53" s="23"/>
      <c r="E53" s="23"/>
      <c r="F53" s="23"/>
      <c r="G53" s="23"/>
      <c r="H53" s="23"/>
      <c r="I53" s="23"/>
      <c r="J53" s="23"/>
      <c r="K53" s="23"/>
      <c r="L53" s="23"/>
      <c r="M53" s="23"/>
      <c r="N53" s="23"/>
      <c r="O53" s="23"/>
      <c r="P53" s="4"/>
      <c r="Q53" s="23"/>
      <c r="R53" s="23"/>
      <c r="S53" s="23"/>
      <c r="T53" s="4"/>
      <c r="U53" s="4"/>
      <c r="V53" s="4"/>
    </row>
    <row r="54" spans="1:22" x14ac:dyDescent="0.2">
      <c r="A54" s="774"/>
      <c r="B54" s="4"/>
      <c r="C54" s="23"/>
      <c r="D54" s="23"/>
      <c r="E54" s="23"/>
      <c r="F54" s="23"/>
      <c r="G54" s="23"/>
      <c r="H54" s="23"/>
      <c r="I54" s="23"/>
      <c r="J54" s="23"/>
      <c r="K54" s="23"/>
      <c r="L54" s="23"/>
      <c r="M54" s="23"/>
      <c r="N54" s="23"/>
      <c r="O54" s="23"/>
      <c r="P54" s="4"/>
      <c r="Q54" s="23"/>
      <c r="R54" s="23"/>
      <c r="S54" s="23"/>
      <c r="T54" s="4"/>
      <c r="U54" s="4"/>
      <c r="V54" s="4"/>
    </row>
    <row r="55" spans="1:22" x14ac:dyDescent="0.2">
      <c r="A55" s="774"/>
      <c r="B55" s="4"/>
      <c r="C55" s="23"/>
      <c r="D55" s="23"/>
      <c r="E55" s="23"/>
      <c r="F55" s="23"/>
      <c r="G55" s="23"/>
      <c r="H55" s="23"/>
      <c r="I55" s="23"/>
      <c r="J55" s="23"/>
      <c r="K55" s="23"/>
      <c r="L55" s="23"/>
      <c r="M55" s="23"/>
      <c r="N55" s="23"/>
      <c r="O55" s="23"/>
      <c r="P55" s="4"/>
      <c r="Q55" s="23"/>
      <c r="R55" s="23"/>
      <c r="S55" s="23"/>
      <c r="T55" s="4"/>
      <c r="U55" s="4"/>
      <c r="V55" s="4"/>
    </row>
    <row r="56" spans="1:22" x14ac:dyDescent="0.2">
      <c r="A56" s="774"/>
      <c r="B56" s="4"/>
      <c r="C56" s="23"/>
      <c r="D56" s="23"/>
      <c r="E56" s="23"/>
      <c r="F56" s="23"/>
      <c r="G56" s="23"/>
      <c r="H56" s="23"/>
      <c r="I56" s="23"/>
      <c r="J56" s="23"/>
      <c r="K56" s="23"/>
      <c r="L56" s="23"/>
      <c r="M56" s="23"/>
      <c r="N56" s="23"/>
      <c r="O56" s="23"/>
      <c r="P56" s="4"/>
      <c r="Q56" s="23"/>
      <c r="R56" s="23"/>
      <c r="S56" s="23"/>
      <c r="T56" s="4"/>
      <c r="U56" s="4"/>
      <c r="V56" s="4"/>
    </row>
    <row r="57" spans="1:22" x14ac:dyDescent="0.2">
      <c r="A57" s="774"/>
      <c r="B57" s="4"/>
      <c r="C57" s="23"/>
      <c r="D57" s="23"/>
      <c r="E57" s="23"/>
      <c r="F57" s="23"/>
      <c r="G57" s="23"/>
      <c r="H57" s="23"/>
      <c r="I57" s="23"/>
      <c r="J57" s="23"/>
      <c r="K57" s="23"/>
      <c r="L57" s="23"/>
      <c r="M57" s="23"/>
      <c r="N57" s="23"/>
      <c r="O57" s="23"/>
      <c r="P57" s="4"/>
      <c r="Q57" s="23"/>
      <c r="R57" s="23"/>
      <c r="S57" s="23"/>
      <c r="T57" s="4"/>
      <c r="U57" s="4"/>
      <c r="V57" s="4"/>
    </row>
    <row r="58" spans="1:22" x14ac:dyDescent="0.2">
      <c r="A58" s="774"/>
      <c r="B58" s="4"/>
      <c r="C58" s="23"/>
      <c r="D58" s="23"/>
      <c r="E58" s="23"/>
      <c r="F58" s="23"/>
      <c r="G58" s="23"/>
      <c r="H58" s="23"/>
      <c r="I58" s="23"/>
      <c r="J58" s="23"/>
      <c r="K58" s="23"/>
      <c r="L58" s="23"/>
      <c r="M58" s="23"/>
      <c r="N58" s="23"/>
      <c r="O58" s="23"/>
      <c r="P58" s="4"/>
      <c r="Q58" s="23"/>
      <c r="R58" s="23"/>
      <c r="S58" s="23"/>
      <c r="T58" s="4"/>
      <c r="U58" s="4"/>
      <c r="V58" s="4"/>
    </row>
    <row r="59" spans="1:22" x14ac:dyDescent="0.2">
      <c r="A59" s="774"/>
      <c r="B59" s="4"/>
      <c r="C59" s="23"/>
      <c r="D59" s="23"/>
      <c r="E59" s="23"/>
      <c r="F59" s="23"/>
      <c r="G59" s="23"/>
      <c r="H59" s="23"/>
      <c r="I59" s="23"/>
      <c r="J59" s="23"/>
      <c r="K59" s="23"/>
      <c r="L59" s="23"/>
      <c r="M59" s="23"/>
      <c r="N59" s="23"/>
      <c r="O59" s="23"/>
      <c r="P59" s="4"/>
      <c r="Q59" s="23"/>
      <c r="R59" s="23"/>
      <c r="S59" s="23"/>
      <c r="T59" s="4"/>
      <c r="U59" s="4"/>
      <c r="V59" s="4"/>
    </row>
    <row r="60" spans="1:22" x14ac:dyDescent="0.2">
      <c r="A60" s="774"/>
      <c r="B60" s="4"/>
      <c r="C60" s="23"/>
      <c r="D60" s="23"/>
      <c r="E60" s="23"/>
      <c r="F60" s="23"/>
      <c r="G60" s="23"/>
      <c r="H60" s="23"/>
      <c r="I60" s="23"/>
      <c r="J60" s="23"/>
      <c r="K60" s="23"/>
      <c r="L60" s="23"/>
      <c r="M60" s="23"/>
      <c r="N60" s="23"/>
      <c r="O60" s="23"/>
      <c r="P60" s="4"/>
      <c r="Q60" s="23"/>
      <c r="R60" s="23"/>
      <c r="S60" s="23"/>
      <c r="T60" s="4"/>
      <c r="U60" s="4"/>
      <c r="V60" s="4"/>
    </row>
    <row r="61" spans="1:22" x14ac:dyDescent="0.2">
      <c r="A61" s="774"/>
      <c r="B61" s="4"/>
      <c r="C61" s="23"/>
      <c r="D61" s="23"/>
      <c r="E61" s="23"/>
      <c r="F61" s="23"/>
      <c r="G61" s="23"/>
      <c r="H61" s="23"/>
      <c r="I61" s="23"/>
      <c r="J61" s="23"/>
      <c r="K61" s="23"/>
      <c r="L61" s="23"/>
      <c r="M61" s="23"/>
      <c r="N61" s="23"/>
      <c r="O61" s="23"/>
      <c r="P61" s="4"/>
      <c r="Q61" s="23"/>
      <c r="R61" s="23"/>
      <c r="S61" s="23"/>
      <c r="T61" s="4"/>
      <c r="U61" s="4"/>
      <c r="V61" s="4"/>
    </row>
    <row r="62" spans="1:22" x14ac:dyDescent="0.2">
      <c r="A62" s="774"/>
      <c r="B62" s="4"/>
      <c r="C62" s="23"/>
      <c r="D62" s="23"/>
      <c r="E62" s="23"/>
      <c r="F62" s="23"/>
      <c r="G62" s="23"/>
      <c r="H62" s="23"/>
      <c r="I62" s="23"/>
      <c r="J62" s="23"/>
      <c r="K62" s="23"/>
      <c r="L62" s="23"/>
      <c r="M62" s="23"/>
      <c r="N62" s="23"/>
      <c r="O62" s="23"/>
      <c r="P62" s="4"/>
      <c r="Q62" s="23"/>
      <c r="R62" s="23"/>
      <c r="S62" s="23"/>
      <c r="T62" s="4"/>
      <c r="U62" s="4"/>
      <c r="V62" s="4"/>
    </row>
    <row r="63" spans="1:22" x14ac:dyDescent="0.2">
      <c r="A63" s="774"/>
      <c r="B63" s="4"/>
      <c r="C63" s="23"/>
      <c r="D63" s="23"/>
      <c r="E63" s="23"/>
      <c r="F63" s="23"/>
      <c r="G63" s="23"/>
      <c r="H63" s="23"/>
      <c r="I63" s="23"/>
      <c r="J63" s="23"/>
      <c r="K63" s="23"/>
      <c r="L63" s="23"/>
      <c r="M63" s="23"/>
      <c r="N63" s="23"/>
      <c r="O63" s="23"/>
      <c r="P63" s="4"/>
      <c r="Q63" s="23"/>
      <c r="R63" s="23"/>
      <c r="S63" s="23"/>
      <c r="T63" s="4"/>
      <c r="U63" s="4"/>
      <c r="V63" s="4"/>
    </row>
    <row r="64" spans="1:22" x14ac:dyDescent="0.2">
      <c r="A64" s="774"/>
      <c r="B64" s="4"/>
      <c r="C64" s="23"/>
      <c r="D64" s="23"/>
      <c r="E64" s="23"/>
      <c r="F64" s="23"/>
      <c r="G64" s="23"/>
      <c r="H64" s="23"/>
      <c r="I64" s="23"/>
      <c r="J64" s="23"/>
      <c r="K64" s="23"/>
      <c r="L64" s="23"/>
      <c r="M64" s="23"/>
      <c r="N64" s="23"/>
      <c r="O64" s="23"/>
      <c r="P64" s="4"/>
      <c r="Q64" s="23"/>
      <c r="R64" s="23"/>
      <c r="S64" s="23"/>
      <c r="T64" s="4"/>
      <c r="U64" s="4"/>
      <c r="V64" s="4"/>
    </row>
    <row r="65" spans="1:22" x14ac:dyDescent="0.2">
      <c r="A65" s="774"/>
      <c r="B65" s="4"/>
      <c r="C65" s="23"/>
      <c r="D65" s="23"/>
      <c r="E65" s="23"/>
      <c r="F65" s="23"/>
      <c r="G65" s="23"/>
      <c r="H65" s="23"/>
      <c r="I65" s="23"/>
      <c r="J65" s="23"/>
      <c r="K65" s="23"/>
      <c r="L65" s="23"/>
      <c r="M65" s="23"/>
      <c r="N65" s="23"/>
      <c r="O65" s="23"/>
      <c r="P65" s="4"/>
      <c r="Q65" s="23"/>
      <c r="R65" s="23"/>
      <c r="S65" s="23"/>
      <c r="T65" s="4"/>
      <c r="U65" s="4"/>
      <c r="V65" s="4"/>
    </row>
    <row r="66" spans="1:22" x14ac:dyDescent="0.2">
      <c r="A66" s="774"/>
      <c r="B66" s="4"/>
      <c r="C66" s="23"/>
      <c r="D66" s="23"/>
      <c r="E66" s="23"/>
      <c r="F66" s="23"/>
      <c r="G66" s="23"/>
      <c r="H66" s="23"/>
      <c r="I66" s="23"/>
      <c r="J66" s="23"/>
      <c r="K66" s="23"/>
      <c r="L66" s="23"/>
      <c r="M66" s="23"/>
      <c r="N66" s="23"/>
      <c r="O66" s="23"/>
      <c r="P66" s="4"/>
      <c r="Q66" s="23"/>
      <c r="R66" s="23"/>
      <c r="S66" s="23"/>
      <c r="T66" s="4"/>
      <c r="U66" s="4"/>
      <c r="V66" s="4"/>
    </row>
    <row r="67" spans="1:22" x14ac:dyDescent="0.2">
      <c r="A67" s="774"/>
      <c r="B67" s="4"/>
      <c r="C67" s="23"/>
      <c r="D67" s="23"/>
      <c r="E67" s="23"/>
      <c r="F67" s="23"/>
      <c r="G67" s="23"/>
      <c r="H67" s="23"/>
      <c r="I67" s="23"/>
      <c r="J67" s="23"/>
      <c r="K67" s="23"/>
      <c r="L67" s="23"/>
      <c r="M67" s="23"/>
      <c r="N67" s="23"/>
      <c r="O67" s="23"/>
      <c r="P67" s="4"/>
      <c r="Q67" s="23"/>
      <c r="R67" s="23"/>
      <c r="S67" s="23"/>
      <c r="T67" s="4"/>
      <c r="U67" s="4"/>
      <c r="V67" s="4"/>
    </row>
    <row r="68" spans="1:22" x14ac:dyDescent="0.2">
      <c r="A68" s="774"/>
      <c r="B68" s="4"/>
      <c r="C68" s="23"/>
      <c r="D68" s="23"/>
      <c r="E68" s="23"/>
      <c r="F68" s="23"/>
      <c r="G68" s="23"/>
      <c r="H68" s="23"/>
      <c r="I68" s="23"/>
      <c r="J68" s="23"/>
      <c r="K68" s="23"/>
      <c r="L68" s="23"/>
      <c r="M68" s="23"/>
      <c r="N68" s="23"/>
      <c r="O68" s="23"/>
      <c r="P68" s="4"/>
      <c r="Q68" s="23"/>
      <c r="R68" s="23"/>
      <c r="S68" s="23"/>
      <c r="T68" s="4"/>
      <c r="U68" s="4"/>
      <c r="V68" s="4"/>
    </row>
    <row r="69" spans="1:22" x14ac:dyDescent="0.2">
      <c r="A69" s="774"/>
      <c r="B69" s="4"/>
      <c r="C69" s="23"/>
      <c r="D69" s="23"/>
      <c r="E69" s="23"/>
      <c r="F69" s="23"/>
      <c r="G69" s="23"/>
      <c r="H69" s="23"/>
      <c r="I69" s="23"/>
      <c r="J69" s="23"/>
      <c r="K69" s="23"/>
      <c r="L69" s="23"/>
      <c r="M69" s="23"/>
      <c r="N69" s="23"/>
      <c r="O69" s="23"/>
      <c r="P69" s="4"/>
      <c r="Q69" s="23"/>
      <c r="R69" s="23"/>
      <c r="S69" s="23"/>
      <c r="T69" s="4"/>
      <c r="U69" s="4"/>
      <c r="V69" s="4"/>
    </row>
    <row r="70" spans="1:22" x14ac:dyDescent="0.2">
      <c r="A70" s="774"/>
      <c r="B70" s="4"/>
      <c r="C70" s="23"/>
      <c r="D70" s="23"/>
      <c r="E70" s="23"/>
      <c r="F70" s="23"/>
      <c r="G70" s="23"/>
      <c r="H70" s="23"/>
      <c r="I70" s="23"/>
      <c r="J70" s="23"/>
      <c r="K70" s="23"/>
      <c r="L70" s="23"/>
      <c r="M70" s="23"/>
      <c r="N70" s="23"/>
      <c r="O70" s="23"/>
      <c r="P70" s="4"/>
      <c r="Q70" s="23"/>
      <c r="R70" s="23"/>
      <c r="S70" s="23"/>
      <c r="T70" s="4"/>
      <c r="U70" s="4"/>
      <c r="V70" s="4"/>
    </row>
    <row r="71" spans="1:22" x14ac:dyDescent="0.2">
      <c r="A71" s="774"/>
      <c r="B71" s="4"/>
      <c r="C71" s="23"/>
      <c r="D71" s="23"/>
      <c r="E71" s="23"/>
      <c r="F71" s="23"/>
      <c r="G71" s="23"/>
      <c r="H71" s="23"/>
      <c r="I71" s="23"/>
      <c r="J71" s="23"/>
      <c r="K71" s="23"/>
      <c r="L71" s="23"/>
      <c r="M71" s="23"/>
      <c r="N71" s="23"/>
      <c r="O71" s="23"/>
      <c r="P71" s="4"/>
      <c r="Q71" s="23"/>
      <c r="R71" s="23"/>
      <c r="S71" s="23"/>
      <c r="T71" s="4"/>
      <c r="U71" s="4"/>
      <c r="V71" s="4"/>
    </row>
    <row r="72" spans="1:22" x14ac:dyDescent="0.2">
      <c r="A72" s="774"/>
      <c r="B72" s="4"/>
      <c r="C72" s="23"/>
      <c r="D72" s="23"/>
      <c r="E72" s="23"/>
      <c r="F72" s="23"/>
      <c r="G72" s="23"/>
      <c r="H72" s="23"/>
      <c r="I72" s="23"/>
      <c r="J72" s="23"/>
      <c r="K72" s="23"/>
      <c r="L72" s="23"/>
      <c r="M72" s="23"/>
      <c r="N72" s="23"/>
      <c r="O72" s="23"/>
      <c r="P72" s="4"/>
      <c r="Q72" s="23"/>
      <c r="R72" s="23"/>
      <c r="S72" s="23"/>
      <c r="T72" s="4"/>
      <c r="U72" s="4"/>
      <c r="V72" s="4"/>
    </row>
    <row r="73" spans="1:22" x14ac:dyDescent="0.2">
      <c r="A73" s="774"/>
      <c r="B73" s="4"/>
      <c r="C73" s="23"/>
      <c r="D73" s="23"/>
      <c r="E73" s="23"/>
      <c r="F73" s="23"/>
      <c r="G73" s="23"/>
      <c r="H73" s="23"/>
      <c r="I73" s="23"/>
      <c r="J73" s="23"/>
      <c r="K73" s="23"/>
      <c r="L73" s="23"/>
      <c r="M73" s="23"/>
      <c r="N73" s="23"/>
      <c r="O73" s="23"/>
      <c r="P73" s="4"/>
      <c r="Q73" s="23"/>
      <c r="R73" s="23"/>
      <c r="S73" s="23"/>
      <c r="T73" s="4"/>
      <c r="U73" s="4"/>
      <c r="V73" s="4"/>
    </row>
    <row r="74" spans="1:22" x14ac:dyDescent="0.2">
      <c r="A74" s="774"/>
      <c r="B74" s="4"/>
      <c r="C74" s="23"/>
      <c r="D74" s="23"/>
      <c r="E74" s="23"/>
      <c r="F74" s="23"/>
      <c r="G74" s="23"/>
      <c r="H74" s="23"/>
      <c r="I74" s="23"/>
      <c r="J74" s="23"/>
      <c r="K74" s="23"/>
      <c r="L74" s="23"/>
      <c r="M74" s="23"/>
      <c r="N74" s="23"/>
      <c r="O74" s="23"/>
      <c r="P74" s="4"/>
      <c r="Q74" s="23"/>
      <c r="R74" s="23"/>
      <c r="S74" s="23"/>
      <c r="T74" s="4"/>
      <c r="U74" s="4"/>
      <c r="V74" s="4"/>
    </row>
    <row r="75" spans="1:22" x14ac:dyDescent="0.2">
      <c r="A75" s="774"/>
      <c r="B75" s="4"/>
      <c r="C75" s="23"/>
      <c r="D75" s="23"/>
      <c r="E75" s="23"/>
      <c r="F75" s="23"/>
      <c r="G75" s="23"/>
      <c r="H75" s="23"/>
      <c r="I75" s="23"/>
      <c r="J75" s="23"/>
      <c r="K75" s="23"/>
      <c r="L75" s="23"/>
      <c r="M75" s="23"/>
      <c r="N75" s="23"/>
      <c r="O75" s="23"/>
      <c r="P75" s="4"/>
      <c r="Q75" s="23"/>
      <c r="R75" s="23"/>
      <c r="S75" s="23"/>
      <c r="T75" s="4"/>
      <c r="U75" s="4"/>
      <c r="V75" s="4"/>
    </row>
    <row r="76" spans="1:22" x14ac:dyDescent="0.2">
      <c r="A76" s="774"/>
      <c r="B76" s="4"/>
      <c r="C76" s="23"/>
      <c r="D76" s="23"/>
      <c r="E76" s="23"/>
      <c r="F76" s="23"/>
      <c r="G76" s="23"/>
      <c r="H76" s="23"/>
      <c r="I76" s="23"/>
      <c r="J76" s="23"/>
      <c r="K76" s="23"/>
      <c r="L76" s="23"/>
      <c r="M76" s="23"/>
      <c r="N76" s="23"/>
      <c r="O76" s="23"/>
      <c r="P76" s="4"/>
      <c r="Q76" s="23"/>
      <c r="R76" s="23"/>
      <c r="S76" s="23"/>
      <c r="T76" s="4"/>
      <c r="U76" s="4"/>
      <c r="V76" s="4"/>
    </row>
    <row r="77" spans="1:22" x14ac:dyDescent="0.2">
      <c r="A77" s="774"/>
      <c r="B77" s="4"/>
      <c r="C77" s="23"/>
      <c r="D77" s="23"/>
      <c r="E77" s="23"/>
      <c r="F77" s="23"/>
      <c r="G77" s="23"/>
      <c r="H77" s="23"/>
      <c r="I77" s="23"/>
      <c r="J77" s="23"/>
      <c r="K77" s="23"/>
      <c r="L77" s="23"/>
      <c r="M77" s="23"/>
      <c r="N77" s="23"/>
      <c r="O77" s="23"/>
      <c r="P77" s="4"/>
      <c r="Q77" s="23"/>
      <c r="R77" s="23"/>
      <c r="S77" s="23"/>
      <c r="T77" s="4"/>
      <c r="U77" s="4"/>
      <c r="V77" s="4"/>
    </row>
    <row r="78" spans="1:22" x14ac:dyDescent="0.2">
      <c r="A78" s="774"/>
      <c r="B78" s="4"/>
      <c r="C78" s="23"/>
      <c r="D78" s="23"/>
      <c r="E78" s="23"/>
      <c r="F78" s="23"/>
      <c r="G78" s="23"/>
      <c r="H78" s="23"/>
      <c r="I78" s="23"/>
      <c r="J78" s="23"/>
      <c r="K78" s="23"/>
      <c r="L78" s="23"/>
      <c r="M78" s="23"/>
      <c r="N78" s="23"/>
      <c r="O78" s="23"/>
      <c r="P78" s="4"/>
      <c r="Q78" s="23"/>
      <c r="R78" s="23"/>
      <c r="S78" s="23"/>
      <c r="T78" s="4"/>
      <c r="U78" s="4"/>
      <c r="V78" s="4"/>
    </row>
    <row r="79" spans="1:22" x14ac:dyDescent="0.2">
      <c r="A79" s="774"/>
      <c r="B79" s="4"/>
      <c r="C79" s="23"/>
      <c r="D79" s="23"/>
      <c r="E79" s="23"/>
      <c r="F79" s="23"/>
      <c r="G79" s="23"/>
      <c r="H79" s="23"/>
      <c r="I79" s="23"/>
      <c r="J79" s="23"/>
      <c r="K79" s="23"/>
      <c r="L79" s="23"/>
      <c r="M79" s="23"/>
      <c r="N79" s="23"/>
      <c r="O79" s="23"/>
      <c r="P79" s="4"/>
      <c r="Q79" s="23"/>
      <c r="R79" s="23"/>
      <c r="S79" s="23"/>
      <c r="T79" s="4"/>
      <c r="U79" s="4"/>
      <c r="V79" s="4"/>
    </row>
    <row r="80" spans="1:22" x14ac:dyDescent="0.2">
      <c r="A80" s="774"/>
      <c r="B80" s="4"/>
      <c r="C80" s="23"/>
      <c r="D80" s="23"/>
      <c r="E80" s="23"/>
      <c r="F80" s="23"/>
      <c r="G80" s="23"/>
      <c r="H80" s="23"/>
      <c r="I80" s="23"/>
      <c r="J80" s="23"/>
      <c r="K80" s="23"/>
      <c r="L80" s="23"/>
      <c r="M80" s="23"/>
      <c r="N80" s="23"/>
      <c r="O80" s="23"/>
      <c r="P80" s="4"/>
      <c r="Q80" s="23"/>
      <c r="R80" s="23"/>
      <c r="S80" s="23"/>
      <c r="T80" s="4"/>
      <c r="U80" s="4"/>
      <c r="V80" s="4"/>
    </row>
    <row r="81" spans="1:22" x14ac:dyDescent="0.2">
      <c r="A81" s="774"/>
      <c r="B81" s="4"/>
      <c r="C81" s="23"/>
      <c r="D81" s="23"/>
      <c r="E81" s="23"/>
      <c r="F81" s="23"/>
      <c r="G81" s="23"/>
      <c r="H81" s="23"/>
      <c r="I81" s="23"/>
      <c r="J81" s="23"/>
      <c r="K81" s="23"/>
      <c r="L81" s="23"/>
      <c r="M81" s="23"/>
      <c r="N81" s="23"/>
      <c r="O81" s="23"/>
      <c r="P81" s="4"/>
      <c r="Q81" s="23"/>
      <c r="R81" s="23"/>
      <c r="S81" s="23"/>
      <c r="T81" s="4"/>
      <c r="U81" s="4"/>
      <c r="V81" s="4"/>
    </row>
    <row r="82" spans="1:22" x14ac:dyDescent="0.2">
      <c r="A82" s="774"/>
      <c r="B82" s="4"/>
      <c r="C82" s="23"/>
      <c r="D82" s="23"/>
      <c r="E82" s="23"/>
      <c r="F82" s="23"/>
      <c r="G82" s="23"/>
      <c r="H82" s="23"/>
      <c r="I82" s="23"/>
      <c r="J82" s="23"/>
      <c r="K82" s="23"/>
      <c r="L82" s="23"/>
      <c r="M82" s="23"/>
      <c r="N82" s="23"/>
      <c r="O82" s="23"/>
      <c r="P82" s="4"/>
      <c r="Q82" s="23"/>
      <c r="R82" s="23"/>
      <c r="S82" s="23"/>
      <c r="T82" s="4"/>
      <c r="U82" s="4"/>
      <c r="V82" s="4"/>
    </row>
    <row r="83" spans="1:22" x14ac:dyDescent="0.2">
      <c r="A83" s="774"/>
      <c r="B83" s="4"/>
      <c r="C83" s="23"/>
      <c r="D83" s="23"/>
      <c r="E83" s="23"/>
      <c r="F83" s="23"/>
      <c r="G83" s="23"/>
      <c r="H83" s="23"/>
      <c r="I83" s="23"/>
      <c r="J83" s="23"/>
      <c r="K83" s="23"/>
      <c r="L83" s="23"/>
      <c r="M83" s="23"/>
      <c r="N83" s="23"/>
      <c r="O83" s="23"/>
      <c r="P83" s="4"/>
      <c r="Q83" s="23"/>
      <c r="R83" s="23"/>
      <c r="S83" s="23"/>
      <c r="T83" s="4"/>
      <c r="U83" s="4"/>
      <c r="V83" s="4"/>
    </row>
    <row r="84" spans="1:22" x14ac:dyDescent="0.2">
      <c r="A84" s="774"/>
      <c r="B84" s="4"/>
      <c r="C84" s="23"/>
      <c r="D84" s="23"/>
      <c r="E84" s="23"/>
      <c r="F84" s="23"/>
      <c r="G84" s="23"/>
      <c r="H84" s="23"/>
      <c r="I84" s="23"/>
      <c r="J84" s="23"/>
      <c r="K84" s="23"/>
      <c r="L84" s="23"/>
      <c r="M84" s="23"/>
      <c r="N84" s="23"/>
      <c r="O84" s="23"/>
      <c r="P84" s="4"/>
      <c r="Q84" s="23"/>
      <c r="R84" s="23"/>
      <c r="S84" s="23"/>
      <c r="T84" s="4"/>
      <c r="U84" s="4"/>
      <c r="V84" s="4"/>
    </row>
    <row r="85" spans="1:22" x14ac:dyDescent="0.2">
      <c r="A85" s="774"/>
      <c r="B85" s="4"/>
      <c r="C85" s="23"/>
      <c r="D85" s="23"/>
      <c r="E85" s="23"/>
      <c r="F85" s="23"/>
      <c r="G85" s="23"/>
      <c r="H85" s="23"/>
      <c r="I85" s="23"/>
      <c r="J85" s="23"/>
      <c r="K85" s="23"/>
      <c r="L85" s="23"/>
      <c r="M85" s="23"/>
      <c r="N85" s="23"/>
      <c r="O85" s="23"/>
      <c r="P85" s="4"/>
      <c r="Q85" s="23"/>
      <c r="R85" s="23"/>
      <c r="S85" s="23"/>
      <c r="T85" s="4"/>
      <c r="U85" s="4"/>
      <c r="V85" s="4"/>
    </row>
    <row r="86" spans="1:22" x14ac:dyDescent="0.2">
      <c r="A86" s="774"/>
      <c r="B86" s="4"/>
      <c r="C86" s="23"/>
      <c r="D86" s="23"/>
      <c r="E86" s="23"/>
      <c r="F86" s="23"/>
      <c r="G86" s="23"/>
      <c r="H86" s="23"/>
      <c r="I86" s="23"/>
      <c r="J86" s="23"/>
      <c r="K86" s="23"/>
      <c r="L86" s="23"/>
      <c r="M86" s="23"/>
      <c r="N86" s="23"/>
      <c r="O86" s="23"/>
      <c r="P86" s="4"/>
      <c r="Q86" s="23"/>
      <c r="R86" s="23"/>
      <c r="S86" s="23"/>
      <c r="T86" s="4"/>
      <c r="U86" s="4"/>
      <c r="V86" s="4"/>
    </row>
    <row r="87" spans="1:22" x14ac:dyDescent="0.2">
      <c r="A87" s="774"/>
      <c r="B87" s="4"/>
      <c r="C87" s="23"/>
      <c r="D87" s="23"/>
      <c r="E87" s="23"/>
      <c r="F87" s="23"/>
      <c r="G87" s="23"/>
      <c r="H87" s="23"/>
      <c r="I87" s="23"/>
      <c r="J87" s="23"/>
      <c r="K87" s="23"/>
      <c r="L87" s="23"/>
      <c r="M87" s="23"/>
      <c r="N87" s="23"/>
      <c r="O87" s="23"/>
      <c r="P87" s="4"/>
      <c r="Q87" s="23"/>
      <c r="R87" s="23"/>
      <c r="S87" s="23"/>
      <c r="T87" s="4"/>
      <c r="U87" s="4"/>
      <c r="V87" s="4"/>
    </row>
    <row r="88" spans="1:22" x14ac:dyDescent="0.2">
      <c r="A88" s="774"/>
      <c r="B88" s="4"/>
      <c r="C88" s="23"/>
      <c r="D88" s="23"/>
      <c r="E88" s="23"/>
      <c r="F88" s="23"/>
      <c r="G88" s="23"/>
      <c r="H88" s="23"/>
      <c r="I88" s="23"/>
      <c r="J88" s="23"/>
      <c r="K88" s="23"/>
      <c r="L88" s="23"/>
      <c r="M88" s="23"/>
      <c r="N88" s="23"/>
      <c r="O88" s="23"/>
      <c r="P88" s="4"/>
      <c r="Q88" s="23"/>
      <c r="R88" s="23"/>
      <c r="S88" s="23"/>
      <c r="T88" s="4"/>
      <c r="U88" s="4"/>
      <c r="V88" s="4"/>
    </row>
    <row r="89" spans="1:22" x14ac:dyDescent="0.2">
      <c r="A89" s="774"/>
      <c r="B89" s="4"/>
      <c r="C89" s="23"/>
      <c r="D89" s="23"/>
      <c r="E89" s="23"/>
      <c r="F89" s="23"/>
      <c r="G89" s="23"/>
      <c r="H89" s="23"/>
      <c r="I89" s="23"/>
      <c r="J89" s="23"/>
      <c r="K89" s="23"/>
      <c r="L89" s="23"/>
      <c r="M89" s="23"/>
      <c r="N89" s="23"/>
      <c r="O89" s="23"/>
      <c r="P89" s="4"/>
      <c r="Q89" s="23"/>
      <c r="R89" s="23"/>
      <c r="S89" s="23"/>
      <c r="T89" s="4"/>
      <c r="U89" s="4"/>
      <c r="V89" s="4"/>
    </row>
    <row r="90" spans="1:22" x14ac:dyDescent="0.2">
      <c r="A90" s="774"/>
      <c r="B90" s="4"/>
      <c r="C90" s="23"/>
      <c r="D90" s="23"/>
      <c r="E90" s="23"/>
      <c r="F90" s="23"/>
      <c r="G90" s="23"/>
      <c r="H90" s="23"/>
      <c r="I90" s="23"/>
      <c r="J90" s="23"/>
      <c r="K90" s="23"/>
      <c r="L90" s="23"/>
      <c r="M90" s="23"/>
      <c r="N90" s="23"/>
      <c r="O90" s="23"/>
      <c r="P90" s="4"/>
      <c r="Q90" s="23"/>
      <c r="R90" s="23"/>
      <c r="S90" s="23"/>
      <c r="T90" s="4"/>
      <c r="U90" s="4"/>
      <c r="V90" s="4"/>
    </row>
    <row r="91" spans="1:22" x14ac:dyDescent="0.2">
      <c r="A91" s="774"/>
      <c r="B91" s="4"/>
      <c r="C91" s="23"/>
      <c r="D91" s="23"/>
      <c r="E91" s="23"/>
      <c r="F91" s="23"/>
      <c r="G91" s="23"/>
      <c r="H91" s="23"/>
      <c r="I91" s="23"/>
      <c r="J91" s="23"/>
      <c r="K91" s="23"/>
      <c r="L91" s="23"/>
      <c r="M91" s="23"/>
      <c r="N91" s="23"/>
      <c r="O91" s="23"/>
      <c r="P91" s="4"/>
      <c r="Q91" s="23"/>
      <c r="R91" s="23"/>
      <c r="S91" s="23"/>
      <c r="T91" s="4"/>
      <c r="U91" s="4"/>
      <c r="V91" s="4"/>
    </row>
    <row r="92" spans="1:22" x14ac:dyDescent="0.2">
      <c r="A92" s="774"/>
      <c r="B92" s="4"/>
      <c r="C92" s="23"/>
      <c r="D92" s="23"/>
      <c r="E92" s="23"/>
      <c r="F92" s="23"/>
      <c r="G92" s="23"/>
      <c r="H92" s="23"/>
      <c r="I92" s="23"/>
      <c r="J92" s="23"/>
      <c r="K92" s="23"/>
      <c r="L92" s="23"/>
      <c r="M92" s="23"/>
      <c r="N92" s="23"/>
      <c r="O92" s="23"/>
      <c r="P92" s="4"/>
      <c r="Q92" s="23"/>
      <c r="R92" s="23"/>
      <c r="S92" s="23"/>
      <c r="T92" s="4"/>
      <c r="U92" s="4"/>
      <c r="V92" s="4"/>
    </row>
    <row r="93" spans="1:22" x14ac:dyDescent="0.2">
      <c r="A93" s="774"/>
      <c r="B93" s="4"/>
      <c r="C93" s="23"/>
      <c r="D93" s="23"/>
      <c r="E93" s="23"/>
      <c r="F93" s="23"/>
      <c r="G93" s="23"/>
      <c r="H93" s="23"/>
      <c r="I93" s="23"/>
      <c r="J93" s="23"/>
      <c r="K93" s="23"/>
      <c r="L93" s="23"/>
      <c r="M93" s="23"/>
      <c r="N93" s="23"/>
      <c r="O93" s="23"/>
      <c r="P93" s="4"/>
      <c r="Q93" s="23"/>
      <c r="R93" s="23"/>
      <c r="S93" s="23"/>
      <c r="T93" s="4"/>
      <c r="U93" s="4"/>
      <c r="V93" s="4"/>
    </row>
    <row r="94" spans="1:22" x14ac:dyDescent="0.2">
      <c r="A94" s="774"/>
      <c r="B94" s="4"/>
      <c r="C94" s="23"/>
      <c r="D94" s="23"/>
      <c r="E94" s="23"/>
      <c r="F94" s="23"/>
      <c r="G94" s="23"/>
      <c r="H94" s="23"/>
      <c r="I94" s="23"/>
      <c r="J94" s="23"/>
      <c r="K94" s="23"/>
      <c r="L94" s="23"/>
      <c r="M94" s="23"/>
      <c r="N94" s="23"/>
      <c r="O94" s="23"/>
      <c r="P94" s="4"/>
      <c r="Q94" s="23"/>
      <c r="R94" s="23"/>
      <c r="S94" s="23"/>
      <c r="T94" s="4"/>
      <c r="U94" s="4"/>
      <c r="V94" s="4"/>
    </row>
    <row r="95" spans="1:22" x14ac:dyDescent="0.2">
      <c r="A95" s="774"/>
      <c r="B95" s="4"/>
      <c r="C95" s="23"/>
      <c r="D95" s="23"/>
      <c r="E95" s="23"/>
      <c r="F95" s="23"/>
      <c r="G95" s="23"/>
      <c r="H95" s="23"/>
      <c r="I95" s="23"/>
      <c r="J95" s="23"/>
      <c r="K95" s="23"/>
      <c r="L95" s="23"/>
      <c r="M95" s="23"/>
      <c r="N95" s="23"/>
      <c r="O95" s="23"/>
      <c r="P95" s="4"/>
      <c r="Q95" s="23"/>
      <c r="R95" s="23"/>
      <c r="S95" s="23"/>
      <c r="T95" s="4"/>
      <c r="U95" s="4"/>
      <c r="V95" s="4"/>
    </row>
    <row r="96" spans="1:22" x14ac:dyDescent="0.2">
      <c r="A96" s="774"/>
      <c r="B96" s="4"/>
      <c r="C96" s="23"/>
      <c r="D96" s="23"/>
      <c r="E96" s="23"/>
      <c r="F96" s="23"/>
      <c r="G96" s="23"/>
      <c r="H96" s="23"/>
      <c r="I96" s="23"/>
      <c r="J96" s="23"/>
      <c r="K96" s="23"/>
      <c r="L96" s="23"/>
      <c r="M96" s="23"/>
      <c r="N96" s="23"/>
      <c r="O96" s="23"/>
      <c r="P96" s="4"/>
      <c r="Q96" s="23"/>
      <c r="R96" s="23"/>
      <c r="S96" s="23"/>
      <c r="T96" s="4"/>
      <c r="U96" s="4"/>
      <c r="V96" s="4"/>
    </row>
    <row r="97" spans="1:22" x14ac:dyDescent="0.2">
      <c r="A97" s="774"/>
      <c r="B97" s="4"/>
      <c r="C97" s="23"/>
      <c r="D97" s="23"/>
      <c r="E97" s="23"/>
      <c r="F97" s="23"/>
      <c r="G97" s="23"/>
      <c r="H97" s="23"/>
      <c r="I97" s="23"/>
      <c r="J97" s="23"/>
      <c r="K97" s="23"/>
      <c r="L97" s="23"/>
      <c r="M97" s="23"/>
      <c r="N97" s="23"/>
      <c r="O97" s="23"/>
      <c r="P97" s="4"/>
      <c r="Q97" s="23"/>
      <c r="R97" s="23"/>
      <c r="S97" s="23"/>
      <c r="T97" s="4"/>
      <c r="U97" s="4"/>
      <c r="V97" s="4"/>
    </row>
    <row r="98" spans="1:22" x14ac:dyDescent="0.2">
      <c r="A98" s="774"/>
      <c r="B98" s="4"/>
      <c r="C98" s="23"/>
      <c r="D98" s="23"/>
      <c r="E98" s="23"/>
      <c r="F98" s="23"/>
      <c r="G98" s="23"/>
      <c r="H98" s="23"/>
      <c r="I98" s="23"/>
      <c r="J98" s="23"/>
      <c r="K98" s="23"/>
      <c r="L98" s="23"/>
      <c r="M98" s="23"/>
      <c r="N98" s="23"/>
      <c r="O98" s="23"/>
      <c r="P98" s="4"/>
      <c r="Q98" s="23"/>
      <c r="R98" s="23"/>
      <c r="S98" s="23"/>
      <c r="T98" s="4"/>
      <c r="U98" s="4"/>
      <c r="V98" s="4"/>
    </row>
    <row r="99" spans="1:22" x14ac:dyDescent="0.2">
      <c r="A99" s="774"/>
      <c r="B99" s="4"/>
      <c r="C99" s="23"/>
      <c r="D99" s="23"/>
      <c r="E99" s="23"/>
      <c r="F99" s="23"/>
      <c r="G99" s="23"/>
      <c r="H99" s="23"/>
      <c r="I99" s="23"/>
      <c r="J99" s="23"/>
      <c r="K99" s="23"/>
      <c r="L99" s="23"/>
      <c r="M99" s="23"/>
      <c r="N99" s="23"/>
      <c r="O99" s="23"/>
      <c r="P99" s="4"/>
      <c r="Q99" s="23"/>
      <c r="R99" s="23"/>
      <c r="S99" s="23"/>
      <c r="T99" s="4"/>
      <c r="U99" s="4"/>
      <c r="V99" s="4"/>
    </row>
    <row r="100" spans="1:22" x14ac:dyDescent="0.2">
      <c r="A100" s="774"/>
      <c r="B100" s="4"/>
      <c r="C100" s="23"/>
      <c r="D100" s="23"/>
      <c r="E100" s="23"/>
      <c r="F100" s="23"/>
      <c r="G100" s="23"/>
      <c r="H100" s="23"/>
      <c r="I100" s="23"/>
      <c r="J100" s="23"/>
      <c r="K100" s="23"/>
      <c r="L100" s="23"/>
      <c r="M100" s="23"/>
      <c r="N100" s="23"/>
      <c r="O100" s="23"/>
      <c r="P100" s="4"/>
      <c r="Q100" s="23"/>
      <c r="R100" s="23"/>
      <c r="S100" s="23"/>
      <c r="T100" s="4"/>
      <c r="U100" s="4"/>
      <c r="V100" s="4"/>
    </row>
    <row r="101" spans="1:22" x14ac:dyDescent="0.2">
      <c r="A101" s="774"/>
      <c r="B101" s="4"/>
      <c r="C101" s="23"/>
      <c r="D101" s="23"/>
      <c r="E101" s="23"/>
      <c r="F101" s="23"/>
      <c r="G101" s="23"/>
      <c r="H101" s="23"/>
      <c r="I101" s="23"/>
      <c r="J101" s="23"/>
      <c r="K101" s="23"/>
      <c r="L101" s="23"/>
      <c r="M101" s="23"/>
      <c r="N101" s="23"/>
      <c r="O101" s="23"/>
      <c r="P101" s="4"/>
      <c r="Q101" s="23"/>
      <c r="R101" s="23"/>
      <c r="S101" s="23"/>
      <c r="T101" s="4"/>
      <c r="U101" s="4"/>
      <c r="V101" s="4"/>
    </row>
    <row r="102" spans="1:22" x14ac:dyDescent="0.2">
      <c r="A102" s="774"/>
      <c r="B102" s="4"/>
      <c r="C102" s="23"/>
      <c r="D102" s="23"/>
      <c r="E102" s="23"/>
      <c r="F102" s="23"/>
      <c r="G102" s="23"/>
      <c r="H102" s="23"/>
      <c r="I102" s="23"/>
      <c r="J102" s="23"/>
      <c r="K102" s="23"/>
      <c r="L102" s="23"/>
      <c r="M102" s="23"/>
      <c r="N102" s="23"/>
      <c r="O102" s="23"/>
      <c r="P102" s="4"/>
      <c r="Q102" s="23"/>
      <c r="R102" s="23"/>
      <c r="S102" s="23"/>
      <c r="T102" s="4"/>
      <c r="U102" s="4"/>
      <c r="V102" s="4"/>
    </row>
    <row r="103" spans="1:22" x14ac:dyDescent="0.2">
      <c r="A103" s="774"/>
      <c r="B103" s="4"/>
      <c r="C103" s="23"/>
      <c r="D103" s="23"/>
      <c r="E103" s="23"/>
      <c r="F103" s="23"/>
      <c r="G103" s="23"/>
      <c r="H103" s="23"/>
      <c r="I103" s="23"/>
      <c r="J103" s="23"/>
      <c r="K103" s="23"/>
      <c r="L103" s="23"/>
      <c r="M103" s="23"/>
      <c r="N103" s="23"/>
      <c r="O103" s="23"/>
      <c r="P103" s="4"/>
      <c r="Q103" s="23"/>
      <c r="R103" s="23"/>
      <c r="S103" s="23"/>
      <c r="T103" s="4"/>
      <c r="U103" s="4"/>
      <c r="V103" s="4"/>
    </row>
    <row r="104" spans="1:22" x14ac:dyDescent="0.2">
      <c r="A104" s="774"/>
      <c r="B104" s="4"/>
      <c r="C104" s="23"/>
      <c r="D104" s="23"/>
      <c r="E104" s="23"/>
      <c r="F104" s="23"/>
      <c r="G104" s="23"/>
      <c r="H104" s="23"/>
      <c r="I104" s="23"/>
      <c r="J104" s="23"/>
      <c r="K104" s="23"/>
      <c r="L104" s="23"/>
      <c r="M104" s="23"/>
      <c r="N104" s="23"/>
      <c r="O104" s="23"/>
      <c r="P104" s="4"/>
      <c r="Q104" s="23"/>
      <c r="R104" s="23"/>
      <c r="S104" s="23"/>
      <c r="T104" s="4"/>
      <c r="U104" s="4"/>
      <c r="V104" s="4"/>
    </row>
    <row r="105" spans="1:22" x14ac:dyDescent="0.2">
      <c r="A105" s="774"/>
      <c r="B105" s="4"/>
      <c r="C105" s="23"/>
      <c r="D105" s="23"/>
      <c r="E105" s="23"/>
      <c r="F105" s="23"/>
      <c r="G105" s="23"/>
      <c r="H105" s="23"/>
      <c r="I105" s="23"/>
      <c r="J105" s="23"/>
      <c r="K105" s="23"/>
      <c r="L105" s="23"/>
      <c r="M105" s="23"/>
      <c r="N105" s="23"/>
      <c r="O105" s="23"/>
      <c r="P105" s="4"/>
      <c r="Q105" s="23"/>
      <c r="R105" s="23"/>
      <c r="S105" s="23"/>
      <c r="T105" s="4"/>
      <c r="U105" s="4"/>
      <c r="V105" s="4"/>
    </row>
    <row r="106" spans="1:22" x14ac:dyDescent="0.2">
      <c r="A106" s="774"/>
      <c r="B106" s="4"/>
      <c r="C106" s="23"/>
      <c r="D106" s="23"/>
      <c r="E106" s="23"/>
      <c r="F106" s="23"/>
      <c r="G106" s="23"/>
      <c r="H106" s="23"/>
      <c r="I106" s="23"/>
      <c r="J106" s="23"/>
      <c r="K106" s="23"/>
      <c r="L106" s="23"/>
      <c r="M106" s="23"/>
      <c r="N106" s="23"/>
      <c r="O106" s="23"/>
      <c r="P106" s="4"/>
      <c r="Q106" s="23"/>
      <c r="R106" s="23"/>
      <c r="S106" s="23"/>
      <c r="T106" s="4"/>
      <c r="U106" s="4"/>
      <c r="V106" s="4"/>
    </row>
    <row r="107" spans="1:22" x14ac:dyDescent="0.2">
      <c r="A107" s="774"/>
      <c r="B107" s="4"/>
      <c r="C107" s="23"/>
      <c r="D107" s="23"/>
      <c r="E107" s="23"/>
      <c r="F107" s="23"/>
      <c r="G107" s="23"/>
      <c r="H107" s="23"/>
      <c r="I107" s="23"/>
      <c r="J107" s="23"/>
      <c r="K107" s="23"/>
      <c r="L107" s="23"/>
      <c r="M107" s="23"/>
      <c r="N107" s="23"/>
      <c r="O107" s="23"/>
      <c r="P107" s="4"/>
      <c r="Q107" s="23"/>
      <c r="R107" s="23"/>
      <c r="S107" s="23"/>
      <c r="T107" s="4"/>
      <c r="U107" s="4"/>
      <c r="V107" s="4"/>
    </row>
    <row r="108" spans="1:22" x14ac:dyDescent="0.2">
      <c r="A108" s="774"/>
      <c r="B108" s="4"/>
      <c r="C108" s="23"/>
      <c r="D108" s="23"/>
      <c r="E108" s="23"/>
      <c r="F108" s="23"/>
      <c r="G108" s="23"/>
      <c r="H108" s="23"/>
      <c r="I108" s="23"/>
      <c r="J108" s="23"/>
      <c r="K108" s="23"/>
      <c r="L108" s="23"/>
      <c r="M108" s="23"/>
      <c r="N108" s="23"/>
      <c r="O108" s="23"/>
      <c r="P108" s="4"/>
      <c r="Q108" s="23"/>
      <c r="R108" s="23"/>
      <c r="S108" s="23"/>
      <c r="T108" s="4"/>
      <c r="U108" s="4"/>
      <c r="V108" s="4"/>
    </row>
    <row r="109" spans="1:22" x14ac:dyDescent="0.2">
      <c r="A109" s="774"/>
      <c r="B109" s="4"/>
      <c r="C109" s="23"/>
      <c r="D109" s="23"/>
      <c r="E109" s="23"/>
      <c r="F109" s="23"/>
      <c r="G109" s="23"/>
      <c r="H109" s="23"/>
      <c r="I109" s="23"/>
      <c r="J109" s="23"/>
      <c r="K109" s="23"/>
      <c r="L109" s="23"/>
      <c r="M109" s="23"/>
      <c r="N109" s="23"/>
      <c r="O109" s="23"/>
      <c r="P109" s="4"/>
      <c r="Q109" s="23"/>
      <c r="R109" s="23"/>
      <c r="S109" s="23"/>
      <c r="T109" s="4"/>
      <c r="U109" s="4"/>
      <c r="V109" s="4"/>
    </row>
    <row r="110" spans="1:22" x14ac:dyDescent="0.2">
      <c r="A110" s="774"/>
      <c r="B110" s="4"/>
      <c r="C110" s="23"/>
      <c r="D110" s="23"/>
      <c r="E110" s="23"/>
      <c r="F110" s="23"/>
      <c r="G110" s="23"/>
      <c r="H110" s="23"/>
      <c r="I110" s="23"/>
      <c r="J110" s="23"/>
      <c r="K110" s="23"/>
      <c r="L110" s="23"/>
      <c r="M110" s="23"/>
      <c r="N110" s="23"/>
      <c r="O110" s="23"/>
      <c r="P110" s="4"/>
      <c r="Q110" s="23"/>
      <c r="R110" s="23"/>
      <c r="S110" s="23"/>
      <c r="T110" s="4"/>
      <c r="U110" s="4"/>
      <c r="V110" s="4"/>
    </row>
    <row r="111" spans="1:22" x14ac:dyDescent="0.2">
      <c r="A111" s="774"/>
      <c r="B111" s="4"/>
      <c r="C111" s="23"/>
      <c r="D111" s="23"/>
      <c r="E111" s="23"/>
      <c r="F111" s="23"/>
      <c r="G111" s="23"/>
      <c r="H111" s="23"/>
      <c r="I111" s="23"/>
      <c r="J111" s="23"/>
      <c r="K111" s="23"/>
      <c r="L111" s="23"/>
      <c r="M111" s="23"/>
      <c r="N111" s="23"/>
      <c r="O111" s="23"/>
      <c r="P111" s="4"/>
      <c r="Q111" s="23"/>
      <c r="R111" s="23"/>
      <c r="S111" s="23"/>
      <c r="T111" s="4"/>
      <c r="U111" s="4"/>
      <c r="V111" s="4"/>
    </row>
    <row r="112" spans="1:22" x14ac:dyDescent="0.2">
      <c r="A112" s="774"/>
      <c r="B112" s="4"/>
      <c r="C112" s="23"/>
      <c r="D112" s="23"/>
      <c r="E112" s="23"/>
      <c r="F112" s="23"/>
      <c r="G112" s="23"/>
      <c r="H112" s="23"/>
      <c r="I112" s="23"/>
      <c r="J112" s="23"/>
      <c r="K112" s="23"/>
      <c r="L112" s="23"/>
      <c r="M112" s="23"/>
      <c r="N112" s="23"/>
      <c r="O112" s="23"/>
      <c r="P112" s="4"/>
      <c r="Q112" s="23"/>
      <c r="R112" s="23"/>
      <c r="S112" s="23"/>
      <c r="T112" s="4"/>
      <c r="U112" s="4"/>
      <c r="V112" s="4"/>
    </row>
    <row r="113" spans="1:22" x14ac:dyDescent="0.2">
      <c r="A113" s="774"/>
      <c r="B113" s="4"/>
      <c r="C113" s="23"/>
      <c r="D113" s="23"/>
      <c r="E113" s="23"/>
      <c r="F113" s="23"/>
      <c r="G113" s="23"/>
      <c r="H113" s="23"/>
      <c r="I113" s="23"/>
      <c r="J113" s="23"/>
      <c r="K113" s="23"/>
      <c r="L113" s="23"/>
      <c r="M113" s="23"/>
      <c r="N113" s="23"/>
      <c r="O113" s="23"/>
      <c r="P113" s="4"/>
      <c r="Q113" s="23"/>
      <c r="R113" s="23"/>
      <c r="S113" s="23"/>
      <c r="T113" s="4"/>
      <c r="U113" s="4"/>
      <c r="V113" s="4"/>
    </row>
    <row r="114" spans="1:22" x14ac:dyDescent="0.2">
      <c r="A114" s="774"/>
      <c r="B114" s="4"/>
      <c r="C114" s="23"/>
      <c r="D114" s="23"/>
      <c r="E114" s="23"/>
      <c r="F114" s="23"/>
      <c r="G114" s="23"/>
      <c r="H114" s="23"/>
      <c r="I114" s="23"/>
      <c r="J114" s="23"/>
      <c r="K114" s="23"/>
      <c r="L114" s="23"/>
      <c r="M114" s="23"/>
      <c r="N114" s="23"/>
      <c r="O114" s="23"/>
      <c r="P114" s="4"/>
      <c r="Q114" s="23"/>
      <c r="R114" s="23"/>
      <c r="S114" s="23"/>
      <c r="T114" s="4"/>
      <c r="U114" s="4"/>
      <c r="V114" s="4"/>
    </row>
    <row r="115" spans="1:22" x14ac:dyDescent="0.2">
      <c r="A115" s="774"/>
      <c r="B115" s="4"/>
      <c r="C115" s="23"/>
      <c r="D115" s="23"/>
      <c r="E115" s="23"/>
      <c r="F115" s="23"/>
      <c r="G115" s="23"/>
      <c r="H115" s="23"/>
      <c r="I115" s="23"/>
      <c r="J115" s="23"/>
      <c r="K115" s="23"/>
      <c r="L115" s="23"/>
      <c r="M115" s="23"/>
      <c r="N115" s="23"/>
      <c r="O115" s="23"/>
      <c r="P115" s="4"/>
      <c r="Q115" s="23"/>
      <c r="R115" s="23"/>
      <c r="S115" s="23"/>
      <c r="T115" s="4"/>
      <c r="U115" s="4"/>
      <c r="V115" s="4"/>
    </row>
    <row r="116" spans="1:22" x14ac:dyDescent="0.2">
      <c r="A116" s="774"/>
      <c r="B116" s="4"/>
      <c r="C116" s="23"/>
      <c r="D116" s="23"/>
      <c r="E116" s="23"/>
      <c r="F116" s="23"/>
      <c r="G116" s="23"/>
      <c r="H116" s="23"/>
      <c r="I116" s="23"/>
      <c r="J116" s="23"/>
      <c r="K116" s="23"/>
      <c r="L116" s="23"/>
      <c r="M116" s="23"/>
      <c r="N116" s="23"/>
      <c r="O116" s="23"/>
      <c r="P116" s="4"/>
      <c r="Q116" s="23"/>
      <c r="R116" s="23"/>
      <c r="S116" s="23"/>
      <c r="T116" s="4"/>
      <c r="U116" s="4"/>
      <c r="V116" s="4"/>
    </row>
    <row r="117" spans="1:22" x14ac:dyDescent="0.2">
      <c r="A117" s="774"/>
      <c r="B117" s="4"/>
      <c r="C117" s="23"/>
      <c r="D117" s="23"/>
      <c r="E117" s="23"/>
      <c r="F117" s="23"/>
      <c r="G117" s="23"/>
      <c r="H117" s="23"/>
      <c r="I117" s="23"/>
      <c r="J117" s="23"/>
      <c r="K117" s="23"/>
      <c r="L117" s="23"/>
      <c r="M117" s="23"/>
      <c r="N117" s="23"/>
      <c r="O117" s="23"/>
      <c r="P117" s="4"/>
      <c r="Q117" s="23"/>
      <c r="R117" s="23"/>
      <c r="S117" s="23"/>
      <c r="T117" s="4"/>
      <c r="U117" s="4"/>
      <c r="V117" s="4"/>
    </row>
    <row r="118" spans="1:22" x14ac:dyDescent="0.2">
      <c r="A118" s="774"/>
      <c r="B118" s="4"/>
      <c r="C118" s="23"/>
      <c r="D118" s="23"/>
      <c r="E118" s="23"/>
      <c r="F118" s="23"/>
      <c r="G118" s="23"/>
      <c r="H118" s="23"/>
      <c r="I118" s="23"/>
      <c r="J118" s="23"/>
      <c r="K118" s="23"/>
      <c r="L118" s="23"/>
      <c r="M118" s="23"/>
      <c r="N118" s="23"/>
      <c r="O118" s="23"/>
      <c r="P118" s="4"/>
      <c r="Q118" s="23"/>
      <c r="R118" s="23"/>
      <c r="S118" s="23"/>
      <c r="T118" s="4"/>
      <c r="U118" s="4"/>
      <c r="V118" s="4"/>
    </row>
    <row r="119" spans="1:22" x14ac:dyDescent="0.2">
      <c r="A119" s="774"/>
      <c r="B119" s="4"/>
      <c r="C119" s="23"/>
      <c r="D119" s="23"/>
      <c r="E119" s="23"/>
      <c r="F119" s="23"/>
      <c r="G119" s="23"/>
      <c r="H119" s="23"/>
      <c r="I119" s="23"/>
      <c r="J119" s="23"/>
      <c r="K119" s="23"/>
      <c r="L119" s="23"/>
      <c r="M119" s="23"/>
      <c r="N119" s="23"/>
      <c r="O119" s="23"/>
      <c r="P119" s="4"/>
      <c r="Q119" s="23"/>
      <c r="R119" s="23"/>
      <c r="S119" s="23"/>
      <c r="T119" s="4"/>
      <c r="U119" s="4"/>
      <c r="V119" s="4"/>
    </row>
    <row r="120" spans="1:22" x14ac:dyDescent="0.2">
      <c r="A120" s="774"/>
      <c r="B120" s="4"/>
      <c r="C120" s="23"/>
      <c r="D120" s="23"/>
      <c r="E120" s="23"/>
      <c r="F120" s="23"/>
      <c r="G120" s="23"/>
      <c r="H120" s="23"/>
      <c r="I120" s="23"/>
      <c r="J120" s="23"/>
      <c r="K120" s="23"/>
      <c r="L120" s="23"/>
      <c r="M120" s="23"/>
      <c r="N120" s="23"/>
      <c r="O120" s="23"/>
      <c r="P120" s="4"/>
      <c r="Q120" s="23"/>
      <c r="R120" s="23"/>
      <c r="S120" s="23"/>
      <c r="T120" s="4"/>
      <c r="U120" s="4"/>
      <c r="V120" s="4"/>
    </row>
    <row r="121" spans="1:22" x14ac:dyDescent="0.2">
      <c r="A121" s="774"/>
      <c r="B121" s="4"/>
      <c r="C121" s="23"/>
      <c r="D121" s="23"/>
      <c r="E121" s="23"/>
      <c r="F121" s="23"/>
      <c r="G121" s="23"/>
      <c r="H121" s="23"/>
      <c r="I121" s="23"/>
      <c r="J121" s="23"/>
      <c r="K121" s="23"/>
      <c r="L121" s="23"/>
      <c r="M121" s="23"/>
      <c r="N121" s="23"/>
      <c r="O121" s="23"/>
      <c r="P121" s="4"/>
      <c r="Q121" s="23"/>
      <c r="R121" s="23"/>
      <c r="S121" s="23"/>
      <c r="T121" s="4"/>
      <c r="U121" s="4"/>
      <c r="V121" s="4"/>
    </row>
    <row r="122" spans="1:22" x14ac:dyDescent="0.2">
      <c r="A122" s="774"/>
      <c r="B122" s="4"/>
      <c r="C122" s="23"/>
      <c r="D122" s="23"/>
      <c r="E122" s="23"/>
      <c r="F122" s="23"/>
      <c r="G122" s="23"/>
      <c r="H122" s="23"/>
      <c r="I122" s="23"/>
      <c r="J122" s="23"/>
      <c r="K122" s="23"/>
      <c r="L122" s="23"/>
      <c r="M122" s="23"/>
      <c r="N122" s="23"/>
      <c r="O122" s="23"/>
      <c r="P122" s="4"/>
      <c r="Q122" s="23"/>
      <c r="R122" s="23"/>
      <c r="S122" s="23"/>
      <c r="T122" s="4"/>
      <c r="U122" s="4"/>
      <c r="V122" s="4"/>
    </row>
    <row r="123" spans="1:22" x14ac:dyDescent="0.2">
      <c r="A123" s="774"/>
      <c r="B123" s="4"/>
      <c r="C123" s="23"/>
      <c r="D123" s="23"/>
      <c r="E123" s="23"/>
      <c r="F123" s="23"/>
      <c r="G123" s="23"/>
      <c r="H123" s="23"/>
      <c r="I123" s="23"/>
      <c r="J123" s="23"/>
      <c r="K123" s="23"/>
      <c r="L123" s="23"/>
      <c r="M123" s="23"/>
      <c r="N123" s="23"/>
      <c r="O123" s="23"/>
      <c r="P123" s="4"/>
      <c r="Q123" s="23"/>
      <c r="R123" s="23"/>
      <c r="S123" s="23"/>
      <c r="T123" s="4"/>
      <c r="U123" s="4"/>
      <c r="V123" s="4"/>
    </row>
    <row r="124" spans="1:22" x14ac:dyDescent="0.2">
      <c r="A124" s="774"/>
      <c r="B124" s="4"/>
      <c r="C124" s="23"/>
      <c r="D124" s="23"/>
      <c r="E124" s="23"/>
      <c r="F124" s="23"/>
      <c r="G124" s="23"/>
      <c r="H124" s="23"/>
      <c r="I124" s="23"/>
      <c r="J124" s="23"/>
      <c r="K124" s="23"/>
      <c r="L124" s="23"/>
      <c r="M124" s="23"/>
      <c r="N124" s="23"/>
      <c r="O124" s="23"/>
      <c r="P124" s="4"/>
      <c r="Q124" s="23"/>
      <c r="R124" s="23"/>
      <c r="S124" s="23"/>
      <c r="T124" s="4"/>
      <c r="U124" s="4"/>
      <c r="V124" s="4"/>
    </row>
    <row r="125" spans="1:22" x14ac:dyDescent="0.2">
      <c r="C125" s="212"/>
      <c r="D125" s="212"/>
      <c r="E125" s="212"/>
      <c r="F125" s="212"/>
      <c r="G125" s="212"/>
      <c r="H125" s="212"/>
      <c r="I125" s="212"/>
      <c r="J125" s="212"/>
      <c r="K125" s="212"/>
      <c r="L125" s="212"/>
      <c r="M125" s="212"/>
      <c r="N125" s="212"/>
      <c r="O125" s="212"/>
    </row>
    <row r="126" spans="1:22" x14ac:dyDescent="0.2">
      <c r="C126" s="212"/>
      <c r="D126" s="212"/>
      <c r="E126" s="212"/>
      <c r="F126" s="212"/>
      <c r="G126" s="212"/>
      <c r="H126" s="212"/>
      <c r="I126" s="212"/>
      <c r="J126" s="212"/>
      <c r="K126" s="212"/>
      <c r="L126" s="212"/>
      <c r="M126" s="212"/>
      <c r="N126" s="212"/>
      <c r="O126" s="212"/>
    </row>
    <row r="127" spans="1:22" x14ac:dyDescent="0.2">
      <c r="C127" s="212"/>
      <c r="D127" s="212"/>
      <c r="E127" s="212"/>
      <c r="F127" s="212"/>
      <c r="G127" s="212"/>
      <c r="H127" s="212"/>
      <c r="I127" s="212"/>
      <c r="J127" s="212"/>
      <c r="K127" s="212"/>
      <c r="L127" s="212"/>
      <c r="M127" s="212"/>
      <c r="N127" s="212"/>
      <c r="O127" s="212"/>
    </row>
    <row r="128" spans="1:22" x14ac:dyDescent="0.2">
      <c r="C128" s="212"/>
      <c r="D128" s="212"/>
      <c r="E128" s="212"/>
      <c r="F128" s="212"/>
      <c r="G128" s="212"/>
      <c r="H128" s="212"/>
      <c r="I128" s="212"/>
      <c r="J128" s="212"/>
      <c r="K128" s="212"/>
      <c r="L128" s="212"/>
      <c r="M128" s="212"/>
      <c r="N128" s="212"/>
      <c r="O128" s="212"/>
    </row>
    <row r="129" spans="3:15" x14ac:dyDescent="0.2">
      <c r="C129" s="212"/>
      <c r="D129" s="212"/>
      <c r="E129" s="212"/>
      <c r="F129" s="212"/>
      <c r="G129" s="212"/>
      <c r="H129" s="212"/>
      <c r="I129" s="212"/>
      <c r="J129" s="212"/>
      <c r="K129" s="212"/>
      <c r="L129" s="212"/>
      <c r="M129" s="212"/>
      <c r="N129" s="212"/>
      <c r="O129" s="212"/>
    </row>
    <row r="130" spans="3:15" x14ac:dyDescent="0.2">
      <c r="C130" s="212"/>
      <c r="D130" s="212"/>
      <c r="E130" s="212"/>
      <c r="F130" s="212"/>
      <c r="G130" s="212"/>
      <c r="H130" s="212"/>
      <c r="I130" s="212"/>
      <c r="J130" s="212"/>
      <c r="K130" s="212"/>
      <c r="L130" s="212"/>
      <c r="M130" s="212"/>
      <c r="N130" s="212"/>
      <c r="O130" s="212"/>
    </row>
    <row r="131" spans="3:15" x14ac:dyDescent="0.2">
      <c r="C131" s="212"/>
    </row>
    <row r="132" spans="3:15" x14ac:dyDescent="0.2">
      <c r="C132" s="212"/>
    </row>
    <row r="133" spans="3:15" x14ac:dyDescent="0.2">
      <c r="C133" s="212"/>
    </row>
    <row r="134" spans="3:15" x14ac:dyDescent="0.2">
      <c r="C134" s="212"/>
    </row>
    <row r="135" spans="3:15" x14ac:dyDescent="0.2">
      <c r="C135" s="212"/>
    </row>
    <row r="136" spans="3:15" x14ac:dyDescent="0.2">
      <c r="C136" s="212"/>
    </row>
    <row r="137" spans="3:15" x14ac:dyDescent="0.2">
      <c r="C137" s="212"/>
    </row>
    <row r="138" spans="3:15" x14ac:dyDescent="0.2">
      <c r="C138" s="212"/>
    </row>
    <row r="139" spans="3:15" x14ac:dyDescent="0.2">
      <c r="C139" s="212"/>
    </row>
    <row r="140" spans="3:15" x14ac:dyDescent="0.2">
      <c r="C140" s="212"/>
    </row>
    <row r="141" spans="3:15" x14ac:dyDescent="0.2">
      <c r="C141" s="212"/>
    </row>
    <row r="142" spans="3:15" x14ac:dyDescent="0.2">
      <c r="C142" s="212"/>
    </row>
    <row r="143" spans="3:15" x14ac:dyDescent="0.2">
      <c r="C143" s="212"/>
    </row>
    <row r="144" spans="3:15" x14ac:dyDescent="0.2">
      <c r="C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row r="160" spans="3:3" x14ac:dyDescent="0.2">
      <c r="C160" s="212"/>
    </row>
    <row r="161" spans="3:3" x14ac:dyDescent="0.2">
      <c r="C161" s="212"/>
    </row>
    <row r="162" spans="3:3" x14ac:dyDescent="0.2">
      <c r="C162" s="212"/>
    </row>
    <row r="163" spans="3:3" x14ac:dyDescent="0.2">
      <c r="C163" s="212"/>
    </row>
    <row r="164" spans="3:3" x14ac:dyDescent="0.2">
      <c r="C164" s="212"/>
    </row>
    <row r="165" spans="3:3" x14ac:dyDescent="0.2">
      <c r="C165" s="212"/>
    </row>
    <row r="166" spans="3:3" x14ac:dyDescent="0.2">
      <c r="C166" s="212"/>
    </row>
    <row r="167" spans="3:3" x14ac:dyDescent="0.2">
      <c r="C167" s="212"/>
    </row>
    <row r="168" spans="3:3" x14ac:dyDescent="0.2">
      <c r="C168" s="212"/>
    </row>
    <row r="169" spans="3:3" x14ac:dyDescent="0.2">
      <c r="C169" s="212"/>
    </row>
    <row r="170" spans="3:3" x14ac:dyDescent="0.2">
      <c r="C170" s="212"/>
    </row>
    <row r="171" spans="3:3" x14ac:dyDescent="0.2">
      <c r="C171" s="212"/>
    </row>
  </sheetData>
  <phoneticPr fontId="0" type="noConversion"/>
  <hyperlinks>
    <hyperlink ref="A1" location="'Working Budget with funding det'!A1" display="Main " xr:uid="{00000000-0004-0000-1100-000000000000}"/>
    <hyperlink ref="B1" location="'Table of Contents'!A1" display="TOC" xr:uid="{00000000-0004-0000-1100-000001000000}"/>
  </hyperlinks>
  <pageMargins left="0.75" right="0.75" top="1" bottom="1" header="0.5" footer="0.5"/>
  <pageSetup scale="92" orientation="landscape" horizontalDpi="300" verticalDpi="300" r:id="rId1"/>
  <headerFooter alignWithMargins="0">
    <oddFooter xml:space="preserve">&amp;L&amp;D     &amp;T&amp;C&amp;F&amp;R&amp;A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V62"/>
  <sheetViews>
    <sheetView topLeftCell="A5" zoomScaleNormal="100" workbookViewId="0">
      <selection activeCell="P17" sqref="P17"/>
    </sheetView>
  </sheetViews>
  <sheetFormatPr defaultRowHeight="12.75" x14ac:dyDescent="0.2"/>
  <cols>
    <col min="1" max="1" width="11.33203125" style="783" customWidth="1"/>
    <col min="2" max="2" width="39.6640625" customWidth="1"/>
    <col min="3" max="12" width="13" hidden="1" customWidth="1"/>
    <col min="13" max="19" width="13" customWidth="1"/>
  </cols>
  <sheetData>
    <row r="1" spans="1:19" x14ac:dyDescent="0.2">
      <c r="A1" s="772" t="s">
        <v>847</v>
      </c>
      <c r="B1" s="308" t="s">
        <v>197</v>
      </c>
      <c r="C1" s="23"/>
      <c r="D1" s="23"/>
      <c r="E1" s="23"/>
      <c r="F1" s="23"/>
      <c r="G1" s="23"/>
      <c r="H1" s="23"/>
      <c r="I1" s="23"/>
      <c r="J1" s="23"/>
      <c r="K1" s="23"/>
      <c r="L1" s="23"/>
      <c r="M1" s="23"/>
      <c r="N1" s="23"/>
      <c r="O1" s="23"/>
      <c r="P1" s="4"/>
      <c r="Q1" s="23"/>
      <c r="R1" s="23"/>
      <c r="S1" s="23"/>
    </row>
    <row r="2" spans="1:19" ht="15" x14ac:dyDescent="0.25">
      <c r="A2" s="774" t="s">
        <v>815</v>
      </c>
      <c r="B2" s="4"/>
      <c r="C2" s="23"/>
      <c r="F2" s="75" t="s">
        <v>628</v>
      </c>
      <c r="J2" s="23"/>
      <c r="K2" s="23"/>
      <c r="L2" s="23"/>
      <c r="M2" s="23"/>
      <c r="N2" s="23"/>
      <c r="O2" s="23"/>
      <c r="P2" s="44" t="s">
        <v>999</v>
      </c>
      <c r="Q2" s="23"/>
      <c r="R2" s="23"/>
      <c r="S2" s="74" t="s">
        <v>1000</v>
      </c>
    </row>
    <row r="3" spans="1:19" ht="13.5" thickBot="1" x14ac:dyDescent="0.25">
      <c r="A3" s="774"/>
      <c r="B3" s="4"/>
      <c r="C3" s="23"/>
      <c r="D3" s="23"/>
      <c r="E3" s="23"/>
      <c r="F3" s="23"/>
      <c r="G3" s="23"/>
      <c r="H3" s="23"/>
      <c r="I3" s="23"/>
      <c r="J3" s="23"/>
      <c r="K3" s="23"/>
      <c r="L3" s="23"/>
      <c r="M3" s="23"/>
      <c r="N3" s="23"/>
      <c r="O3" s="23"/>
      <c r="P3" s="4"/>
      <c r="Q3" s="23"/>
      <c r="R3" s="23"/>
      <c r="S3" s="4"/>
    </row>
    <row r="4" spans="1:19"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19"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19" x14ac:dyDescent="0.2">
      <c r="A6" s="776"/>
      <c r="B6" s="202"/>
      <c r="C6" s="113"/>
      <c r="D6" s="113"/>
      <c r="E6" s="113"/>
      <c r="F6" s="113"/>
      <c r="G6" s="113"/>
      <c r="H6" s="113"/>
      <c r="I6" s="83"/>
      <c r="J6" s="83"/>
      <c r="K6" s="83"/>
      <c r="L6" s="83"/>
      <c r="M6" s="83"/>
      <c r="N6" s="83"/>
      <c r="O6" s="83"/>
      <c r="P6" s="113"/>
      <c r="Q6" s="83" t="s">
        <v>823</v>
      </c>
      <c r="R6" s="83" t="s">
        <v>585</v>
      </c>
      <c r="S6" s="45" t="s">
        <v>824</v>
      </c>
    </row>
    <row r="7" spans="1:19"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19" ht="13.5" thickTop="1" x14ac:dyDescent="0.2">
      <c r="A8" s="796"/>
      <c r="B8" s="203"/>
      <c r="C8" s="118"/>
      <c r="D8" s="18"/>
      <c r="E8" s="18"/>
      <c r="F8" s="18"/>
      <c r="G8" s="18"/>
      <c r="H8" s="18"/>
      <c r="I8" s="18"/>
      <c r="J8" s="18"/>
      <c r="K8" s="19"/>
      <c r="L8" s="18"/>
      <c r="M8" s="18"/>
      <c r="N8" s="18"/>
      <c r="O8" s="19"/>
      <c r="P8" s="18"/>
      <c r="Q8" s="19"/>
      <c r="R8" s="19"/>
      <c r="S8" s="19"/>
    </row>
    <row r="9" spans="1:19" x14ac:dyDescent="0.2">
      <c r="A9" s="796">
        <v>5100</v>
      </c>
      <c r="B9" s="102" t="s">
        <v>1001</v>
      </c>
      <c r="C9" s="330">
        <v>2000</v>
      </c>
      <c r="D9" s="112">
        <v>2000</v>
      </c>
      <c r="E9" s="112">
        <v>1885.16</v>
      </c>
      <c r="F9" s="112">
        <v>2000</v>
      </c>
      <c r="G9" s="112">
        <v>663.52</v>
      </c>
      <c r="H9" s="112">
        <v>1807.62</v>
      </c>
      <c r="I9" s="112">
        <v>2000</v>
      </c>
      <c r="J9" s="112">
        <v>2100</v>
      </c>
      <c r="K9" s="19">
        <v>2100</v>
      </c>
      <c r="L9" s="112">
        <v>2100</v>
      </c>
      <c r="M9" s="19">
        <v>2100</v>
      </c>
      <c r="N9" s="112">
        <v>2100</v>
      </c>
      <c r="O9" s="19">
        <v>2100</v>
      </c>
      <c r="P9" s="112">
        <v>1050</v>
      </c>
      <c r="Q9" s="19">
        <v>2100</v>
      </c>
      <c r="R9" s="19"/>
      <c r="S9" s="19"/>
    </row>
    <row r="10" spans="1:19" ht="13.5" thickBot="1" x14ac:dyDescent="0.25">
      <c r="A10" s="796">
        <v>5124</v>
      </c>
      <c r="B10" s="102" t="s">
        <v>1002</v>
      </c>
      <c r="C10" s="117"/>
      <c r="D10" s="15"/>
      <c r="E10" s="15"/>
      <c r="F10" s="15"/>
      <c r="G10" s="15"/>
      <c r="H10" s="15"/>
      <c r="I10" s="270"/>
      <c r="J10" s="270"/>
      <c r="K10" s="16"/>
      <c r="L10" s="270">
        <v>799.89</v>
      </c>
      <c r="M10" s="16"/>
      <c r="N10" s="270"/>
      <c r="O10" s="16"/>
      <c r="P10" s="15"/>
      <c r="Q10" s="16"/>
      <c r="R10" s="16"/>
      <c r="S10" s="16"/>
    </row>
    <row r="11" spans="1:19" x14ac:dyDescent="0.2">
      <c r="A11" s="796"/>
      <c r="B11" s="200" t="s">
        <v>1003</v>
      </c>
      <c r="C11" s="118">
        <f>SUM(C9:C10)</f>
        <v>2000</v>
      </c>
      <c r="D11" s="18">
        <f>SUM(D9)</f>
        <v>2000</v>
      </c>
      <c r="E11" s="18">
        <f>SUM(E9)</f>
        <v>1885.16</v>
      </c>
      <c r="F11" s="18">
        <f>SUM(F9:F10)</f>
        <v>2000</v>
      </c>
      <c r="G11" s="18">
        <f>SUM(G9:G10)</f>
        <v>663.52</v>
      </c>
      <c r="H11" s="18">
        <f>SUM(H9:H10)</f>
        <v>1807.62</v>
      </c>
      <c r="I11" s="112">
        <f>SUM(I9)</f>
        <v>2000</v>
      </c>
      <c r="J11" s="112">
        <f>SUM(J9)</f>
        <v>2100</v>
      </c>
      <c r="K11" s="19">
        <f>SUM(K9)</f>
        <v>2100</v>
      </c>
      <c r="L11" s="112">
        <f>SUM(L9:L10)</f>
        <v>2899.89</v>
      </c>
      <c r="M11" s="19">
        <f t="shared" ref="M11" si="0">SUM(M9)</f>
        <v>2100</v>
      </c>
      <c r="N11" s="112">
        <f>SUM(N9:N10)</f>
        <v>2100</v>
      </c>
      <c r="O11" s="19">
        <f t="shared" ref="O11" si="1">SUM(O9)</f>
        <v>2100</v>
      </c>
      <c r="P11" s="18">
        <f>SUM(P9:P10)</f>
        <v>1050</v>
      </c>
      <c r="Q11" s="19">
        <f>SUM(Q9:Q10)</f>
        <v>2100</v>
      </c>
      <c r="R11" s="19"/>
      <c r="S11" s="19"/>
    </row>
    <row r="12" spans="1:19" x14ac:dyDescent="0.2">
      <c r="A12" s="796"/>
      <c r="B12" s="102"/>
      <c r="C12" s="118"/>
      <c r="D12" s="18"/>
      <c r="E12" s="18"/>
      <c r="F12" s="18"/>
      <c r="G12" s="18"/>
      <c r="H12" s="18"/>
      <c r="I12" s="112"/>
      <c r="J12" s="112"/>
      <c r="K12" s="19"/>
      <c r="L12" s="112"/>
      <c r="M12" s="19"/>
      <c r="N12" s="112"/>
      <c r="O12" s="19"/>
      <c r="P12" s="18"/>
      <c r="Q12" s="19"/>
      <c r="R12" s="19"/>
      <c r="S12" s="19"/>
    </row>
    <row r="13" spans="1:19" x14ac:dyDescent="0.2">
      <c r="A13" s="779">
        <v>5247</v>
      </c>
      <c r="B13" s="60" t="s">
        <v>1004</v>
      </c>
      <c r="C13" s="329">
        <v>14500</v>
      </c>
      <c r="D13" s="128">
        <v>15250</v>
      </c>
      <c r="E13" s="128">
        <v>16000</v>
      </c>
      <c r="F13" s="128">
        <v>25000</v>
      </c>
      <c r="G13" s="128">
        <v>28000</v>
      </c>
      <c r="H13" s="128">
        <v>34000</v>
      </c>
      <c r="I13" s="128">
        <v>36000</v>
      </c>
      <c r="J13" s="128">
        <v>45472.5</v>
      </c>
      <c r="K13" s="14">
        <f>9000+44000</f>
        <v>53000</v>
      </c>
      <c r="L13" s="128">
        <v>44525</v>
      </c>
      <c r="M13" s="14">
        <v>33000</v>
      </c>
      <c r="N13" s="128">
        <v>33760</v>
      </c>
      <c r="O13" s="14">
        <v>33100</v>
      </c>
      <c r="P13" s="128">
        <v>16519.2</v>
      </c>
      <c r="Q13" s="14">
        <v>34000</v>
      </c>
      <c r="R13" s="14"/>
      <c r="S13" s="14"/>
    </row>
    <row r="14" spans="1:19" x14ac:dyDescent="0.2">
      <c r="A14" s="779">
        <v>5341</v>
      </c>
      <c r="B14" s="60" t="s">
        <v>1005</v>
      </c>
      <c r="C14" s="587">
        <v>1333.75</v>
      </c>
      <c r="D14" s="218">
        <v>1245.3900000000001</v>
      </c>
      <c r="E14" s="218">
        <v>1072.8</v>
      </c>
      <c r="F14" s="218">
        <v>1136.7</v>
      </c>
      <c r="G14" s="218">
        <v>1481.98</v>
      </c>
      <c r="H14" s="218">
        <v>1651.23</v>
      </c>
      <c r="I14" s="218">
        <v>1882.24</v>
      </c>
      <c r="J14" s="218">
        <v>1962.74</v>
      </c>
      <c r="K14" s="36">
        <v>2000</v>
      </c>
      <c r="L14" s="218">
        <v>2605.94</v>
      </c>
      <c r="M14" s="36">
        <v>10000</v>
      </c>
      <c r="N14" s="218">
        <v>2528.1</v>
      </c>
      <c r="O14" s="36">
        <v>3000</v>
      </c>
      <c r="P14" s="128">
        <v>1301.8499999999999</v>
      </c>
      <c r="Q14" s="36">
        <v>3000</v>
      </c>
      <c r="R14" s="36"/>
      <c r="S14" s="36"/>
    </row>
    <row r="15" spans="1:19" x14ac:dyDescent="0.2">
      <c r="A15" s="779">
        <v>5346</v>
      </c>
      <c r="B15" s="60" t="s">
        <v>2159</v>
      </c>
      <c r="C15" s="329"/>
      <c r="D15" s="128"/>
      <c r="E15" s="128"/>
      <c r="F15" s="128"/>
      <c r="G15" s="128"/>
      <c r="H15" s="128">
        <v>1082.3800000000001</v>
      </c>
      <c r="I15" s="128"/>
      <c r="J15" s="128">
        <v>875</v>
      </c>
      <c r="K15" s="14">
        <v>1100</v>
      </c>
      <c r="L15" s="128">
        <v>706.8</v>
      </c>
      <c r="M15" s="14">
        <v>0</v>
      </c>
      <c r="N15" s="128"/>
      <c r="O15" s="14"/>
      <c r="P15" s="128"/>
      <c r="Q15" s="14">
        <v>1100</v>
      </c>
      <c r="R15" s="14"/>
      <c r="S15" s="14"/>
    </row>
    <row r="16" spans="1:19" x14ac:dyDescent="0.2">
      <c r="A16" s="779">
        <v>5347</v>
      </c>
      <c r="B16" s="60" t="s">
        <v>2160</v>
      </c>
      <c r="C16" s="329">
        <v>125</v>
      </c>
      <c r="D16" s="128">
        <v>275</v>
      </c>
      <c r="E16" s="128">
        <v>125</v>
      </c>
      <c r="F16" s="128">
        <v>304.99</v>
      </c>
      <c r="G16" s="128">
        <v>125</v>
      </c>
      <c r="H16" s="128">
        <v>400</v>
      </c>
      <c r="I16" s="128">
        <v>400</v>
      </c>
      <c r="J16" s="128">
        <v>400</v>
      </c>
      <c r="K16" s="14">
        <v>400</v>
      </c>
      <c r="L16" s="128">
        <v>400</v>
      </c>
      <c r="M16" s="14">
        <v>400</v>
      </c>
      <c r="N16" s="128"/>
      <c r="O16" s="14">
        <v>400</v>
      </c>
      <c r="P16" s="128"/>
      <c r="Q16" s="14">
        <v>600</v>
      </c>
      <c r="R16" s="14"/>
      <c r="S16" s="14"/>
    </row>
    <row r="17" spans="1:22" x14ac:dyDescent="0.2">
      <c r="A17" s="779">
        <v>5348</v>
      </c>
      <c r="B17" s="60" t="s">
        <v>2161</v>
      </c>
      <c r="C17" s="329">
        <v>2950</v>
      </c>
      <c r="D17" s="128">
        <v>2950</v>
      </c>
      <c r="E17" s="128">
        <v>3050</v>
      </c>
      <c r="F17" s="128">
        <v>3050</v>
      </c>
      <c r="G17" s="128">
        <v>3050</v>
      </c>
      <c r="H17" s="128">
        <v>1870.84</v>
      </c>
      <c r="I17" s="128">
        <v>600</v>
      </c>
      <c r="J17" s="128">
        <v>675</v>
      </c>
      <c r="K17" s="14">
        <v>600</v>
      </c>
      <c r="L17" s="128">
        <v>720</v>
      </c>
      <c r="M17" s="14">
        <v>800</v>
      </c>
      <c r="N17" s="128">
        <v>780</v>
      </c>
      <c r="O17" s="14">
        <v>800</v>
      </c>
      <c r="P17" s="128">
        <v>780</v>
      </c>
      <c r="Q17" s="14">
        <v>800</v>
      </c>
      <c r="R17" s="14"/>
      <c r="S17" s="14"/>
    </row>
    <row r="18" spans="1:22" x14ac:dyDescent="0.2">
      <c r="A18" s="779">
        <v>5349</v>
      </c>
      <c r="B18" s="60" t="s">
        <v>2165</v>
      </c>
      <c r="C18" s="329">
        <v>161.97999999999999</v>
      </c>
      <c r="D18" s="128">
        <v>0</v>
      </c>
      <c r="E18" s="128">
        <v>179.98</v>
      </c>
      <c r="F18" s="128"/>
      <c r="G18" s="128"/>
      <c r="H18" s="128">
        <v>299.98</v>
      </c>
      <c r="I18" s="128">
        <v>0</v>
      </c>
      <c r="J18" s="128">
        <v>399.98</v>
      </c>
      <c r="K18" s="14">
        <v>400</v>
      </c>
      <c r="L18" s="128"/>
      <c r="M18" s="14">
        <v>400</v>
      </c>
      <c r="N18" s="128">
        <v>499.98</v>
      </c>
      <c r="O18" s="14">
        <v>400</v>
      </c>
      <c r="P18" s="128"/>
      <c r="Q18" s="14">
        <v>600</v>
      </c>
      <c r="R18" s="14"/>
      <c r="S18" s="14"/>
    </row>
    <row r="19" spans="1:22" x14ac:dyDescent="0.2">
      <c r="A19" s="779">
        <v>5350</v>
      </c>
      <c r="B19" s="340" t="s">
        <v>2162</v>
      </c>
      <c r="C19" s="329"/>
      <c r="D19" s="128"/>
      <c r="E19" s="128"/>
      <c r="F19" s="128"/>
      <c r="G19" s="128"/>
      <c r="H19" s="128"/>
      <c r="I19" s="128"/>
      <c r="J19" s="128"/>
      <c r="K19" s="14"/>
      <c r="L19" s="128"/>
      <c r="M19" s="14">
        <v>3000</v>
      </c>
      <c r="N19" s="128">
        <v>2599.8000000000002</v>
      </c>
      <c r="O19" s="14">
        <v>1500</v>
      </c>
      <c r="P19" s="128"/>
      <c r="Q19" s="14">
        <v>2800</v>
      </c>
      <c r="R19" s="14"/>
      <c r="S19" s="14"/>
    </row>
    <row r="20" spans="1:22" x14ac:dyDescent="0.2">
      <c r="A20" s="779">
        <v>5351</v>
      </c>
      <c r="B20" s="340" t="s">
        <v>1006</v>
      </c>
      <c r="C20" s="329"/>
      <c r="D20" s="128"/>
      <c r="E20" s="128"/>
      <c r="F20" s="128"/>
      <c r="G20" s="128"/>
      <c r="H20" s="128"/>
      <c r="I20" s="128"/>
      <c r="J20" s="128"/>
      <c r="K20" s="14"/>
      <c r="L20" s="128"/>
      <c r="M20" s="14">
        <v>8500</v>
      </c>
      <c r="N20" s="128">
        <v>8410</v>
      </c>
      <c r="O20" s="14">
        <v>9700</v>
      </c>
      <c r="P20" s="128">
        <v>6692.22</v>
      </c>
      <c r="Q20" s="14">
        <v>9000</v>
      </c>
      <c r="R20" s="14"/>
      <c r="S20" s="14"/>
    </row>
    <row r="21" spans="1:22" x14ac:dyDescent="0.2">
      <c r="A21" s="779">
        <v>5352</v>
      </c>
      <c r="B21" s="340" t="s">
        <v>2163</v>
      </c>
      <c r="C21" s="329"/>
      <c r="D21" s="128"/>
      <c r="E21" s="128"/>
      <c r="F21" s="128"/>
      <c r="G21" s="128"/>
      <c r="H21" s="128"/>
      <c r="I21" s="128"/>
      <c r="J21" s="128"/>
      <c r="K21" s="14"/>
      <c r="L21" s="128"/>
      <c r="M21" s="14"/>
      <c r="N21" s="128"/>
      <c r="O21" s="14"/>
      <c r="P21" s="128"/>
      <c r="Q21" s="14">
        <v>3500</v>
      </c>
      <c r="R21" s="14"/>
      <c r="S21" s="14"/>
    </row>
    <row r="22" spans="1:22" x14ac:dyDescent="0.2">
      <c r="A22" s="779">
        <v>5353</v>
      </c>
      <c r="B22" s="340" t="s">
        <v>2164</v>
      </c>
      <c r="C22" s="329"/>
      <c r="D22" s="128"/>
      <c r="E22" s="128"/>
      <c r="F22" s="128"/>
      <c r="G22" s="128"/>
      <c r="H22" s="128"/>
      <c r="I22" s="128"/>
      <c r="J22" s="128"/>
      <c r="K22" s="14"/>
      <c r="L22" s="128"/>
      <c r="M22" s="14"/>
      <c r="N22" s="128"/>
      <c r="O22" s="14"/>
      <c r="P22" s="128"/>
      <c r="Q22" s="14">
        <v>1000</v>
      </c>
      <c r="R22" s="14"/>
      <c r="S22" s="14"/>
    </row>
    <row r="23" spans="1:22" x14ac:dyDescent="0.2">
      <c r="A23" s="779">
        <v>5354</v>
      </c>
      <c r="B23" s="340" t="s">
        <v>2451</v>
      </c>
      <c r="C23" s="329"/>
      <c r="D23" s="128"/>
      <c r="E23" s="128"/>
      <c r="F23" s="128"/>
      <c r="G23" s="128"/>
      <c r="H23" s="128"/>
      <c r="I23" s="128"/>
      <c r="J23" s="128"/>
      <c r="K23" s="14"/>
      <c r="L23" s="128"/>
      <c r="M23" s="14"/>
      <c r="N23" s="128"/>
      <c r="O23" s="14"/>
      <c r="P23" s="128"/>
      <c r="Q23" s="14"/>
      <c r="R23" s="14"/>
      <c r="S23" s="14"/>
    </row>
    <row r="24" spans="1:22" x14ac:dyDescent="0.2">
      <c r="A24" s="779">
        <v>5580</v>
      </c>
      <c r="B24" s="340" t="s">
        <v>1007</v>
      </c>
      <c r="C24" s="128"/>
      <c r="D24" s="128"/>
      <c r="E24" s="128"/>
      <c r="F24" s="128"/>
      <c r="G24" s="128">
        <v>493.79</v>
      </c>
      <c r="H24" s="128">
        <v>2237.65</v>
      </c>
      <c r="I24" s="128">
        <v>5441.36</v>
      </c>
      <c r="J24" s="128">
        <v>4117.0200000000004</v>
      </c>
      <c r="K24" s="14">
        <f>3000+4000</f>
        <v>7000</v>
      </c>
      <c r="L24" s="128">
        <v>9641</v>
      </c>
      <c r="M24" s="14">
        <v>6500</v>
      </c>
      <c r="N24" s="128">
        <v>2840</v>
      </c>
      <c r="O24" s="14">
        <v>8000</v>
      </c>
      <c r="P24" s="128">
        <v>892.52</v>
      </c>
      <c r="Q24" s="14">
        <v>3000</v>
      </c>
      <c r="R24" s="14"/>
      <c r="S24" s="14"/>
    </row>
    <row r="25" spans="1:22" x14ac:dyDescent="0.2">
      <c r="A25" s="779"/>
      <c r="B25" s="340" t="s">
        <v>1008</v>
      </c>
      <c r="C25" s="128"/>
      <c r="D25" s="128"/>
      <c r="E25" s="128"/>
      <c r="F25" s="128"/>
      <c r="G25" s="128"/>
      <c r="H25" s="128"/>
      <c r="I25" s="128"/>
      <c r="J25" s="128"/>
      <c r="K25" s="14"/>
      <c r="L25" s="128">
        <v>3442.5</v>
      </c>
      <c r="M25" s="14"/>
      <c r="N25" s="128"/>
      <c r="O25" s="14"/>
      <c r="P25" s="128"/>
      <c r="Q25" s="14"/>
      <c r="R25" s="14"/>
      <c r="S25" s="14"/>
    </row>
    <row r="26" spans="1:22" ht="13.5" thickBot="1" x14ac:dyDescent="0.25">
      <c r="A26" s="796">
        <v>5590</v>
      </c>
      <c r="B26" s="4" t="s">
        <v>1009</v>
      </c>
      <c r="C26" s="37"/>
      <c r="D26" s="37"/>
      <c r="E26" s="37"/>
      <c r="F26" s="37"/>
      <c r="G26" s="37"/>
      <c r="H26" s="37"/>
      <c r="I26" s="37"/>
      <c r="J26" s="37"/>
      <c r="K26" s="38">
        <v>7500</v>
      </c>
      <c r="L26" s="271">
        <v>6339</v>
      </c>
      <c r="M26" s="38">
        <v>33100</v>
      </c>
      <c r="N26" s="271">
        <v>1188.47</v>
      </c>
      <c r="O26" s="38">
        <v>20000</v>
      </c>
      <c r="P26" s="37"/>
      <c r="Q26" s="38">
        <v>19000</v>
      </c>
      <c r="R26" s="38"/>
      <c r="S26" s="38"/>
    </row>
    <row r="27" spans="1:22" x14ac:dyDescent="0.2">
      <c r="A27" s="779"/>
      <c r="B27" s="17" t="s">
        <v>838</v>
      </c>
      <c r="C27" s="35">
        <f t="shared" ref="C27:S27" si="2">SUM(C13:C26)</f>
        <v>19070.73</v>
      </c>
      <c r="D27" s="35">
        <f t="shared" si="2"/>
        <v>19720.39</v>
      </c>
      <c r="E27" s="35">
        <f t="shared" si="2"/>
        <v>20427.78</v>
      </c>
      <c r="F27" s="35">
        <f t="shared" si="2"/>
        <v>29491.690000000002</v>
      </c>
      <c r="G27" s="35">
        <f t="shared" si="2"/>
        <v>33150.769999999997</v>
      </c>
      <c r="H27" s="35">
        <f t="shared" si="2"/>
        <v>41542.080000000002</v>
      </c>
      <c r="I27" s="35">
        <f t="shared" si="2"/>
        <v>44323.6</v>
      </c>
      <c r="J27" s="35">
        <f t="shared" si="2"/>
        <v>53902.240000000005</v>
      </c>
      <c r="K27" s="36">
        <f t="shared" si="2"/>
        <v>72000</v>
      </c>
      <c r="L27" s="35">
        <f t="shared" si="2"/>
        <v>68380.240000000005</v>
      </c>
      <c r="M27" s="36">
        <f t="shared" si="2"/>
        <v>95700</v>
      </c>
      <c r="N27" s="35">
        <f t="shared" ref="N27" si="3">SUM(N13:N26)</f>
        <v>52606.350000000006</v>
      </c>
      <c r="O27" s="36">
        <f t="shared" si="2"/>
        <v>76900</v>
      </c>
      <c r="P27" s="35">
        <f t="shared" si="2"/>
        <v>26185.79</v>
      </c>
      <c r="Q27" s="36">
        <f t="shared" si="2"/>
        <v>78400</v>
      </c>
      <c r="R27" s="36"/>
      <c r="S27" s="36">
        <f t="shared" si="2"/>
        <v>0</v>
      </c>
      <c r="U27" s="841"/>
      <c r="V27" s="841"/>
    </row>
    <row r="28" spans="1:22" x14ac:dyDescent="0.2">
      <c r="A28" s="779"/>
      <c r="B28" s="17"/>
      <c r="C28" s="35"/>
      <c r="D28" s="35"/>
      <c r="E28" s="35"/>
      <c r="F28" s="35"/>
      <c r="G28" s="35"/>
      <c r="H28" s="35"/>
      <c r="I28" s="35"/>
      <c r="J28" s="35"/>
      <c r="K28" s="36"/>
      <c r="L28" s="35"/>
      <c r="M28" s="36"/>
      <c r="N28" s="35"/>
      <c r="O28" s="36"/>
      <c r="P28" s="35"/>
      <c r="Q28" s="36"/>
      <c r="R28" s="36"/>
      <c r="S28" s="36"/>
    </row>
    <row r="29" spans="1:22" ht="13.5" thickBot="1" x14ac:dyDescent="0.25">
      <c r="A29" s="780"/>
      <c r="B29" s="20" t="s">
        <v>1010</v>
      </c>
      <c r="C29" s="21">
        <f t="shared" ref="C29:Q29" si="4">+C27+C11</f>
        <v>21070.73</v>
      </c>
      <c r="D29" s="21">
        <f t="shared" si="4"/>
        <v>21720.39</v>
      </c>
      <c r="E29" s="21">
        <f t="shared" si="4"/>
        <v>22312.94</v>
      </c>
      <c r="F29" s="21">
        <f t="shared" si="4"/>
        <v>31491.690000000002</v>
      </c>
      <c r="G29" s="21">
        <f t="shared" si="4"/>
        <v>33814.289999999994</v>
      </c>
      <c r="H29" s="21">
        <f t="shared" si="4"/>
        <v>43349.700000000004</v>
      </c>
      <c r="I29" s="21">
        <f t="shared" si="4"/>
        <v>46323.6</v>
      </c>
      <c r="J29" s="21">
        <f t="shared" si="4"/>
        <v>56002.240000000005</v>
      </c>
      <c r="K29" s="39">
        <f t="shared" si="4"/>
        <v>74100</v>
      </c>
      <c r="L29" s="21">
        <f t="shared" si="4"/>
        <v>71280.13</v>
      </c>
      <c r="M29" s="39">
        <f t="shared" si="4"/>
        <v>97800</v>
      </c>
      <c r="N29" s="21">
        <f t="shared" ref="N29" si="5">+N27+N11</f>
        <v>54706.350000000006</v>
      </c>
      <c r="O29" s="39">
        <f t="shared" si="4"/>
        <v>79000</v>
      </c>
      <c r="P29" s="21">
        <f t="shared" si="4"/>
        <v>27235.79</v>
      </c>
      <c r="Q29" s="39">
        <f t="shared" si="4"/>
        <v>80500</v>
      </c>
      <c r="R29" s="39">
        <f>+Q29</f>
        <v>80500</v>
      </c>
      <c r="S29" s="284">
        <f>+Q29</f>
        <v>80500</v>
      </c>
      <c r="U29" s="220"/>
    </row>
    <row r="30" spans="1:22" ht="13.5" thickTop="1" x14ac:dyDescent="0.2">
      <c r="A30" s="774"/>
      <c r="B30" s="4"/>
      <c r="C30" s="23"/>
      <c r="D30" s="23"/>
      <c r="E30" s="23"/>
      <c r="F30" s="23"/>
      <c r="G30" s="23"/>
      <c r="H30" s="23"/>
      <c r="I30" s="23"/>
      <c r="J30" s="23"/>
      <c r="K30" s="23"/>
      <c r="L30" s="23"/>
      <c r="M30" s="23"/>
      <c r="N30" s="23"/>
      <c r="O30" s="23"/>
      <c r="P30" s="199" t="s">
        <v>843</v>
      </c>
      <c r="Q30" s="1116">
        <f>+Q29-O29</f>
        <v>1500</v>
      </c>
      <c r="R30" s="1117">
        <f>ROUND((+Q30/O29),4)</f>
        <v>1.9E-2</v>
      </c>
      <c r="S30" s="73"/>
    </row>
    <row r="31" spans="1:22" x14ac:dyDescent="0.2">
      <c r="A31" s="779"/>
      <c r="B31" s="619"/>
      <c r="C31" s="23"/>
      <c r="D31" s="23"/>
      <c r="E31" s="23"/>
      <c r="F31" s="23"/>
      <c r="G31" s="23"/>
      <c r="H31" s="23"/>
      <c r="I31" s="23"/>
      <c r="J31" s="23"/>
      <c r="K31" s="23"/>
      <c r="L31" s="23"/>
      <c r="M31" s="23"/>
      <c r="N31" s="23"/>
      <c r="O31" s="23"/>
      <c r="P31" s="4"/>
      <c r="Q31" s="23"/>
      <c r="R31" s="23"/>
      <c r="S31" s="23"/>
    </row>
    <row r="32" spans="1:22" x14ac:dyDescent="0.2">
      <c r="A32" s="774"/>
      <c r="B32" s="4"/>
      <c r="C32" s="23"/>
      <c r="D32" s="23"/>
      <c r="E32" s="23"/>
      <c r="F32" s="23"/>
      <c r="G32" s="23"/>
      <c r="H32" s="23"/>
      <c r="I32" s="23"/>
      <c r="J32" s="23"/>
      <c r="K32" s="23"/>
      <c r="L32" s="23"/>
      <c r="M32" s="23"/>
      <c r="N32" s="23"/>
      <c r="O32" s="23"/>
      <c r="P32" s="4"/>
      <c r="Q32" s="23"/>
      <c r="R32" s="23"/>
      <c r="S32" s="23"/>
    </row>
    <row r="33" spans="1:19" x14ac:dyDescent="0.2">
      <c r="A33" s="774"/>
      <c r="B33" s="4"/>
      <c r="C33" s="23"/>
      <c r="D33" s="23"/>
      <c r="E33" s="23"/>
      <c r="F33" s="23"/>
      <c r="G33" s="23"/>
      <c r="H33" s="23"/>
      <c r="I33" s="23"/>
      <c r="J33" s="23"/>
      <c r="K33" s="23"/>
      <c r="L33" s="23"/>
      <c r="M33" s="23"/>
      <c r="N33" s="23"/>
      <c r="O33" s="23"/>
      <c r="P33" s="4"/>
      <c r="Q33" s="23"/>
      <c r="R33" s="23"/>
      <c r="S33" s="23"/>
    </row>
    <row r="34" spans="1:19" x14ac:dyDescent="0.2">
      <c r="A34" s="774"/>
      <c r="B34" s="4"/>
      <c r="C34" s="23"/>
      <c r="D34" s="23"/>
      <c r="E34" s="23"/>
      <c r="F34" s="23"/>
      <c r="G34" s="23"/>
      <c r="H34" s="23"/>
      <c r="I34" s="23"/>
      <c r="J34" s="23"/>
      <c r="K34" s="23"/>
      <c r="L34" s="23"/>
      <c r="M34" s="23"/>
      <c r="N34" s="23"/>
      <c r="O34" s="23"/>
      <c r="P34" s="4"/>
      <c r="Q34" s="23"/>
      <c r="R34" s="23"/>
      <c r="S34" s="23"/>
    </row>
    <row r="35" spans="1:19" x14ac:dyDescent="0.2">
      <c r="A35" s="774"/>
      <c r="C35" s="23"/>
      <c r="D35" s="23"/>
      <c r="E35" s="23"/>
      <c r="F35" s="23"/>
      <c r="G35" s="23"/>
      <c r="H35" s="23"/>
      <c r="I35" s="23"/>
      <c r="J35" s="23"/>
      <c r="K35" s="23"/>
      <c r="L35" s="23"/>
      <c r="M35" s="23"/>
      <c r="N35" s="23"/>
      <c r="O35" s="23"/>
      <c r="P35" s="4"/>
      <c r="Q35" s="23"/>
      <c r="R35" s="23"/>
      <c r="S35" s="23"/>
    </row>
    <row r="36" spans="1:19" x14ac:dyDescent="0.2">
      <c r="A36" s="774"/>
      <c r="C36" s="23"/>
      <c r="D36" s="23"/>
      <c r="E36" s="23"/>
      <c r="F36" s="23"/>
      <c r="G36" s="23"/>
      <c r="H36" s="23"/>
      <c r="I36" s="23"/>
      <c r="J36" s="23"/>
      <c r="K36" s="23"/>
      <c r="L36" s="23"/>
      <c r="M36" s="23"/>
      <c r="N36" s="23"/>
      <c r="O36" s="23"/>
      <c r="P36" s="4"/>
      <c r="Q36" s="23"/>
      <c r="R36" s="23"/>
      <c r="S36" s="23"/>
    </row>
    <row r="37" spans="1:19" x14ac:dyDescent="0.2">
      <c r="A37" s="774"/>
      <c r="C37" s="23"/>
      <c r="D37" s="23"/>
      <c r="E37" s="23"/>
      <c r="F37" s="23"/>
      <c r="G37" s="23"/>
      <c r="H37" s="23"/>
      <c r="I37" s="23"/>
      <c r="J37" s="23"/>
      <c r="K37" s="23"/>
      <c r="L37" s="23"/>
      <c r="M37" s="23"/>
      <c r="N37" s="23"/>
      <c r="O37" s="23"/>
      <c r="P37" s="4"/>
      <c r="Q37" s="23"/>
      <c r="R37" s="23"/>
      <c r="S37" s="23"/>
    </row>
    <row r="38" spans="1:19" ht="13.5" thickBot="1" x14ac:dyDescent="0.25">
      <c r="B38" s="4"/>
    </row>
    <row r="39" spans="1:19" ht="13.5" thickTop="1" x14ac:dyDescent="0.2">
      <c r="A39" s="789"/>
      <c r="B39" s="367"/>
      <c r="C39" s="368" t="s">
        <v>280</v>
      </c>
      <c r="D39" s="369" t="s">
        <v>280</v>
      </c>
      <c r="E39" s="369" t="s">
        <v>280</v>
      </c>
      <c r="M39" s="370" t="s">
        <v>279</v>
      </c>
      <c r="N39" s="371" t="s">
        <v>826</v>
      </c>
      <c r="O39" s="372" t="s">
        <v>840</v>
      </c>
      <c r="P39" s="371" t="s">
        <v>841</v>
      </c>
      <c r="Q39" s="373"/>
      <c r="R39" s="569"/>
      <c r="S39" s="372"/>
    </row>
    <row r="40" spans="1:19" ht="13.5" thickBot="1" x14ac:dyDescent="0.25">
      <c r="A40" s="790" t="s">
        <v>825</v>
      </c>
      <c r="B40" s="374"/>
      <c r="C40" s="375" t="s">
        <v>267</v>
      </c>
      <c r="D40" s="375" t="s">
        <v>268</v>
      </c>
      <c r="E40" s="376" t="s">
        <v>269</v>
      </c>
      <c r="M40" s="377" t="s">
        <v>277</v>
      </c>
      <c r="N40" s="377" t="s">
        <v>571</v>
      </c>
      <c r="O40" s="376" t="s">
        <v>843</v>
      </c>
      <c r="P40" s="378" t="s">
        <v>843</v>
      </c>
      <c r="Q40" s="379" t="s">
        <v>844</v>
      </c>
      <c r="R40" s="570"/>
      <c r="S40" s="377"/>
    </row>
    <row r="41" spans="1:19" ht="13.5" thickTop="1" x14ac:dyDescent="0.2">
      <c r="A41" s="797"/>
      <c r="B41" s="394"/>
      <c r="C41" s="383"/>
      <c r="D41" s="383"/>
      <c r="E41" s="383"/>
      <c r="M41" s="384"/>
      <c r="N41" s="410"/>
      <c r="O41" s="386"/>
      <c r="P41" s="392"/>
      <c r="Q41" s="385"/>
      <c r="R41" s="572"/>
      <c r="S41" s="386"/>
    </row>
    <row r="42" spans="1:19" x14ac:dyDescent="0.2">
      <c r="A42" s="797">
        <v>5100</v>
      </c>
      <c r="B42" s="394" t="s">
        <v>1001</v>
      </c>
      <c r="C42" s="383">
        <v>2000</v>
      </c>
      <c r="D42" s="383">
        <v>2000</v>
      </c>
      <c r="E42" s="383">
        <v>1885.16</v>
      </c>
      <c r="M42" s="384">
        <f>+O9</f>
        <v>2100</v>
      </c>
      <c r="N42" s="410">
        <f>+Q9</f>
        <v>2100</v>
      </c>
      <c r="O42" s="386">
        <f t="shared" ref="O42:O54" si="6">+N42-M42</f>
        <v>0</v>
      </c>
      <c r="P42" s="392" t="str">
        <f t="shared" ref="P42:P43" si="7">IF(M42+N42&lt;&gt;0,IF(M42&lt;&gt;0,IF(O42&lt;&gt;0,ROUND((+O42/M42),4),""),1),"")</f>
        <v/>
      </c>
      <c r="Q42" s="385"/>
      <c r="R42" s="572"/>
      <c r="S42" s="386"/>
    </row>
    <row r="43" spans="1:19" x14ac:dyDescent="0.2">
      <c r="A43" s="795">
        <v>5247</v>
      </c>
      <c r="B43" s="387" t="s">
        <v>1004</v>
      </c>
      <c r="C43" s="391">
        <v>14500</v>
      </c>
      <c r="D43" s="391">
        <v>15250</v>
      </c>
      <c r="E43" s="391">
        <v>16000</v>
      </c>
      <c r="M43" s="390">
        <f t="shared" ref="M43:M52" si="8">+O13</f>
        <v>33100</v>
      </c>
      <c r="N43" s="410">
        <f t="shared" ref="N43:N52" si="9">+Q13</f>
        <v>34000</v>
      </c>
      <c r="O43" s="386">
        <f t="shared" si="6"/>
        <v>900</v>
      </c>
      <c r="P43" s="392">
        <f t="shared" si="7"/>
        <v>2.7199999999999998E-2</v>
      </c>
      <c r="Q43" s="385" t="s">
        <v>2158</v>
      </c>
      <c r="R43" s="572"/>
      <c r="S43" s="386"/>
    </row>
    <row r="44" spans="1:19" x14ac:dyDescent="0.2">
      <c r="A44" s="795">
        <v>5341</v>
      </c>
      <c r="B44" s="415" t="s">
        <v>1005</v>
      </c>
      <c r="C44" s="391"/>
      <c r="D44" s="391"/>
      <c r="E44" s="391"/>
      <c r="M44" s="390">
        <f t="shared" si="8"/>
        <v>3000</v>
      </c>
      <c r="N44" s="410">
        <f t="shared" si="9"/>
        <v>3000</v>
      </c>
      <c r="O44" s="386">
        <f t="shared" si="6"/>
        <v>0</v>
      </c>
      <c r="P44" s="392" t="str">
        <f t="shared" ref="P44:P53" si="10">IF(M44+N44&lt;&gt;0,IF(M44&lt;&gt;0,IF(O44&lt;&gt;0,ROUND((+O44/M44),4),""),1),"")</f>
        <v/>
      </c>
      <c r="Q44" s="385"/>
      <c r="R44" s="572"/>
      <c r="S44" s="386"/>
    </row>
    <row r="45" spans="1:19" x14ac:dyDescent="0.2">
      <c r="A45" s="795">
        <v>5346</v>
      </c>
      <c r="B45" s="415" t="s">
        <v>2159</v>
      </c>
      <c r="C45" s="391">
        <v>125</v>
      </c>
      <c r="D45" s="391">
        <v>275</v>
      </c>
      <c r="E45" s="391">
        <v>125</v>
      </c>
      <c r="M45" s="390">
        <f t="shared" si="8"/>
        <v>0</v>
      </c>
      <c r="N45" s="410">
        <f t="shared" si="9"/>
        <v>1100</v>
      </c>
      <c r="O45" s="386">
        <f t="shared" si="6"/>
        <v>1100</v>
      </c>
      <c r="P45" s="392">
        <f t="shared" si="10"/>
        <v>1</v>
      </c>
      <c r="Q45" s="385" t="s">
        <v>2166</v>
      </c>
      <c r="R45" s="572"/>
      <c r="S45" s="386"/>
    </row>
    <row r="46" spans="1:19" x14ac:dyDescent="0.2">
      <c r="A46" s="795">
        <v>5347</v>
      </c>
      <c r="B46" s="415" t="s">
        <v>2160</v>
      </c>
      <c r="C46" s="391">
        <v>2950</v>
      </c>
      <c r="D46" s="391">
        <v>2950</v>
      </c>
      <c r="E46" s="391">
        <v>3050</v>
      </c>
      <c r="M46" s="390">
        <f t="shared" si="8"/>
        <v>400</v>
      </c>
      <c r="N46" s="410">
        <f t="shared" si="9"/>
        <v>600</v>
      </c>
      <c r="O46" s="386">
        <f t="shared" si="6"/>
        <v>200</v>
      </c>
      <c r="P46" s="392">
        <f t="shared" si="10"/>
        <v>0.5</v>
      </c>
      <c r="Q46" s="385" t="s">
        <v>2167</v>
      </c>
      <c r="R46" s="572"/>
      <c r="S46" s="386"/>
    </row>
    <row r="47" spans="1:19" x14ac:dyDescent="0.2">
      <c r="A47" s="795">
        <v>5348</v>
      </c>
      <c r="B47" s="415" t="s">
        <v>2161</v>
      </c>
      <c r="C47" s="391">
        <v>161.97999999999999</v>
      </c>
      <c r="D47" s="391">
        <v>0</v>
      </c>
      <c r="E47" s="391">
        <v>179.98</v>
      </c>
      <c r="M47" s="390">
        <f t="shared" si="8"/>
        <v>800</v>
      </c>
      <c r="N47" s="410">
        <f t="shared" si="9"/>
        <v>800</v>
      </c>
      <c r="O47" s="386">
        <f t="shared" si="6"/>
        <v>0</v>
      </c>
      <c r="P47" s="392" t="str">
        <f t="shared" si="10"/>
        <v/>
      </c>
      <c r="Q47" s="385"/>
      <c r="R47" s="572"/>
      <c r="S47" s="386"/>
    </row>
    <row r="48" spans="1:19" x14ac:dyDescent="0.2">
      <c r="A48" s="795">
        <v>5349</v>
      </c>
      <c r="B48" s="415" t="s">
        <v>2165</v>
      </c>
      <c r="C48" s="391">
        <v>161.97999999999999</v>
      </c>
      <c r="D48" s="391">
        <v>0</v>
      </c>
      <c r="E48" s="391">
        <v>179.98</v>
      </c>
      <c r="M48" s="390">
        <f t="shared" si="8"/>
        <v>400</v>
      </c>
      <c r="N48" s="410">
        <f t="shared" si="9"/>
        <v>600</v>
      </c>
      <c r="O48" s="386">
        <f t="shared" si="6"/>
        <v>200</v>
      </c>
      <c r="P48" s="392">
        <f t="shared" si="10"/>
        <v>0.5</v>
      </c>
      <c r="Q48" s="385" t="s">
        <v>2167</v>
      </c>
      <c r="R48" s="572"/>
      <c r="S48" s="386"/>
    </row>
    <row r="49" spans="1:19" x14ac:dyDescent="0.2">
      <c r="A49" s="795">
        <v>5350</v>
      </c>
      <c r="B49" s="400" t="s">
        <v>2162</v>
      </c>
      <c r="C49" s="391"/>
      <c r="D49" s="391"/>
      <c r="E49" s="391"/>
      <c r="M49" s="390">
        <f t="shared" si="8"/>
        <v>1500</v>
      </c>
      <c r="N49" s="410">
        <f t="shared" si="9"/>
        <v>2800</v>
      </c>
      <c r="O49" s="386">
        <f t="shared" si="6"/>
        <v>1300</v>
      </c>
      <c r="P49" s="392">
        <f t="shared" si="10"/>
        <v>0.86670000000000003</v>
      </c>
      <c r="Q49" s="385" t="s">
        <v>2168</v>
      </c>
      <c r="R49" s="572"/>
      <c r="S49" s="386"/>
    </row>
    <row r="50" spans="1:19" x14ac:dyDescent="0.2">
      <c r="A50" s="795">
        <v>5351</v>
      </c>
      <c r="B50" s="400" t="s">
        <v>1006</v>
      </c>
      <c r="C50" s="391"/>
      <c r="D50" s="391"/>
      <c r="E50" s="391"/>
      <c r="M50" s="390">
        <f t="shared" si="8"/>
        <v>9700</v>
      </c>
      <c r="N50" s="410">
        <f t="shared" si="9"/>
        <v>9000</v>
      </c>
      <c r="O50" s="386">
        <f t="shared" si="6"/>
        <v>-700</v>
      </c>
      <c r="P50" s="392">
        <f t="shared" si="10"/>
        <v>-7.22E-2</v>
      </c>
      <c r="Q50" s="385" t="s">
        <v>2169</v>
      </c>
      <c r="R50" s="572"/>
      <c r="S50" s="386"/>
    </row>
    <row r="51" spans="1:19" x14ac:dyDescent="0.2">
      <c r="A51" s="795">
        <v>5352</v>
      </c>
      <c r="B51" s="400" t="s">
        <v>2163</v>
      </c>
      <c r="C51" s="391"/>
      <c r="D51" s="391"/>
      <c r="E51" s="391"/>
      <c r="M51" s="390">
        <f t="shared" si="8"/>
        <v>0</v>
      </c>
      <c r="N51" s="410">
        <f t="shared" si="9"/>
        <v>3500</v>
      </c>
      <c r="O51" s="386">
        <f t="shared" si="6"/>
        <v>3500</v>
      </c>
      <c r="P51" s="392">
        <f t="shared" si="10"/>
        <v>1</v>
      </c>
      <c r="Q51" s="385" t="s">
        <v>2170</v>
      </c>
      <c r="R51" s="572"/>
      <c r="S51" s="386"/>
    </row>
    <row r="52" spans="1:19" x14ac:dyDescent="0.2">
      <c r="A52" s="795">
        <v>5353</v>
      </c>
      <c r="B52" s="400" t="s">
        <v>2164</v>
      </c>
      <c r="C52" s="391"/>
      <c r="D52" s="391"/>
      <c r="E52" s="391"/>
      <c r="M52" s="390">
        <f t="shared" si="8"/>
        <v>0</v>
      </c>
      <c r="N52" s="410">
        <f t="shared" si="9"/>
        <v>1000</v>
      </c>
      <c r="O52" s="386">
        <f t="shared" si="6"/>
        <v>1000</v>
      </c>
      <c r="P52" s="392">
        <f t="shared" si="10"/>
        <v>1</v>
      </c>
      <c r="Q52" s="385" t="s">
        <v>2168</v>
      </c>
      <c r="R52" s="572"/>
      <c r="S52" s="386"/>
    </row>
    <row r="53" spans="1:19" x14ac:dyDescent="0.2">
      <c r="A53" s="795">
        <v>5580</v>
      </c>
      <c r="B53" s="400" t="s">
        <v>1007</v>
      </c>
      <c r="C53" s="391"/>
      <c r="D53" s="391"/>
      <c r="E53" s="391"/>
      <c r="M53" s="390">
        <f t="shared" ref="M53" si="11">+O24</f>
        <v>8000</v>
      </c>
      <c r="N53" s="410">
        <f t="shared" ref="N53" si="12">+Q24</f>
        <v>3000</v>
      </c>
      <c r="O53" s="386">
        <f t="shared" si="6"/>
        <v>-5000</v>
      </c>
      <c r="P53" s="392">
        <f t="shared" si="10"/>
        <v>-0.625</v>
      </c>
      <c r="Q53" s="385" t="s">
        <v>2171</v>
      </c>
      <c r="R53" s="572"/>
      <c r="S53" s="386"/>
    </row>
    <row r="54" spans="1:19" x14ac:dyDescent="0.2">
      <c r="A54" s="797">
        <v>5590</v>
      </c>
      <c r="B54" s="406" t="s">
        <v>1009</v>
      </c>
      <c r="C54" s="609"/>
      <c r="D54" s="609"/>
      <c r="E54" s="609"/>
      <c r="M54" s="410">
        <f>+O26</f>
        <v>20000</v>
      </c>
      <c r="N54" s="410">
        <f>+Q26</f>
        <v>19000</v>
      </c>
      <c r="O54" s="386">
        <f t="shared" si="6"/>
        <v>-1000</v>
      </c>
      <c r="P54" s="392">
        <f t="shared" ref="P54" si="13">IF(M54+N54&lt;&gt;0,IF(M54&lt;&gt;0,IF(O54&lt;&gt;0,ROUND((+O54/M54),4),""),1),"")</f>
        <v>-0.05</v>
      </c>
      <c r="Q54" s="417" t="s">
        <v>2171</v>
      </c>
      <c r="R54" s="417"/>
      <c r="S54" s="417"/>
    </row>
    <row r="55" spans="1:19" x14ac:dyDescent="0.2">
      <c r="B55" s="4" t="s">
        <v>846</v>
      </c>
      <c r="C55" s="23"/>
      <c r="D55" s="23"/>
      <c r="E55" s="23"/>
      <c r="F55" s="23"/>
      <c r="G55" s="23"/>
      <c r="M55" s="616">
        <f>SUM(M41:M54)</f>
        <v>79000</v>
      </c>
      <c r="N55" s="616">
        <f>SUM(N41:N54)</f>
        <v>80500</v>
      </c>
      <c r="O55" s="25">
        <f>+N55-M55</f>
        <v>1500</v>
      </c>
      <c r="P55" s="617">
        <f>IF(M55+N55&lt;&gt;0,IF(M55&lt;&gt;0,IF(O55&lt;&gt;0,ROUND((+O55/M55),4),""),1),"")</f>
        <v>1.9E-2</v>
      </c>
    </row>
    <row r="56" spans="1:19" x14ac:dyDescent="0.2">
      <c r="A56" s="815" t="s">
        <v>1011</v>
      </c>
      <c r="M56" s="220" t="s">
        <v>1012</v>
      </c>
      <c r="N56" s="220" t="s">
        <v>194</v>
      </c>
      <c r="O56" s="220" t="s">
        <v>1013</v>
      </c>
    </row>
    <row r="57" spans="1:19" x14ac:dyDescent="0.2">
      <c r="A57" s="783">
        <v>42755</v>
      </c>
      <c r="B57" s="406" t="s">
        <v>1014</v>
      </c>
      <c r="M57" s="153">
        <v>43850</v>
      </c>
      <c r="N57">
        <v>700</v>
      </c>
      <c r="O57" s="220" t="s">
        <v>570</v>
      </c>
    </row>
    <row r="58" spans="1:19" x14ac:dyDescent="0.2">
      <c r="A58" s="783">
        <v>42967</v>
      </c>
      <c r="B58" s="406" t="s">
        <v>1015</v>
      </c>
      <c r="M58" s="153">
        <v>44063</v>
      </c>
      <c r="N58">
        <v>1100</v>
      </c>
      <c r="O58" s="220" t="s">
        <v>275</v>
      </c>
    </row>
    <row r="60" spans="1:19" x14ac:dyDescent="0.2">
      <c r="B60" t="s">
        <v>1016</v>
      </c>
    </row>
    <row r="61" spans="1:19" x14ac:dyDescent="0.2">
      <c r="B61" t="s">
        <v>1017</v>
      </c>
    </row>
    <row r="62" spans="1:19" x14ac:dyDescent="0.2">
      <c r="B62" t="s">
        <v>1018</v>
      </c>
    </row>
  </sheetData>
  <hyperlinks>
    <hyperlink ref="A1" location="'Working Budget with funding det'!A1" display="Main " xr:uid="{00000000-0004-0000-1200-000000000000}"/>
    <hyperlink ref="B1" location="'Table of Contents'!A1" display="TOC" xr:uid="{00000000-0004-0000-1200-000001000000}"/>
  </hyperlinks>
  <pageMargins left="0.7" right="0.7" top="0.75" bottom="0.75" header="0.3" footer="0.3"/>
  <pageSetup scale="96" fitToHeight="0" orientation="landscape" r:id="rId1"/>
  <headerFooter>
    <oddFooter>&amp;L&amp;D &amp;T&amp;C&amp;F&amp;R&amp;A</oddFooter>
  </headerFooter>
  <rowBreaks count="1" manualBreakCount="1">
    <brk id="37" max="1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pageSetUpPr fitToPage="1"/>
  </sheetPr>
  <dimension ref="A1:W46"/>
  <sheetViews>
    <sheetView workbookViewId="0">
      <selection activeCell="P15" sqref="P15"/>
    </sheetView>
  </sheetViews>
  <sheetFormatPr defaultRowHeight="12.75" x14ac:dyDescent="0.2"/>
  <cols>
    <col min="1" max="1" width="10.83203125" style="774" customWidth="1"/>
    <col min="2" max="2" width="37.83203125" style="4" customWidth="1"/>
    <col min="3" max="12" width="14.5" style="23" hidden="1" customWidth="1"/>
    <col min="13" max="15" width="14.5" style="23" customWidth="1"/>
    <col min="16" max="16" width="14.5" style="4" customWidth="1"/>
    <col min="17" max="20" width="14.5" style="23" customWidth="1"/>
    <col min="21" max="23" width="14.5" style="4" customWidth="1"/>
    <col min="24" max="24" width="14.6640625" customWidth="1"/>
  </cols>
  <sheetData>
    <row r="1" spans="1:20" x14ac:dyDescent="0.2">
      <c r="A1" s="772" t="s">
        <v>847</v>
      </c>
      <c r="B1" s="308" t="s">
        <v>197</v>
      </c>
      <c r="T1" s="4"/>
    </row>
    <row r="2" spans="1:20" x14ac:dyDescent="0.2">
      <c r="A2" s="774" t="s">
        <v>815</v>
      </c>
      <c r="I2" s="23" t="s">
        <v>816</v>
      </c>
      <c r="P2" s="75" t="s">
        <v>629</v>
      </c>
      <c r="S2" s="74" t="s">
        <v>1019</v>
      </c>
    </row>
    <row r="3" spans="1:20" ht="13.5" thickBot="1" x14ac:dyDescent="0.25">
      <c r="S3" s="4"/>
      <c r="T3" s="4"/>
    </row>
    <row r="4" spans="1:20"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0"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0" x14ac:dyDescent="0.2">
      <c r="A6" s="776"/>
      <c r="B6" s="202"/>
      <c r="C6" s="113"/>
      <c r="D6" s="113"/>
      <c r="E6" s="113"/>
      <c r="F6" s="113"/>
      <c r="G6" s="113"/>
      <c r="H6" s="113"/>
      <c r="I6" s="83"/>
      <c r="J6" s="83"/>
      <c r="K6" s="83"/>
      <c r="L6" s="83"/>
      <c r="M6" s="83"/>
      <c r="N6" s="83"/>
      <c r="O6" s="83"/>
      <c r="P6" s="113"/>
      <c r="Q6" s="83" t="s">
        <v>823</v>
      </c>
      <c r="R6" s="83" t="s">
        <v>585</v>
      </c>
      <c r="S6" s="45" t="s">
        <v>824</v>
      </c>
    </row>
    <row r="7" spans="1:20"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0" ht="13.5" thickTop="1" x14ac:dyDescent="0.2">
      <c r="A8" s="796"/>
      <c r="B8" s="203"/>
      <c r="C8" s="118"/>
      <c r="D8" s="18"/>
      <c r="E8" s="18"/>
      <c r="F8" s="18"/>
      <c r="G8" s="18"/>
      <c r="H8" s="18"/>
      <c r="I8" s="18"/>
      <c r="J8" s="18"/>
      <c r="K8" s="19"/>
      <c r="L8" s="19"/>
      <c r="M8" s="19"/>
      <c r="N8" s="19"/>
      <c r="O8" s="19"/>
      <c r="P8" s="18"/>
      <c r="Q8" s="19"/>
      <c r="R8" s="19"/>
      <c r="S8" s="19"/>
    </row>
    <row r="9" spans="1:20" x14ac:dyDescent="0.2">
      <c r="A9" s="779">
        <v>5249</v>
      </c>
      <c r="B9" s="60" t="s">
        <v>1020</v>
      </c>
      <c r="C9" s="116">
        <v>4821.76</v>
      </c>
      <c r="D9" s="13">
        <v>3599.04</v>
      </c>
      <c r="E9" s="13">
        <v>4277.18</v>
      </c>
      <c r="F9" s="13">
        <v>3350.66</v>
      </c>
      <c r="G9" s="13">
        <v>3252.3</v>
      </c>
      <c r="H9" s="13">
        <v>3636.21</v>
      </c>
      <c r="I9" s="128">
        <v>3711.79</v>
      </c>
      <c r="J9" s="128">
        <v>3992.02</v>
      </c>
      <c r="K9" s="14">
        <v>4400</v>
      </c>
      <c r="L9" s="128">
        <v>3838.75</v>
      </c>
      <c r="M9" s="14">
        <v>4400</v>
      </c>
      <c r="N9" s="128">
        <v>4132.46</v>
      </c>
      <c r="O9" s="14">
        <v>4400</v>
      </c>
      <c r="P9" s="13">
        <v>1439.2</v>
      </c>
      <c r="Q9" s="14">
        <v>4400</v>
      </c>
      <c r="R9" s="14"/>
      <c r="S9" s="14"/>
    </row>
    <row r="10" spans="1:20" x14ac:dyDescent="0.2">
      <c r="A10" s="779">
        <v>5304</v>
      </c>
      <c r="B10" s="60" t="s">
        <v>1021</v>
      </c>
      <c r="C10" s="116">
        <v>30500</v>
      </c>
      <c r="D10" s="128">
        <v>28500</v>
      </c>
      <c r="E10" s="128">
        <v>28500</v>
      </c>
      <c r="F10" s="128">
        <v>28500</v>
      </c>
      <c r="G10" s="128">
        <v>26000</v>
      </c>
      <c r="H10" s="128">
        <v>26000</v>
      </c>
      <c r="I10" s="128">
        <v>27500</v>
      </c>
      <c r="J10" s="128">
        <v>28000</v>
      </c>
      <c r="K10" s="14">
        <v>31000</v>
      </c>
      <c r="L10" s="128">
        <v>28000</v>
      </c>
      <c r="M10" s="14">
        <v>34000</v>
      </c>
      <c r="N10" s="128">
        <v>28500</v>
      </c>
      <c r="O10" s="14">
        <v>34000</v>
      </c>
      <c r="P10" s="13">
        <v>25000</v>
      </c>
      <c r="Q10" s="14">
        <v>40000</v>
      </c>
      <c r="R10" s="14"/>
      <c r="S10" s="14"/>
      <c r="T10" s="23" t="s">
        <v>1022</v>
      </c>
    </row>
    <row r="11" spans="1:20" x14ac:dyDescent="0.2">
      <c r="A11" s="779">
        <v>5305</v>
      </c>
      <c r="B11" s="60" t="s">
        <v>1023</v>
      </c>
      <c r="C11" s="116"/>
      <c r="D11" s="13">
        <v>0</v>
      </c>
      <c r="E11" s="13"/>
      <c r="F11" s="13"/>
      <c r="G11" s="13">
        <v>783.99</v>
      </c>
      <c r="H11" s="13">
        <v>467.88</v>
      </c>
      <c r="I11" s="128">
        <v>421.75</v>
      </c>
      <c r="J11" s="128"/>
      <c r="K11" s="14">
        <v>800</v>
      </c>
      <c r="L11" s="128"/>
      <c r="M11" s="14">
        <v>100</v>
      </c>
      <c r="N11" s="128"/>
      <c r="O11" s="14">
        <v>100</v>
      </c>
      <c r="P11" s="13"/>
      <c r="Q11" s="14"/>
      <c r="R11" s="14"/>
      <c r="S11" s="14"/>
    </row>
    <row r="12" spans="1:20" x14ac:dyDescent="0.2">
      <c r="A12" s="779">
        <v>5306</v>
      </c>
      <c r="B12" s="60" t="s">
        <v>1024</v>
      </c>
      <c r="C12" s="228"/>
      <c r="D12" s="35">
        <v>3250</v>
      </c>
      <c r="E12" s="35"/>
      <c r="F12" s="35"/>
      <c r="G12" s="35">
        <v>975</v>
      </c>
      <c r="H12" s="35">
        <v>3400</v>
      </c>
      <c r="I12" s="218">
        <v>3740</v>
      </c>
      <c r="J12" s="218">
        <v>3600</v>
      </c>
      <c r="K12" s="36">
        <v>3500</v>
      </c>
      <c r="L12" s="218">
        <v>1440</v>
      </c>
      <c r="M12" s="36">
        <v>3800</v>
      </c>
      <c r="N12" s="218">
        <v>3720</v>
      </c>
      <c r="O12" s="36">
        <v>3800</v>
      </c>
      <c r="P12" s="13">
        <v>1490</v>
      </c>
      <c r="Q12" s="36">
        <v>3800</v>
      </c>
      <c r="R12" s="36"/>
      <c r="S12" s="36"/>
    </row>
    <row r="13" spans="1:20" x14ac:dyDescent="0.2">
      <c r="A13" s="779">
        <v>5307</v>
      </c>
      <c r="B13" s="60" t="s">
        <v>1025</v>
      </c>
      <c r="C13" s="228">
        <v>1500</v>
      </c>
      <c r="D13" s="35">
        <v>1500</v>
      </c>
      <c r="E13" s="35">
        <v>250</v>
      </c>
      <c r="F13" s="35">
        <v>1500</v>
      </c>
      <c r="G13" s="35">
        <v>1500</v>
      </c>
      <c r="H13" s="35">
        <v>1500</v>
      </c>
      <c r="I13" s="218">
        <v>500</v>
      </c>
      <c r="J13" s="218">
        <v>500</v>
      </c>
      <c r="K13" s="36">
        <v>2000</v>
      </c>
      <c r="L13" s="218">
        <v>2000</v>
      </c>
      <c r="M13" s="36">
        <v>2000</v>
      </c>
      <c r="N13" s="218">
        <v>500</v>
      </c>
      <c r="O13" s="36">
        <v>2000</v>
      </c>
      <c r="P13" s="13"/>
      <c r="Q13" s="36">
        <v>2250</v>
      </c>
      <c r="R13" s="36"/>
      <c r="S13" s="36"/>
    </row>
    <row r="14" spans="1:20" x14ac:dyDescent="0.2">
      <c r="A14" s="779">
        <v>5310</v>
      </c>
      <c r="B14" s="60" t="s">
        <v>1026</v>
      </c>
      <c r="C14" s="228"/>
      <c r="D14" s="35"/>
      <c r="E14" s="35"/>
      <c r="F14" s="35"/>
      <c r="G14" s="35"/>
      <c r="H14" s="35">
        <v>16500</v>
      </c>
      <c r="I14" s="218">
        <v>16500</v>
      </c>
      <c r="J14" s="218">
        <v>1500</v>
      </c>
      <c r="K14" s="36">
        <v>6000</v>
      </c>
      <c r="L14" s="218">
        <v>6000</v>
      </c>
      <c r="M14" s="36">
        <v>6000</v>
      </c>
      <c r="N14" s="218">
        <v>6000</v>
      </c>
      <c r="O14" s="36">
        <v>6000</v>
      </c>
      <c r="P14" s="13">
        <v>6000</v>
      </c>
      <c r="Q14" s="36">
        <v>6000</v>
      </c>
      <c r="R14" s="36"/>
      <c r="S14" s="36"/>
      <c r="T14" s="23" t="s">
        <v>1027</v>
      </c>
    </row>
    <row r="15" spans="1:20" x14ac:dyDescent="0.2">
      <c r="A15" s="779">
        <v>5340</v>
      </c>
      <c r="B15" s="60" t="s">
        <v>1028</v>
      </c>
      <c r="C15" s="116">
        <v>459</v>
      </c>
      <c r="D15" s="13">
        <v>0</v>
      </c>
      <c r="E15" s="13">
        <v>201.2</v>
      </c>
      <c r="F15" s="13"/>
      <c r="G15" s="13">
        <v>192.25</v>
      </c>
      <c r="H15" s="13">
        <v>10355.67</v>
      </c>
      <c r="I15" s="128">
        <v>10765.91</v>
      </c>
      <c r="J15" s="128">
        <v>11264.31</v>
      </c>
      <c r="K15" s="14">
        <v>15000</v>
      </c>
      <c r="L15" s="128">
        <v>13334.82</v>
      </c>
      <c r="M15" s="14">
        <v>15000</v>
      </c>
      <c r="N15" s="128">
        <v>12934.79</v>
      </c>
      <c r="O15" s="14">
        <v>15000</v>
      </c>
      <c r="P15" s="13">
        <v>5530.7</v>
      </c>
      <c r="Q15" s="14">
        <v>15000</v>
      </c>
      <c r="R15" s="14"/>
      <c r="S15" s="14"/>
      <c r="T15" s="23" t="s">
        <v>1029</v>
      </c>
    </row>
    <row r="16" spans="1:20" x14ac:dyDescent="0.2">
      <c r="A16" s="779">
        <v>5344</v>
      </c>
      <c r="B16" s="60" t="s">
        <v>1030</v>
      </c>
      <c r="C16" s="118">
        <v>2250.5300000000002</v>
      </c>
      <c r="D16" s="18">
        <v>2192.2199999999998</v>
      </c>
      <c r="E16" s="18">
        <v>2291.04</v>
      </c>
      <c r="F16" s="18">
        <v>2358.7600000000002</v>
      </c>
      <c r="G16" s="18">
        <v>2834.65</v>
      </c>
      <c r="H16" s="18">
        <v>3092.19</v>
      </c>
      <c r="I16" s="112">
        <v>3798.65</v>
      </c>
      <c r="J16" s="112">
        <v>3979.96</v>
      </c>
      <c r="K16" s="19">
        <v>3900</v>
      </c>
      <c r="L16" s="112">
        <v>3890.3</v>
      </c>
      <c r="M16" s="19">
        <v>4000</v>
      </c>
      <c r="N16" s="112">
        <v>3543.96</v>
      </c>
      <c r="O16" s="19">
        <v>4500</v>
      </c>
      <c r="P16" s="18">
        <v>2258.87</v>
      </c>
      <c r="Q16" s="19">
        <v>4578</v>
      </c>
      <c r="R16" s="19"/>
      <c r="S16" s="19"/>
    </row>
    <row r="17" spans="1:19" x14ac:dyDescent="0.2">
      <c r="A17" s="779">
        <v>5350</v>
      </c>
      <c r="B17" s="256" t="s">
        <v>1031</v>
      </c>
      <c r="C17" s="329"/>
      <c r="D17" s="128"/>
      <c r="E17" s="128">
        <v>6309</v>
      </c>
      <c r="F17" s="128">
        <v>6309</v>
      </c>
      <c r="G17" s="128">
        <v>6309</v>
      </c>
      <c r="H17" s="128">
        <v>6309</v>
      </c>
      <c r="I17" s="128">
        <v>12618</v>
      </c>
      <c r="J17" s="128">
        <v>6309</v>
      </c>
      <c r="K17" s="14">
        <v>6309</v>
      </c>
      <c r="L17" s="128">
        <v>3559</v>
      </c>
      <c r="M17" s="14">
        <f>250+6309</f>
        <v>6559</v>
      </c>
      <c r="N17" s="128">
        <v>6559</v>
      </c>
      <c r="O17" s="14">
        <f>250+6309</f>
        <v>6559</v>
      </c>
      <c r="P17" s="128"/>
      <c r="Q17" s="14">
        <f>250+6309</f>
        <v>6559</v>
      </c>
      <c r="R17" s="14"/>
      <c r="S17" s="250"/>
    </row>
    <row r="18" spans="1:19" x14ac:dyDescent="0.2">
      <c r="A18" s="779">
        <v>5420</v>
      </c>
      <c r="B18" s="60" t="s">
        <v>1032</v>
      </c>
      <c r="C18" s="116">
        <v>1590.17</v>
      </c>
      <c r="D18" s="13">
        <f>737+737</f>
        <v>1474</v>
      </c>
      <c r="E18" s="13">
        <v>1474</v>
      </c>
      <c r="F18" s="13">
        <v>1556.76</v>
      </c>
      <c r="G18" s="13">
        <v>1474</v>
      </c>
      <c r="H18" s="13">
        <v>737</v>
      </c>
      <c r="I18" s="128">
        <v>1499</v>
      </c>
      <c r="J18" s="128">
        <v>308.12</v>
      </c>
      <c r="K18" s="14">
        <v>1600</v>
      </c>
      <c r="L18" s="128">
        <v>273.54000000000002</v>
      </c>
      <c r="M18" s="14">
        <v>1600</v>
      </c>
      <c r="N18" s="128">
        <v>123.9</v>
      </c>
      <c r="O18" s="14">
        <v>1600</v>
      </c>
      <c r="P18" s="13">
        <v>647.9</v>
      </c>
      <c r="Q18" s="14">
        <v>3200</v>
      </c>
      <c r="R18" s="14"/>
      <c r="S18" s="14"/>
    </row>
    <row r="19" spans="1:19" x14ac:dyDescent="0.2">
      <c r="A19" s="779">
        <v>5580</v>
      </c>
      <c r="B19" s="12" t="s">
        <v>1033</v>
      </c>
      <c r="C19" s="13">
        <v>175.91</v>
      </c>
      <c r="D19" s="13">
        <f>-737+765.3</f>
        <v>28.299999999999955</v>
      </c>
      <c r="E19" s="13">
        <v>85</v>
      </c>
      <c r="F19" s="13">
        <v>88.5</v>
      </c>
      <c r="G19" s="13"/>
      <c r="H19" s="13">
        <v>118.5</v>
      </c>
      <c r="I19" s="128"/>
      <c r="J19" s="128"/>
      <c r="K19" s="14">
        <v>250</v>
      </c>
      <c r="L19" s="128"/>
      <c r="M19" s="14">
        <v>120</v>
      </c>
      <c r="N19" s="128"/>
      <c r="O19" s="14">
        <v>120</v>
      </c>
      <c r="P19" s="13"/>
      <c r="Q19" s="14">
        <v>120</v>
      </c>
      <c r="R19" s="14"/>
      <c r="S19" s="14"/>
    </row>
    <row r="20" spans="1:19" ht="13.5" thickBot="1" x14ac:dyDescent="0.25">
      <c r="A20" s="779"/>
      <c r="C20" s="37"/>
      <c r="D20" s="37"/>
      <c r="E20" s="37"/>
      <c r="F20" s="37"/>
      <c r="G20" s="37"/>
      <c r="H20" s="37"/>
      <c r="I20" s="37"/>
      <c r="J20" s="37"/>
      <c r="K20" s="38"/>
      <c r="L20" s="271"/>
      <c r="M20" s="38"/>
      <c r="N20" s="271"/>
      <c r="O20" s="38"/>
      <c r="P20" s="37"/>
      <c r="Q20" s="38"/>
      <c r="R20" s="38"/>
      <c r="S20" s="38"/>
    </row>
    <row r="21" spans="1:19" x14ac:dyDescent="0.2">
      <c r="A21" s="779"/>
      <c r="B21" s="17" t="s">
        <v>838</v>
      </c>
      <c r="C21" s="35">
        <f t="shared" ref="C21:P21" si="0">SUM(C9:C20)</f>
        <v>41297.370000000003</v>
      </c>
      <c r="D21" s="35">
        <f t="shared" si="0"/>
        <v>40543.560000000005</v>
      </c>
      <c r="E21" s="35">
        <f t="shared" si="0"/>
        <v>43387.42</v>
      </c>
      <c r="F21" s="35">
        <f>SUM(F9:F20)</f>
        <v>43663.680000000008</v>
      </c>
      <c r="G21" s="35">
        <f>SUM(G9:G20)</f>
        <v>43321.19</v>
      </c>
      <c r="H21" s="35">
        <f>SUM(H9:H20)</f>
        <v>72116.45</v>
      </c>
      <c r="I21" s="35">
        <f t="shared" si="0"/>
        <v>81055.099999999991</v>
      </c>
      <c r="J21" s="35">
        <f t="shared" ref="J21" si="1">SUM(J9:J20)</f>
        <v>59453.41</v>
      </c>
      <c r="K21" s="36">
        <f>SUM(K9:K20)</f>
        <v>74759</v>
      </c>
      <c r="L21" s="35">
        <f t="shared" ref="L21:O21" si="2">SUM(L9:L20)</f>
        <v>62336.41</v>
      </c>
      <c r="M21" s="36">
        <f t="shared" si="2"/>
        <v>77579</v>
      </c>
      <c r="N21" s="35">
        <f t="shared" ref="N21" si="3">SUM(N9:N20)</f>
        <v>66014.109999999986</v>
      </c>
      <c r="O21" s="36">
        <f t="shared" si="2"/>
        <v>78079</v>
      </c>
      <c r="P21" s="35">
        <f t="shared" si="0"/>
        <v>42366.67</v>
      </c>
      <c r="Q21" s="36">
        <f>SUM(Q9:Q20)</f>
        <v>85907</v>
      </c>
      <c r="R21" s="36"/>
      <c r="S21" s="36">
        <f>+Q21</f>
        <v>85907</v>
      </c>
    </row>
    <row r="22" spans="1:19" x14ac:dyDescent="0.2">
      <c r="A22" s="779"/>
      <c r="B22" s="17"/>
      <c r="C22" s="35"/>
      <c r="D22" s="35"/>
      <c r="E22" s="35"/>
      <c r="F22" s="35"/>
      <c r="G22" s="35"/>
      <c r="H22" s="35"/>
      <c r="I22" s="35"/>
      <c r="J22" s="35"/>
      <c r="K22" s="36"/>
      <c r="L22" s="35"/>
      <c r="M22" s="36"/>
      <c r="N22" s="35"/>
      <c r="O22" s="36"/>
      <c r="P22" s="35"/>
      <c r="Q22" s="36"/>
      <c r="R22" s="36"/>
      <c r="S22" s="36"/>
    </row>
    <row r="23" spans="1:19" ht="13.5" thickBot="1" x14ac:dyDescent="0.25">
      <c r="A23" s="780"/>
      <c r="B23" s="20" t="s">
        <v>1010</v>
      </c>
      <c r="C23" s="21">
        <f t="shared" ref="C23:Q23" si="4">+C21</f>
        <v>41297.370000000003</v>
      </c>
      <c r="D23" s="21">
        <f t="shared" si="4"/>
        <v>40543.560000000005</v>
      </c>
      <c r="E23" s="21">
        <f t="shared" si="4"/>
        <v>43387.42</v>
      </c>
      <c r="F23" s="21">
        <f>+F21</f>
        <v>43663.680000000008</v>
      </c>
      <c r="G23" s="21">
        <f>+G21</f>
        <v>43321.19</v>
      </c>
      <c r="H23" s="21">
        <f>+H21</f>
        <v>72116.45</v>
      </c>
      <c r="I23" s="21">
        <f t="shared" si="4"/>
        <v>81055.099999999991</v>
      </c>
      <c r="J23" s="21">
        <f t="shared" ref="J23" si="5">+J21</f>
        <v>59453.41</v>
      </c>
      <c r="K23" s="39">
        <f t="shared" ref="K23:O23" si="6">+K21</f>
        <v>74759</v>
      </c>
      <c r="L23" s="21">
        <f t="shared" si="6"/>
        <v>62336.41</v>
      </c>
      <c r="M23" s="39">
        <f t="shared" si="6"/>
        <v>77579</v>
      </c>
      <c r="N23" s="21">
        <f t="shared" ref="N23" si="7">+N21</f>
        <v>66014.109999999986</v>
      </c>
      <c r="O23" s="39">
        <f t="shared" si="6"/>
        <v>78079</v>
      </c>
      <c r="P23" s="21">
        <f t="shared" si="4"/>
        <v>42366.67</v>
      </c>
      <c r="Q23" s="39">
        <f t="shared" si="4"/>
        <v>85907</v>
      </c>
      <c r="R23" s="39">
        <f>+Q23</f>
        <v>85907</v>
      </c>
      <c r="S23" s="39">
        <f>+Q23</f>
        <v>85907</v>
      </c>
    </row>
    <row r="24" spans="1:19" ht="13.5" thickTop="1" x14ac:dyDescent="0.2">
      <c r="A24" s="54"/>
      <c r="P24" s="199" t="s">
        <v>843</v>
      </c>
      <c r="Q24" s="1116">
        <f>+Q23-O23</f>
        <v>7828</v>
      </c>
      <c r="R24" s="1117">
        <f>ROUND((+Q24/O23),4)</f>
        <v>0.1003</v>
      </c>
      <c r="S24" s="73"/>
    </row>
    <row r="25" spans="1:19" ht="13.5" thickBot="1" x14ac:dyDescent="0.25"/>
    <row r="26" spans="1:19" ht="13.5" thickTop="1" x14ac:dyDescent="0.2">
      <c r="A26" s="789"/>
      <c r="B26" s="367"/>
      <c r="C26" s="368" t="s">
        <v>280</v>
      </c>
      <c r="D26" s="369" t="s">
        <v>280</v>
      </c>
      <c r="E26" s="369"/>
      <c r="M26" s="370" t="s">
        <v>279</v>
      </c>
      <c r="N26" s="371" t="s">
        <v>826</v>
      </c>
      <c r="O26" s="372" t="s">
        <v>840</v>
      </c>
      <c r="P26" s="371" t="s">
        <v>841</v>
      </c>
      <c r="Q26" s="373"/>
      <c r="R26" s="569"/>
      <c r="S26" s="372"/>
    </row>
    <row r="27" spans="1:19" ht="13.5" thickBot="1" x14ac:dyDescent="0.25">
      <c r="A27" s="790" t="s">
        <v>825</v>
      </c>
      <c r="B27" s="374"/>
      <c r="C27" s="375" t="s">
        <v>267</v>
      </c>
      <c r="D27" s="375" t="s">
        <v>268</v>
      </c>
      <c r="E27" s="375"/>
      <c r="M27" s="377" t="s">
        <v>277</v>
      </c>
      <c r="N27" s="377" t="s">
        <v>571</v>
      </c>
      <c r="O27" s="376" t="s">
        <v>843</v>
      </c>
      <c r="P27" s="378" t="s">
        <v>843</v>
      </c>
      <c r="Q27" s="379" t="s">
        <v>844</v>
      </c>
      <c r="R27" s="570"/>
      <c r="S27" s="377"/>
    </row>
    <row r="28" spans="1:19" ht="13.5" thickTop="1" x14ac:dyDescent="0.2">
      <c r="A28" s="797"/>
      <c r="B28" s="394"/>
      <c r="C28" s="383"/>
      <c r="D28" s="383"/>
      <c r="E28" s="383"/>
      <c r="M28" s="384"/>
      <c r="N28" s="383"/>
      <c r="O28" s="386"/>
      <c r="P28" s="392"/>
      <c r="Q28" s="385"/>
      <c r="R28" s="572"/>
      <c r="S28" s="386"/>
    </row>
    <row r="29" spans="1:19" x14ac:dyDescent="0.2">
      <c r="A29" s="795">
        <v>5249</v>
      </c>
      <c r="B29" s="387" t="s">
        <v>1020</v>
      </c>
      <c r="C29" s="391">
        <v>4821.76</v>
      </c>
      <c r="D29" s="391">
        <v>3599.04</v>
      </c>
      <c r="E29" s="391"/>
      <c r="M29" s="390">
        <f t="shared" ref="M29:M39" si="8">+O9</f>
        <v>4400</v>
      </c>
      <c r="N29" s="411">
        <f t="shared" ref="N29:N39" si="9">+Q9</f>
        <v>4400</v>
      </c>
      <c r="O29" s="386">
        <f t="shared" ref="O29:O39" si="10">+N29-M29</f>
        <v>0</v>
      </c>
      <c r="P29" s="392" t="str">
        <f t="shared" ref="P29:P39" si="11">IF(M29+N29&lt;&gt;0,IF(M29&lt;&gt;0,IF(O29&lt;&gt;0,ROUND((+O29/M29),4),""),1),"")</f>
        <v/>
      </c>
      <c r="Q29" s="385"/>
      <c r="R29" s="572"/>
      <c r="S29" s="386"/>
    </row>
    <row r="30" spans="1:19" x14ac:dyDescent="0.2">
      <c r="A30" s="795">
        <v>5304</v>
      </c>
      <c r="B30" s="387" t="s">
        <v>1034</v>
      </c>
      <c r="C30" s="391">
        <v>30500</v>
      </c>
      <c r="D30" s="391">
        <v>28500</v>
      </c>
      <c r="E30" s="391"/>
      <c r="M30" s="390">
        <f t="shared" si="8"/>
        <v>34000</v>
      </c>
      <c r="N30" s="411">
        <f t="shared" si="9"/>
        <v>40000</v>
      </c>
      <c r="O30" s="386">
        <f t="shared" si="10"/>
        <v>6000</v>
      </c>
      <c r="P30" s="392">
        <f t="shared" si="11"/>
        <v>0.17649999999999999</v>
      </c>
      <c r="Q30" s="385" t="s">
        <v>2157</v>
      </c>
      <c r="R30" s="572"/>
      <c r="S30" s="386"/>
    </row>
    <row r="31" spans="1:19" x14ac:dyDescent="0.2">
      <c r="A31" s="795">
        <v>5305</v>
      </c>
      <c r="B31" s="387" t="s">
        <v>1023</v>
      </c>
      <c r="C31" s="391"/>
      <c r="D31" s="391">
        <v>0</v>
      </c>
      <c r="E31" s="391"/>
      <c r="M31" s="390">
        <f t="shared" si="8"/>
        <v>100</v>
      </c>
      <c r="N31" s="411">
        <f t="shared" si="9"/>
        <v>0</v>
      </c>
      <c r="O31" s="386">
        <f t="shared" si="10"/>
        <v>-100</v>
      </c>
      <c r="P31" s="392">
        <f t="shared" si="11"/>
        <v>-1</v>
      </c>
      <c r="Q31" s="385" t="s">
        <v>2269</v>
      </c>
      <c r="R31" s="572"/>
      <c r="S31" s="386"/>
    </row>
    <row r="32" spans="1:19" x14ac:dyDescent="0.2">
      <c r="A32" s="795">
        <v>5306</v>
      </c>
      <c r="B32" s="387" t="s">
        <v>1024</v>
      </c>
      <c r="C32" s="393"/>
      <c r="D32" s="393">
        <v>3250</v>
      </c>
      <c r="E32" s="393"/>
      <c r="M32" s="390">
        <f t="shared" si="8"/>
        <v>3800</v>
      </c>
      <c r="N32" s="411">
        <f t="shared" si="9"/>
        <v>3800</v>
      </c>
      <c r="O32" s="386">
        <f t="shared" si="10"/>
        <v>0</v>
      </c>
      <c r="P32" s="392" t="str">
        <f t="shared" si="11"/>
        <v/>
      </c>
      <c r="Q32" s="385"/>
      <c r="R32" s="572"/>
      <c r="S32" s="386"/>
    </row>
    <row r="33" spans="1:19" x14ac:dyDescent="0.2">
      <c r="A33" s="795">
        <v>5307</v>
      </c>
      <c r="B33" s="387" t="s">
        <v>1025</v>
      </c>
      <c r="C33" s="393">
        <v>1500</v>
      </c>
      <c r="D33" s="393">
        <v>1500</v>
      </c>
      <c r="E33" s="393"/>
      <c r="M33" s="390">
        <f t="shared" si="8"/>
        <v>2000</v>
      </c>
      <c r="N33" s="411">
        <f t="shared" si="9"/>
        <v>2250</v>
      </c>
      <c r="O33" s="386">
        <f t="shared" si="10"/>
        <v>250</v>
      </c>
      <c r="P33" s="392">
        <f t="shared" si="11"/>
        <v>0.125</v>
      </c>
      <c r="Q33" s="385" t="s">
        <v>2207</v>
      </c>
      <c r="R33" s="572"/>
      <c r="S33" s="386"/>
    </row>
    <row r="34" spans="1:19" x14ac:dyDescent="0.2">
      <c r="A34" s="795">
        <v>5310</v>
      </c>
      <c r="B34" s="387" t="s">
        <v>1035</v>
      </c>
      <c r="C34" s="393"/>
      <c r="D34" s="393"/>
      <c r="E34" s="393"/>
      <c r="M34" s="390">
        <f t="shared" si="8"/>
        <v>6000</v>
      </c>
      <c r="N34" s="411">
        <f t="shared" si="9"/>
        <v>6000</v>
      </c>
      <c r="O34" s="386">
        <f t="shared" si="10"/>
        <v>0</v>
      </c>
      <c r="P34" s="392" t="str">
        <f t="shared" si="11"/>
        <v/>
      </c>
      <c r="Q34" s="385"/>
      <c r="R34" s="572"/>
      <c r="S34" s="386"/>
    </row>
    <row r="35" spans="1:19" x14ac:dyDescent="0.2">
      <c r="A35" s="795">
        <v>5340</v>
      </c>
      <c r="B35" s="387" t="s">
        <v>1028</v>
      </c>
      <c r="C35" s="391">
        <v>459</v>
      </c>
      <c r="D35" s="391">
        <v>0</v>
      </c>
      <c r="E35" s="391"/>
      <c r="M35" s="390">
        <f t="shared" si="8"/>
        <v>15000</v>
      </c>
      <c r="N35" s="411">
        <f t="shared" si="9"/>
        <v>15000</v>
      </c>
      <c r="O35" s="386">
        <f t="shared" si="10"/>
        <v>0</v>
      </c>
      <c r="P35" s="392" t="str">
        <f t="shared" si="11"/>
        <v/>
      </c>
      <c r="Q35" s="385"/>
      <c r="R35" s="572"/>
      <c r="S35" s="386"/>
    </row>
    <row r="36" spans="1:19" x14ac:dyDescent="0.2">
      <c r="A36" s="795">
        <v>5344</v>
      </c>
      <c r="B36" s="387" t="s">
        <v>1030</v>
      </c>
      <c r="C36" s="383">
        <v>2250.5300000000002</v>
      </c>
      <c r="D36" s="383">
        <v>2192.2199999999998</v>
      </c>
      <c r="E36" s="383"/>
      <c r="M36" s="390">
        <f t="shared" si="8"/>
        <v>4500</v>
      </c>
      <c r="N36" s="411">
        <f t="shared" si="9"/>
        <v>4578</v>
      </c>
      <c r="O36" s="386">
        <f t="shared" si="10"/>
        <v>78</v>
      </c>
      <c r="P36" s="392">
        <f t="shared" si="11"/>
        <v>1.7299999999999999E-2</v>
      </c>
      <c r="Q36" s="385" t="s">
        <v>2208</v>
      </c>
      <c r="R36" s="572"/>
      <c r="S36" s="386"/>
    </row>
    <row r="37" spans="1:19" x14ac:dyDescent="0.2">
      <c r="A37" s="795">
        <v>5350</v>
      </c>
      <c r="B37" s="387" t="s">
        <v>1031</v>
      </c>
      <c r="C37" s="391"/>
      <c r="D37" s="391"/>
      <c r="E37" s="391"/>
      <c r="M37" s="390">
        <f t="shared" si="8"/>
        <v>6559</v>
      </c>
      <c r="N37" s="411">
        <f t="shared" si="9"/>
        <v>6559</v>
      </c>
      <c r="O37" s="386">
        <f t="shared" si="10"/>
        <v>0</v>
      </c>
      <c r="P37" s="392" t="str">
        <f t="shared" si="11"/>
        <v/>
      </c>
      <c r="Q37" s="385"/>
      <c r="R37" s="572"/>
      <c r="S37" s="386"/>
    </row>
    <row r="38" spans="1:19" x14ac:dyDescent="0.2">
      <c r="A38" s="795">
        <v>5420</v>
      </c>
      <c r="B38" s="387" t="s">
        <v>1032</v>
      </c>
      <c r="C38" s="391">
        <v>1590.17</v>
      </c>
      <c r="D38" s="391">
        <f>737+737</f>
        <v>1474</v>
      </c>
      <c r="E38" s="391"/>
      <c r="M38" s="390">
        <f t="shared" si="8"/>
        <v>1600</v>
      </c>
      <c r="N38" s="411">
        <f t="shared" si="9"/>
        <v>3200</v>
      </c>
      <c r="O38" s="386">
        <f t="shared" si="10"/>
        <v>1600</v>
      </c>
      <c r="P38" s="392">
        <f t="shared" si="11"/>
        <v>1</v>
      </c>
      <c r="Q38" s="385" t="s">
        <v>2270</v>
      </c>
      <c r="R38" s="572"/>
      <c r="S38" s="386"/>
    </row>
    <row r="39" spans="1:19" x14ac:dyDescent="0.2">
      <c r="A39" s="795">
        <v>5580</v>
      </c>
      <c r="B39" s="387" t="s">
        <v>1033</v>
      </c>
      <c r="C39" s="391">
        <v>175.91</v>
      </c>
      <c r="D39" s="391">
        <f>-737+765.3</f>
        <v>28.299999999999955</v>
      </c>
      <c r="E39" s="391"/>
      <c r="M39" s="390">
        <f t="shared" si="8"/>
        <v>120</v>
      </c>
      <c r="N39" s="411">
        <f t="shared" si="9"/>
        <v>120</v>
      </c>
      <c r="O39" s="386">
        <f t="shared" si="10"/>
        <v>0</v>
      </c>
      <c r="P39" s="392" t="str">
        <f t="shared" si="11"/>
        <v/>
      </c>
      <c r="Q39" s="385"/>
      <c r="R39" s="572"/>
      <c r="S39" s="386"/>
    </row>
    <row r="41" spans="1:19" x14ac:dyDescent="0.2">
      <c r="B41" s="4" t="s">
        <v>846</v>
      </c>
      <c r="M41" s="616">
        <f>SUM(M29:M40)</f>
        <v>78079</v>
      </c>
      <c r="N41" s="616">
        <f>SUM(N29:N40)</f>
        <v>85907</v>
      </c>
      <c r="O41" s="25">
        <f>+N41-M41</f>
        <v>7828</v>
      </c>
      <c r="P41" s="617">
        <f>IF(M41+N41&lt;&gt;0,IF(M41&lt;&gt;0,IF(O41&lt;&gt;0,ROUND((+O41/M41),4),""),1),"")</f>
        <v>0.1003</v>
      </c>
    </row>
    <row r="43" spans="1:19" x14ac:dyDescent="0.2">
      <c r="A43" s="774" t="s">
        <v>1036</v>
      </c>
    </row>
    <row r="44" spans="1:19" x14ac:dyDescent="0.2">
      <c r="A44" s="774" t="s">
        <v>277</v>
      </c>
      <c r="B44" s="4">
        <v>31000</v>
      </c>
      <c r="I44" s="23" t="s">
        <v>1037</v>
      </c>
    </row>
    <row r="45" spans="1:19" x14ac:dyDescent="0.2">
      <c r="A45" s="774" t="s">
        <v>571</v>
      </c>
      <c r="B45" s="4">
        <v>31500</v>
      </c>
      <c r="I45" s="23" t="s">
        <v>1037</v>
      </c>
    </row>
    <row r="46" spans="1:19" x14ac:dyDescent="0.2">
      <c r="B46" s="4" t="s">
        <v>1038</v>
      </c>
    </row>
  </sheetData>
  <phoneticPr fontId="0" type="noConversion"/>
  <hyperlinks>
    <hyperlink ref="A1" location="'Working Budget with funding det'!A1" display="Main " xr:uid="{00000000-0004-0000-1300-000000000000}"/>
    <hyperlink ref="B1" location="'Table of Contents'!A1" display="TOC" xr:uid="{00000000-0004-0000-1300-000001000000}"/>
  </hyperlinks>
  <pageMargins left="0.75" right="0.75" top="1" bottom="1" header="0.5" footer="0.5"/>
  <pageSetup scale="90" fitToHeight="0" orientation="landscape" r:id="rId1"/>
  <headerFooter alignWithMargins="0">
    <oddFooter xml:space="preserve">&amp;L&amp;D  &amp;T&amp;C&amp;F&amp;R&amp;A  </oddFooter>
  </headerFooter>
  <rowBreaks count="1" manualBreakCount="1">
    <brk id="25"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pageSetUpPr fitToPage="1"/>
  </sheetPr>
  <dimension ref="A1:AB185"/>
  <sheetViews>
    <sheetView workbookViewId="0">
      <pane ySplit="7" topLeftCell="A8" activePane="bottomLeft" state="frozen"/>
      <selection activeCell="P15" sqref="P15"/>
      <selection pane="bottomLeft" activeCell="T5" sqref="T5"/>
    </sheetView>
  </sheetViews>
  <sheetFormatPr defaultRowHeight="12.75" x14ac:dyDescent="0.2"/>
  <cols>
    <col min="1" max="1" width="12" style="783" customWidth="1"/>
    <col min="2" max="2" width="36.6640625" customWidth="1"/>
    <col min="3" max="3" width="14.5" style="1" hidden="1" customWidth="1"/>
    <col min="4" max="12" width="14.5" style="106" hidden="1" customWidth="1"/>
    <col min="13" max="15" width="14.5" style="106" customWidth="1"/>
    <col min="16" max="16" width="14.5" customWidth="1"/>
    <col min="17" max="20" width="14.5" style="1" customWidth="1"/>
    <col min="21" max="21" width="14.5" customWidth="1"/>
    <col min="22" max="22" width="21.6640625" customWidth="1"/>
    <col min="25" max="26" width="12" customWidth="1"/>
  </cols>
  <sheetData>
    <row r="1" spans="1:20" x14ac:dyDescent="0.2">
      <c r="A1" s="772" t="s">
        <v>847</v>
      </c>
      <c r="B1" s="308" t="s">
        <v>197</v>
      </c>
      <c r="D1" s="212"/>
      <c r="E1" s="212"/>
      <c r="F1" s="212"/>
      <c r="G1" s="212"/>
      <c r="H1" s="212"/>
      <c r="I1" s="212"/>
      <c r="J1" s="212"/>
      <c r="K1" s="212"/>
      <c r="L1" s="212"/>
      <c r="M1" s="212"/>
      <c r="N1" s="212"/>
      <c r="O1" s="212"/>
      <c r="T1"/>
    </row>
    <row r="2" spans="1:20" ht="15" x14ac:dyDescent="0.25">
      <c r="A2" s="773" t="s">
        <v>815</v>
      </c>
      <c r="B2" s="43"/>
      <c r="D2" s="212"/>
      <c r="E2" s="212"/>
      <c r="F2" s="212"/>
      <c r="G2" s="212"/>
      <c r="H2" s="212"/>
      <c r="I2" s="126" t="s">
        <v>816</v>
      </c>
      <c r="J2" s="126"/>
      <c r="K2" s="126"/>
      <c r="L2" s="126"/>
      <c r="M2" s="126"/>
      <c r="N2" s="126"/>
      <c r="O2" s="126"/>
      <c r="P2" s="58" t="s">
        <v>630</v>
      </c>
      <c r="S2" s="44" t="s">
        <v>1039</v>
      </c>
    </row>
    <row r="3" spans="1:20" ht="13.5" thickBot="1" x14ac:dyDescent="0.25">
      <c r="A3" s="774"/>
      <c r="B3" s="4"/>
      <c r="C3" s="23"/>
      <c r="D3" s="23"/>
      <c r="E3" s="23"/>
      <c r="F3" s="23"/>
      <c r="G3" s="23"/>
      <c r="H3" s="23"/>
      <c r="I3" s="23"/>
      <c r="J3" s="23"/>
      <c r="K3" s="23"/>
      <c r="L3" s="23"/>
      <c r="M3" s="23"/>
      <c r="N3" s="23"/>
      <c r="O3" s="23"/>
      <c r="P3" s="4"/>
      <c r="Q3" s="23"/>
      <c r="R3" s="23"/>
      <c r="S3" s="4"/>
      <c r="T3" s="4"/>
    </row>
    <row r="4" spans="1:20"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0"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0" x14ac:dyDescent="0.2">
      <c r="A6" s="776"/>
      <c r="B6" s="202"/>
      <c r="C6" s="113"/>
      <c r="D6" s="113"/>
      <c r="E6" s="113"/>
      <c r="F6" s="113"/>
      <c r="G6" s="113"/>
      <c r="H6" s="113"/>
      <c r="I6" s="83"/>
      <c r="J6" s="83"/>
      <c r="K6" s="83"/>
      <c r="L6" s="83"/>
      <c r="M6" s="83"/>
      <c r="N6" s="83"/>
      <c r="O6" s="83"/>
      <c r="P6" s="113"/>
      <c r="Q6" s="83" t="s">
        <v>823</v>
      </c>
      <c r="R6" s="83" t="s">
        <v>585</v>
      </c>
      <c r="S6" s="45" t="s">
        <v>824</v>
      </c>
    </row>
    <row r="7" spans="1:20"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0" ht="13.5" thickTop="1" x14ac:dyDescent="0.2">
      <c r="A8" s="796"/>
      <c r="B8" s="203"/>
      <c r="C8" s="118"/>
      <c r="D8" s="18"/>
      <c r="E8" s="18"/>
      <c r="F8" s="18"/>
      <c r="G8" s="18"/>
      <c r="H8" s="18"/>
      <c r="I8" s="19"/>
      <c r="J8" s="19"/>
      <c r="K8" s="19"/>
      <c r="L8" s="19"/>
      <c r="M8" s="19"/>
      <c r="N8" s="19"/>
      <c r="O8" s="19"/>
      <c r="P8" s="18"/>
      <c r="Q8" s="19"/>
      <c r="R8" s="19"/>
      <c r="S8" s="19"/>
    </row>
    <row r="9" spans="1:20" x14ac:dyDescent="0.2">
      <c r="A9" s="779">
        <v>5111</v>
      </c>
      <c r="B9" s="60" t="s">
        <v>849</v>
      </c>
      <c r="C9" s="116">
        <v>92859.54</v>
      </c>
      <c r="D9" s="13">
        <v>97657.39</v>
      </c>
      <c r="E9" s="13">
        <v>100549.35</v>
      </c>
      <c r="F9" s="13">
        <v>104069.72</v>
      </c>
      <c r="G9" s="13">
        <v>106930.4</v>
      </c>
      <c r="H9" s="13">
        <v>110663.2</v>
      </c>
      <c r="I9" s="13">
        <v>118676.41</v>
      </c>
      <c r="J9" s="13">
        <v>118841.02</v>
      </c>
      <c r="K9" s="14">
        <v>120391</v>
      </c>
      <c r="L9" s="13">
        <v>118781.94</v>
      </c>
      <c r="M9" s="14">
        <v>123870</v>
      </c>
      <c r="N9" s="13">
        <v>124075.49</v>
      </c>
      <c r="O9" s="14">
        <f>1407+2284+124753</f>
        <v>128444</v>
      </c>
      <c r="P9" s="13">
        <v>60864.74</v>
      </c>
      <c r="Q9" s="610">
        <f>ROUND((+P57),0)</f>
        <v>169758</v>
      </c>
      <c r="R9" s="14"/>
      <c r="S9" s="14"/>
    </row>
    <row r="10" spans="1:20" x14ac:dyDescent="0.2">
      <c r="A10" s="779">
        <v>5113</v>
      </c>
      <c r="B10" s="60" t="s">
        <v>1040</v>
      </c>
      <c r="C10" s="116">
        <v>338</v>
      </c>
      <c r="D10" s="13">
        <v>500</v>
      </c>
      <c r="E10" s="13">
        <v>500</v>
      </c>
      <c r="F10" s="13">
        <v>500</v>
      </c>
      <c r="G10" s="13">
        <v>500</v>
      </c>
      <c r="H10" s="13">
        <v>500</v>
      </c>
      <c r="I10" s="13">
        <v>500</v>
      </c>
      <c r="J10" s="13">
        <v>525</v>
      </c>
      <c r="K10" s="14">
        <v>525</v>
      </c>
      <c r="L10" s="13">
        <v>525</v>
      </c>
      <c r="M10" s="14">
        <v>525</v>
      </c>
      <c r="N10" s="13">
        <v>525</v>
      </c>
      <c r="O10" s="14">
        <v>525</v>
      </c>
      <c r="P10" s="13">
        <v>262.5</v>
      </c>
      <c r="Q10" s="610">
        <v>625</v>
      </c>
      <c r="R10" s="14"/>
      <c r="S10" s="14"/>
    </row>
    <row r="11" spans="1:20" x14ac:dyDescent="0.2">
      <c r="A11" s="779"/>
      <c r="B11" s="60" t="s">
        <v>1041</v>
      </c>
      <c r="C11" s="116">
        <v>338</v>
      </c>
      <c r="D11" s="13">
        <v>500</v>
      </c>
      <c r="E11" s="13">
        <v>500</v>
      </c>
      <c r="F11" s="13">
        <v>500</v>
      </c>
      <c r="G11" s="13">
        <v>500</v>
      </c>
      <c r="H11" s="13">
        <v>500</v>
      </c>
      <c r="I11" s="13">
        <v>500</v>
      </c>
      <c r="J11" s="13">
        <v>525</v>
      </c>
      <c r="K11" s="14">
        <v>525</v>
      </c>
      <c r="L11" s="13">
        <v>525</v>
      </c>
      <c r="M11" s="14">
        <v>525</v>
      </c>
      <c r="N11" s="13">
        <v>525</v>
      </c>
      <c r="O11" s="14">
        <v>525</v>
      </c>
      <c r="P11" s="13">
        <v>262.5</v>
      </c>
      <c r="Q11" s="610">
        <v>625</v>
      </c>
      <c r="R11" s="14"/>
      <c r="S11" s="14"/>
    </row>
    <row r="12" spans="1:20" x14ac:dyDescent="0.2">
      <c r="A12" s="779"/>
      <c r="B12" s="60" t="s">
        <v>1042</v>
      </c>
      <c r="C12" s="116">
        <v>338</v>
      </c>
      <c r="D12" s="13">
        <v>500</v>
      </c>
      <c r="E12" s="13">
        <v>500</v>
      </c>
      <c r="F12" s="13">
        <v>500</v>
      </c>
      <c r="G12" s="13">
        <v>500</v>
      </c>
      <c r="H12" s="13">
        <v>500</v>
      </c>
      <c r="I12" s="13">
        <v>500</v>
      </c>
      <c r="J12" s="13">
        <v>525</v>
      </c>
      <c r="K12" s="14">
        <v>525</v>
      </c>
      <c r="L12" s="13">
        <v>525</v>
      </c>
      <c r="M12" s="14">
        <v>525</v>
      </c>
      <c r="N12" s="13">
        <v>525</v>
      </c>
      <c r="O12" s="14">
        <v>525</v>
      </c>
      <c r="P12" s="13">
        <v>262.5</v>
      </c>
      <c r="Q12" s="610">
        <v>625</v>
      </c>
      <c r="R12" s="14"/>
      <c r="S12" s="14"/>
    </row>
    <row r="13" spans="1:20" x14ac:dyDescent="0.2">
      <c r="A13" s="779">
        <v>5124</v>
      </c>
      <c r="B13" s="60" t="s">
        <v>1043</v>
      </c>
      <c r="C13" s="116">
        <v>23326</v>
      </c>
      <c r="D13" s="13">
        <v>3758</v>
      </c>
      <c r="E13" s="13">
        <v>17514.5</v>
      </c>
      <c r="F13" s="13">
        <v>14613</v>
      </c>
      <c r="G13" s="13">
        <v>18440.5</v>
      </c>
      <c r="H13" s="13">
        <v>6230.5</v>
      </c>
      <c r="I13" s="13">
        <v>19458.5</v>
      </c>
      <c r="J13" s="13">
        <v>10531.73</v>
      </c>
      <c r="K13" s="14">
        <v>23000</v>
      </c>
      <c r="L13" s="13">
        <v>17065.900000000001</v>
      </c>
      <c r="M13" s="14">
        <f>-1902+6000</f>
        <v>4098</v>
      </c>
      <c r="N13" s="13">
        <v>7815.42</v>
      </c>
      <c r="O13" s="14">
        <v>25500</v>
      </c>
      <c r="P13" s="13">
        <v>14259.99</v>
      </c>
      <c r="Q13" s="14">
        <v>20000</v>
      </c>
      <c r="R13" s="14"/>
      <c r="S13" s="14"/>
      <c r="T13" s="560"/>
    </row>
    <row r="14" spans="1:20" x14ac:dyDescent="0.2">
      <c r="A14" s="779">
        <v>5132</v>
      </c>
      <c r="B14" s="60" t="s">
        <v>1044</v>
      </c>
      <c r="C14" s="228"/>
      <c r="D14" s="35"/>
      <c r="E14" s="35"/>
      <c r="F14" s="35"/>
      <c r="G14" s="13"/>
      <c r="H14" s="13"/>
      <c r="I14" s="13"/>
      <c r="J14" s="13"/>
      <c r="K14" s="14"/>
      <c r="L14" s="13"/>
      <c r="M14" s="14"/>
      <c r="N14" s="13"/>
      <c r="O14" s="14"/>
      <c r="P14" s="13"/>
      <c r="Q14" s="14"/>
      <c r="R14" s="14"/>
      <c r="S14" s="14"/>
      <c r="T14" s="560"/>
    </row>
    <row r="15" spans="1:20" ht="13.5" thickBot="1" x14ac:dyDescent="0.25">
      <c r="A15" s="779">
        <v>5144</v>
      </c>
      <c r="B15" s="60" t="s">
        <v>27</v>
      </c>
      <c r="C15" s="117">
        <v>150</v>
      </c>
      <c r="D15" s="15">
        <v>150</v>
      </c>
      <c r="E15" s="15">
        <v>150</v>
      </c>
      <c r="F15" s="15">
        <v>200</v>
      </c>
      <c r="G15" s="13">
        <v>800</v>
      </c>
      <c r="H15" s="13">
        <v>800</v>
      </c>
      <c r="I15" s="13">
        <v>800</v>
      </c>
      <c r="J15" s="13">
        <v>300</v>
      </c>
      <c r="K15" s="14">
        <v>300</v>
      </c>
      <c r="L15" s="13">
        <v>300</v>
      </c>
      <c r="M15" s="14">
        <v>300</v>
      </c>
      <c r="N15" s="13">
        <v>300</v>
      </c>
      <c r="O15" s="14">
        <v>300</v>
      </c>
      <c r="P15" s="13">
        <v>300</v>
      </c>
      <c r="Q15" s="14">
        <f>+T57</f>
        <v>300</v>
      </c>
      <c r="R15" s="14"/>
      <c r="S15" s="14"/>
    </row>
    <row r="16" spans="1:20" ht="13.5" hidden="1" thickBot="1" x14ac:dyDescent="0.25">
      <c r="A16" s="779">
        <v>5193</v>
      </c>
      <c r="B16" s="60" t="s">
        <v>1045</v>
      </c>
      <c r="C16" s="591"/>
      <c r="D16" s="28"/>
      <c r="E16" s="28"/>
      <c r="F16" s="28"/>
      <c r="G16" s="13"/>
      <c r="H16" s="13"/>
      <c r="I16" s="13">
        <v>3522.22</v>
      </c>
      <c r="J16" s="13"/>
      <c r="K16" s="14"/>
      <c r="L16" s="13"/>
      <c r="M16" s="14"/>
      <c r="N16" s="13"/>
      <c r="O16" s="14"/>
      <c r="P16" s="13"/>
      <c r="Q16" s="14"/>
      <c r="R16" s="14"/>
      <c r="S16" s="14"/>
    </row>
    <row r="17" spans="1:20" ht="13.5" hidden="1" thickBot="1" x14ac:dyDescent="0.25">
      <c r="A17" s="779">
        <v>5194</v>
      </c>
      <c r="B17" s="60" t="s">
        <v>1046</v>
      </c>
      <c r="C17" s="591"/>
      <c r="D17" s="28"/>
      <c r="E17" s="28"/>
      <c r="F17" s="28"/>
      <c r="G17" s="15"/>
      <c r="H17" s="15"/>
      <c r="I17" s="35">
        <v>388.85</v>
      </c>
      <c r="J17" s="35"/>
      <c r="K17" s="36"/>
      <c r="L17" s="35"/>
      <c r="M17" s="36"/>
      <c r="N17" s="35"/>
      <c r="O17" s="36"/>
      <c r="P17" s="35"/>
      <c r="Q17" s="36"/>
      <c r="R17" s="36"/>
      <c r="S17" s="36"/>
    </row>
    <row r="18" spans="1:20" x14ac:dyDescent="0.2">
      <c r="A18" s="779"/>
      <c r="B18" s="61" t="s">
        <v>828</v>
      </c>
      <c r="C18" s="118">
        <f t="shared" ref="C18:D18" si="0">SUM(C9:C15)</f>
        <v>117349.54</v>
      </c>
      <c r="D18" s="18">
        <f t="shared" si="0"/>
        <v>103065.39</v>
      </c>
      <c r="E18" s="18">
        <f>SUM(E9:E15)</f>
        <v>119713.85</v>
      </c>
      <c r="F18" s="18">
        <f>SUM(F9:F15)</f>
        <v>120382.72</v>
      </c>
      <c r="G18" s="18">
        <f t="shared" ref="G18:H18" si="1">SUM(G9:G17)</f>
        <v>127670.9</v>
      </c>
      <c r="H18" s="18">
        <f t="shared" si="1"/>
        <v>119193.7</v>
      </c>
      <c r="I18" s="30">
        <f>SUM(I9:I17)</f>
        <v>144345.98000000001</v>
      </c>
      <c r="J18" s="30">
        <f>SUM(J9:J17)</f>
        <v>131247.75</v>
      </c>
      <c r="K18" s="31">
        <f>SUM(K9:K17)</f>
        <v>145266</v>
      </c>
      <c r="L18" s="30">
        <f t="shared" ref="L18:O18" si="2">SUM(L9:L17)</f>
        <v>137722.84</v>
      </c>
      <c r="M18" s="31">
        <f t="shared" si="2"/>
        <v>129843</v>
      </c>
      <c r="N18" s="30">
        <f t="shared" si="2"/>
        <v>133765.91</v>
      </c>
      <c r="O18" s="31">
        <f t="shared" si="2"/>
        <v>155819</v>
      </c>
      <c r="P18" s="30">
        <f>SUM(P9:P17)</f>
        <v>76212.23</v>
      </c>
      <c r="Q18" s="31">
        <f>SUM(Q9:Q17)</f>
        <v>191933</v>
      </c>
      <c r="R18" s="31"/>
      <c r="S18" s="31">
        <f>SUM(S9:S15)</f>
        <v>0</v>
      </c>
    </row>
    <row r="19" spans="1:20" x14ac:dyDescent="0.2">
      <c r="A19" s="779"/>
      <c r="B19" s="60"/>
      <c r="C19" s="118"/>
      <c r="D19" s="18"/>
      <c r="E19" s="18"/>
      <c r="F19" s="18"/>
      <c r="G19" s="18"/>
      <c r="H19" s="18"/>
      <c r="I19" s="18"/>
      <c r="J19" s="18"/>
      <c r="K19" s="19"/>
      <c r="L19" s="18"/>
      <c r="M19" s="19"/>
      <c r="N19" s="18"/>
      <c r="O19" s="19"/>
      <c r="P19" s="18"/>
      <c r="Q19" s="19"/>
      <c r="R19" s="19"/>
      <c r="S19" s="19"/>
    </row>
    <row r="20" spans="1:20" x14ac:dyDescent="0.2">
      <c r="A20" s="779">
        <v>5247</v>
      </c>
      <c r="B20" s="12" t="s">
        <v>1047</v>
      </c>
      <c r="C20" s="13"/>
      <c r="D20" s="13">
        <v>0</v>
      </c>
      <c r="E20" s="13"/>
      <c r="F20" s="13"/>
      <c r="G20" s="13">
        <v>890</v>
      </c>
      <c r="H20" s="13">
        <v>3667.54</v>
      </c>
      <c r="I20" s="13">
        <v>3496.2</v>
      </c>
      <c r="J20" s="13">
        <v>3509.2</v>
      </c>
      <c r="K20" s="14">
        <v>3750</v>
      </c>
      <c r="L20" s="13">
        <v>2872.2</v>
      </c>
      <c r="M20" s="14">
        <v>6395</v>
      </c>
      <c r="N20" s="13">
        <v>5384.2</v>
      </c>
      <c r="O20" s="14">
        <v>10190</v>
      </c>
      <c r="P20" s="13">
        <v>2988</v>
      </c>
      <c r="Q20" s="14">
        <f>395+13178</f>
        <v>13573</v>
      </c>
      <c r="R20" s="14"/>
      <c r="S20" s="14"/>
    </row>
    <row r="21" spans="1:20" x14ac:dyDescent="0.2">
      <c r="A21" s="779">
        <v>5248</v>
      </c>
      <c r="B21" s="12" t="s">
        <v>905</v>
      </c>
      <c r="C21" s="13">
        <v>800</v>
      </c>
      <c r="D21" s="13">
        <v>0</v>
      </c>
      <c r="E21" s="13"/>
      <c r="F21" s="13"/>
      <c r="G21" s="13"/>
      <c r="H21" s="13"/>
      <c r="I21" s="13">
        <v>657.99</v>
      </c>
      <c r="J21" s="13"/>
      <c r="K21" s="14">
        <v>500</v>
      </c>
      <c r="L21" s="13"/>
      <c r="M21" s="14">
        <v>500</v>
      </c>
      <c r="N21" s="13">
        <v>65</v>
      </c>
      <c r="O21" s="14">
        <v>500</v>
      </c>
      <c r="P21" s="13"/>
      <c r="Q21" s="14">
        <v>500</v>
      </c>
      <c r="R21" s="14"/>
      <c r="S21" s="14"/>
      <c r="T21" s="560"/>
    </row>
    <row r="22" spans="1:20" hidden="1" x14ac:dyDescent="0.2">
      <c r="A22" s="779">
        <v>5279</v>
      </c>
      <c r="B22" s="12" t="s">
        <v>829</v>
      </c>
      <c r="C22" s="13">
        <v>950</v>
      </c>
      <c r="D22" s="13">
        <v>175</v>
      </c>
      <c r="E22" s="13">
        <v>825</v>
      </c>
      <c r="F22" s="13">
        <v>600</v>
      </c>
      <c r="G22" s="13">
        <v>650</v>
      </c>
      <c r="H22" s="13">
        <v>212.07</v>
      </c>
      <c r="I22" s="13">
        <v>922.36</v>
      </c>
      <c r="J22" s="13"/>
      <c r="K22" s="14"/>
      <c r="L22" s="13"/>
      <c r="M22" s="14"/>
      <c r="N22" s="13"/>
      <c r="O22" s="14"/>
      <c r="P22" s="13"/>
      <c r="Q22" s="14"/>
      <c r="R22" s="14"/>
      <c r="S22" s="14"/>
    </row>
    <row r="23" spans="1:20" x14ac:dyDescent="0.2">
      <c r="A23" s="779">
        <v>5305</v>
      </c>
      <c r="B23" s="12" t="s">
        <v>895</v>
      </c>
      <c r="C23" s="13">
        <f>2221.2+3364.97</f>
        <v>5586.17</v>
      </c>
      <c r="D23" s="13">
        <v>4208.42</v>
      </c>
      <c r="E23" s="13">
        <v>4524.41</v>
      </c>
      <c r="F23" s="13">
        <v>4085.91</v>
      </c>
      <c r="G23" s="13">
        <v>3225.89</v>
      </c>
      <c r="H23" s="13">
        <v>3531.52</v>
      </c>
      <c r="I23" s="13">
        <v>3715.75</v>
      </c>
      <c r="J23" s="13">
        <v>4349.83</v>
      </c>
      <c r="K23" s="14">
        <v>4500</v>
      </c>
      <c r="L23" s="13">
        <v>8266.09</v>
      </c>
      <c r="M23" s="14">
        <v>4500</v>
      </c>
      <c r="N23" s="13">
        <v>6625.16</v>
      </c>
      <c r="O23" s="14">
        <v>7000</v>
      </c>
      <c r="P23" s="13">
        <v>453.04</v>
      </c>
      <c r="Q23" s="14">
        <v>9000</v>
      </c>
      <c r="R23" s="14"/>
      <c r="S23" s="14"/>
    </row>
    <row r="24" spans="1:20" x14ac:dyDescent="0.2">
      <c r="A24" s="779">
        <v>5314</v>
      </c>
      <c r="B24" s="12" t="s">
        <v>860</v>
      </c>
      <c r="C24" s="13"/>
      <c r="D24" s="13">
        <v>88</v>
      </c>
      <c r="E24" s="13">
        <v>276</v>
      </c>
      <c r="F24" s="13">
        <v>341</v>
      </c>
      <c r="G24" s="13">
        <v>256</v>
      </c>
      <c r="H24" s="13">
        <v>582.32000000000005</v>
      </c>
      <c r="I24" s="13">
        <v>200</v>
      </c>
      <c r="J24" s="13">
        <v>100</v>
      </c>
      <c r="K24" s="14">
        <v>300</v>
      </c>
      <c r="L24" s="13">
        <v>100</v>
      </c>
      <c r="M24" s="14">
        <v>300</v>
      </c>
      <c r="N24" s="13">
        <v>250</v>
      </c>
      <c r="O24" s="14">
        <v>300</v>
      </c>
      <c r="P24" s="13"/>
      <c r="Q24" s="14">
        <v>300</v>
      </c>
      <c r="R24" s="14"/>
      <c r="S24" s="14"/>
      <c r="T24" s="212"/>
    </row>
    <row r="25" spans="1:20" x14ac:dyDescent="0.2">
      <c r="A25" s="779">
        <v>5315</v>
      </c>
      <c r="B25" s="12" t="s">
        <v>947</v>
      </c>
      <c r="C25" s="13"/>
      <c r="D25" s="13"/>
      <c r="E25" s="13">
        <v>2582.5700000000002</v>
      </c>
      <c r="F25" s="13">
        <v>2358.5</v>
      </c>
      <c r="G25" s="13">
        <v>1875.43</v>
      </c>
      <c r="H25" s="13">
        <v>1817.42</v>
      </c>
      <c r="I25" s="13">
        <v>2373.12</v>
      </c>
      <c r="J25" s="13">
        <v>5925.24</v>
      </c>
      <c r="K25" s="14">
        <v>2400</v>
      </c>
      <c r="L25" s="13">
        <v>4994.7299999999996</v>
      </c>
      <c r="M25" s="14">
        <v>3600</v>
      </c>
      <c r="N25" s="13">
        <v>5741.86</v>
      </c>
      <c r="O25" s="14">
        <v>6700</v>
      </c>
      <c r="P25" s="13">
        <v>3480.88</v>
      </c>
      <c r="Q25" s="14">
        <v>6700</v>
      </c>
      <c r="R25" s="14"/>
      <c r="S25" s="14"/>
    </row>
    <row r="26" spans="1:20" hidden="1" x14ac:dyDescent="0.2">
      <c r="A26" s="779">
        <v>5341</v>
      </c>
      <c r="B26" s="12" t="s">
        <v>862</v>
      </c>
      <c r="C26" s="13">
        <v>244.76</v>
      </c>
      <c r="D26" s="13">
        <v>223.51</v>
      </c>
      <c r="E26" s="13">
        <v>227.83</v>
      </c>
      <c r="F26" s="13">
        <v>246.23</v>
      </c>
      <c r="G26" s="13">
        <v>325.16000000000003</v>
      </c>
      <c r="H26" s="212"/>
      <c r="I26" s="13"/>
      <c r="J26" s="13"/>
      <c r="K26" s="14"/>
      <c r="L26" s="13"/>
      <c r="M26" s="14"/>
      <c r="N26" s="13"/>
      <c r="O26" s="14"/>
      <c r="P26" s="13"/>
      <c r="Q26" s="14"/>
      <c r="R26" s="14"/>
      <c r="S26" s="14"/>
    </row>
    <row r="27" spans="1:20" x14ac:dyDescent="0.2">
      <c r="A27" s="779">
        <v>5344</v>
      </c>
      <c r="B27" s="12" t="s">
        <v>832</v>
      </c>
      <c r="C27" s="13">
        <v>3108.8</v>
      </c>
      <c r="D27" s="13">
        <v>1606.46</v>
      </c>
      <c r="E27" s="13">
        <v>2988.74</v>
      </c>
      <c r="F27" s="13">
        <v>3219.39</v>
      </c>
      <c r="G27" s="13">
        <v>2824.51</v>
      </c>
      <c r="H27" s="13">
        <v>3002.61</v>
      </c>
      <c r="I27" s="13">
        <v>3452.15</v>
      </c>
      <c r="J27" s="13">
        <v>3203.19</v>
      </c>
      <c r="K27" s="14">
        <v>3850</v>
      </c>
      <c r="L27" s="13">
        <v>2675.17</v>
      </c>
      <c r="M27" s="14">
        <v>3850</v>
      </c>
      <c r="N27" s="13">
        <v>4762.4399999999996</v>
      </c>
      <c r="O27" s="14">
        <v>5850</v>
      </c>
      <c r="P27" s="13">
        <v>5583.84</v>
      </c>
      <c r="Q27" s="14">
        <v>7400</v>
      </c>
      <c r="R27" s="14"/>
      <c r="S27" s="14"/>
    </row>
    <row r="28" spans="1:20" x14ac:dyDescent="0.2">
      <c r="A28" s="779">
        <v>5345</v>
      </c>
      <c r="B28" s="12" t="s">
        <v>863</v>
      </c>
      <c r="C28" s="18"/>
      <c r="D28" s="18"/>
      <c r="E28" s="18"/>
      <c r="F28" s="18"/>
      <c r="G28" s="18"/>
      <c r="H28" s="13"/>
      <c r="I28" s="18">
        <v>70.209999999999994</v>
      </c>
      <c r="J28" s="18"/>
      <c r="K28" s="19">
        <v>500</v>
      </c>
      <c r="L28" s="18">
        <v>0</v>
      </c>
      <c r="M28" s="19">
        <v>100</v>
      </c>
      <c r="N28" s="18"/>
      <c r="O28" s="19">
        <v>100</v>
      </c>
      <c r="P28" s="18"/>
      <c r="Q28" s="19">
        <v>100</v>
      </c>
      <c r="R28" s="19"/>
      <c r="S28" s="19"/>
    </row>
    <row r="29" spans="1:20" x14ac:dyDescent="0.2">
      <c r="A29" s="779">
        <v>5420</v>
      </c>
      <c r="B29" s="12" t="s">
        <v>864</v>
      </c>
      <c r="C29" s="18">
        <v>1490.81</v>
      </c>
      <c r="D29" s="18">
        <v>1184.98</v>
      </c>
      <c r="E29" s="18">
        <v>2381.5100000000002</v>
      </c>
      <c r="F29" s="18">
        <v>3387.13</v>
      </c>
      <c r="G29" s="18">
        <v>3273.56</v>
      </c>
      <c r="H29" s="13">
        <v>1478.84</v>
      </c>
      <c r="I29" s="18">
        <v>3927.07</v>
      </c>
      <c r="J29" s="18">
        <v>3766.35</v>
      </c>
      <c r="K29" s="19">
        <v>4000</v>
      </c>
      <c r="L29" s="18">
        <v>5461.54</v>
      </c>
      <c r="M29" s="19">
        <v>4000</v>
      </c>
      <c r="N29" s="112">
        <v>3162.79</v>
      </c>
      <c r="O29" s="19">
        <v>5500</v>
      </c>
      <c r="P29" s="18">
        <v>1431.23</v>
      </c>
      <c r="Q29" s="19">
        <v>5800</v>
      </c>
      <c r="R29" s="19"/>
      <c r="S29" s="19"/>
    </row>
    <row r="30" spans="1:20" x14ac:dyDescent="0.2">
      <c r="A30" s="779">
        <v>5430</v>
      </c>
      <c r="B30" s="12" t="s">
        <v>1048</v>
      </c>
      <c r="C30" s="18"/>
      <c r="D30" s="18"/>
      <c r="E30" s="18"/>
      <c r="F30" s="18"/>
      <c r="G30" s="18"/>
      <c r="H30" s="18"/>
      <c r="I30" s="18"/>
      <c r="J30" s="18"/>
      <c r="K30" s="19"/>
      <c r="L30" s="18"/>
      <c r="M30" s="19"/>
      <c r="N30" s="112"/>
      <c r="O30" s="19">
        <v>1300</v>
      </c>
      <c r="P30" s="18">
        <v>771.74</v>
      </c>
      <c r="Q30" s="19">
        <v>900</v>
      </c>
      <c r="R30" s="19"/>
      <c r="S30" s="19"/>
    </row>
    <row r="31" spans="1:20" x14ac:dyDescent="0.2">
      <c r="A31" s="779">
        <v>5581</v>
      </c>
      <c r="B31" s="12" t="s">
        <v>866</v>
      </c>
      <c r="C31" s="18"/>
      <c r="D31" s="18">
        <v>88.4</v>
      </c>
      <c r="E31" s="18">
        <v>113.4</v>
      </c>
      <c r="F31" s="18">
        <v>25</v>
      </c>
      <c r="G31" s="18">
        <v>123.8</v>
      </c>
      <c r="H31" s="18">
        <v>131.6</v>
      </c>
      <c r="I31" s="18">
        <v>136.6</v>
      </c>
      <c r="J31" s="18">
        <v>147</v>
      </c>
      <c r="K31" s="19">
        <v>125</v>
      </c>
      <c r="L31" s="18">
        <v>157.4</v>
      </c>
      <c r="M31" s="19">
        <v>275</v>
      </c>
      <c r="N31" s="18">
        <v>157.4</v>
      </c>
      <c r="O31" s="19">
        <v>275</v>
      </c>
      <c r="P31" s="18">
        <v>143</v>
      </c>
      <c r="Q31" s="19">
        <v>275</v>
      </c>
      <c r="R31" s="19"/>
      <c r="S31" s="19"/>
    </row>
    <row r="32" spans="1:20" x14ac:dyDescent="0.2">
      <c r="A32" s="779">
        <v>5599</v>
      </c>
      <c r="B32" s="12" t="s">
        <v>1049</v>
      </c>
      <c r="C32" s="18"/>
      <c r="D32" s="18">
        <v>1700</v>
      </c>
      <c r="E32" s="18"/>
      <c r="F32" s="18"/>
      <c r="G32" s="18"/>
      <c r="H32" s="18"/>
      <c r="I32" s="18"/>
      <c r="J32" s="18"/>
      <c r="K32" s="19"/>
      <c r="L32" s="18"/>
      <c r="M32" s="19"/>
      <c r="N32" s="18"/>
      <c r="O32" s="19"/>
      <c r="P32" s="18"/>
      <c r="Q32" s="1063">
        <v>4250</v>
      </c>
      <c r="R32" s="19"/>
      <c r="S32" s="19"/>
    </row>
    <row r="33" spans="1:27" x14ac:dyDescent="0.2">
      <c r="A33" s="779">
        <v>5710</v>
      </c>
      <c r="B33" s="12" t="s">
        <v>869</v>
      </c>
      <c r="C33" s="18">
        <v>663.46</v>
      </c>
      <c r="D33" s="18">
        <v>859.2</v>
      </c>
      <c r="E33" s="18">
        <v>719.34</v>
      </c>
      <c r="F33" s="18">
        <v>370.39</v>
      </c>
      <c r="G33" s="18">
        <v>855.51</v>
      </c>
      <c r="H33" s="18">
        <v>871.44</v>
      </c>
      <c r="I33" s="18">
        <v>1191.17</v>
      </c>
      <c r="J33" s="18">
        <v>412.92</v>
      </c>
      <c r="K33" s="19">
        <v>1500</v>
      </c>
      <c r="L33" s="18">
        <v>856.01</v>
      </c>
      <c r="M33" s="19">
        <v>1500</v>
      </c>
      <c r="N33" s="18">
        <v>1884.92</v>
      </c>
      <c r="O33" s="19">
        <v>2000</v>
      </c>
      <c r="P33" s="18">
        <v>50.31</v>
      </c>
      <c r="Q33" s="19">
        <v>2000</v>
      </c>
      <c r="R33" s="19"/>
      <c r="S33" s="19"/>
    </row>
    <row r="34" spans="1:27" x14ac:dyDescent="0.2">
      <c r="A34" s="779">
        <v>5730</v>
      </c>
      <c r="B34" s="12" t="s">
        <v>870</v>
      </c>
      <c r="C34" s="13">
        <v>110</v>
      </c>
      <c r="D34" s="13">
        <v>110</v>
      </c>
      <c r="E34" s="13">
        <v>85</v>
      </c>
      <c r="F34" s="13">
        <v>100</v>
      </c>
      <c r="G34" s="13">
        <v>75</v>
      </c>
      <c r="H34" s="13">
        <v>85</v>
      </c>
      <c r="I34" s="13">
        <v>110</v>
      </c>
      <c r="J34" s="13">
        <v>115</v>
      </c>
      <c r="K34" s="14">
        <v>110</v>
      </c>
      <c r="L34" s="13">
        <v>110</v>
      </c>
      <c r="M34" s="14">
        <v>110</v>
      </c>
      <c r="N34" s="13">
        <v>170</v>
      </c>
      <c r="O34" s="14">
        <v>110</v>
      </c>
      <c r="P34" s="13"/>
      <c r="Q34" s="14">
        <v>110</v>
      </c>
      <c r="R34" s="14"/>
      <c r="S34" s="14"/>
    </row>
    <row r="35" spans="1:27" ht="13.5" thickBot="1" x14ac:dyDescent="0.25">
      <c r="A35" s="779">
        <v>5740</v>
      </c>
      <c r="B35" s="12" t="s">
        <v>984</v>
      </c>
      <c r="C35" s="15">
        <v>200</v>
      </c>
      <c r="D35" s="15">
        <v>200</v>
      </c>
      <c r="E35" s="15">
        <v>200</v>
      </c>
      <c r="F35" s="15">
        <v>200</v>
      </c>
      <c r="G35" s="15">
        <v>200</v>
      </c>
      <c r="H35" s="15">
        <v>200</v>
      </c>
      <c r="I35" s="15">
        <v>200</v>
      </c>
      <c r="J35" s="15">
        <v>200</v>
      </c>
      <c r="K35" s="16">
        <v>200</v>
      </c>
      <c r="L35" s="15">
        <v>200</v>
      </c>
      <c r="M35" s="16">
        <v>200</v>
      </c>
      <c r="N35" s="15">
        <v>200</v>
      </c>
      <c r="O35" s="16">
        <v>200</v>
      </c>
      <c r="P35" s="15">
        <v>100</v>
      </c>
      <c r="Q35" s="16">
        <v>200</v>
      </c>
      <c r="R35" s="16"/>
      <c r="S35" s="16"/>
    </row>
    <row r="36" spans="1:27" x14ac:dyDescent="0.2">
      <c r="A36" s="779"/>
      <c r="B36" s="17" t="s">
        <v>838</v>
      </c>
      <c r="C36" s="35">
        <f t="shared" ref="C36:Q36" si="3">SUM(C20:C35)</f>
        <v>13154</v>
      </c>
      <c r="D36" s="35">
        <f t="shared" si="3"/>
        <v>10443.970000000001</v>
      </c>
      <c r="E36" s="35">
        <f t="shared" si="3"/>
        <v>14923.8</v>
      </c>
      <c r="F36" s="35">
        <f t="shared" si="3"/>
        <v>14933.55</v>
      </c>
      <c r="G36" s="35">
        <f t="shared" si="3"/>
        <v>14574.859999999999</v>
      </c>
      <c r="H36" s="35">
        <f t="shared" si="3"/>
        <v>15580.36</v>
      </c>
      <c r="I36" s="35">
        <f t="shared" si="3"/>
        <v>20452.619999999995</v>
      </c>
      <c r="J36" s="35">
        <f t="shared" si="3"/>
        <v>21728.729999999996</v>
      </c>
      <c r="K36" s="36">
        <f t="shared" si="3"/>
        <v>21735</v>
      </c>
      <c r="L36" s="35">
        <f t="shared" si="3"/>
        <v>25693.140000000003</v>
      </c>
      <c r="M36" s="36">
        <f t="shared" si="3"/>
        <v>25330</v>
      </c>
      <c r="N36" s="35">
        <f t="shared" si="3"/>
        <v>28403.770000000004</v>
      </c>
      <c r="O36" s="36">
        <f t="shared" si="3"/>
        <v>40025</v>
      </c>
      <c r="P36" s="35">
        <f t="shared" si="3"/>
        <v>15002.039999999999</v>
      </c>
      <c r="Q36" s="36">
        <f t="shared" si="3"/>
        <v>51108</v>
      </c>
      <c r="R36" s="36"/>
      <c r="S36" s="36">
        <f>SUM(S20:S35)</f>
        <v>0</v>
      </c>
    </row>
    <row r="37" spans="1:27" ht="12.75" customHeight="1" x14ac:dyDescent="0.2">
      <c r="A37" s="779"/>
      <c r="B37" s="12"/>
      <c r="C37" s="13"/>
      <c r="D37" s="13"/>
      <c r="E37" s="13"/>
      <c r="F37" s="13"/>
      <c r="G37" s="13"/>
      <c r="H37" s="13"/>
      <c r="I37" s="13"/>
      <c r="J37" s="13"/>
      <c r="K37" s="14"/>
      <c r="L37" s="13"/>
      <c r="M37" s="14"/>
      <c r="N37" s="13"/>
      <c r="O37" s="14"/>
      <c r="P37" s="13"/>
      <c r="Q37" s="14"/>
      <c r="R37" s="14"/>
      <c r="S37" s="14"/>
    </row>
    <row r="38" spans="1:27" ht="13.5" thickBot="1" x14ac:dyDescent="0.25">
      <c r="A38" s="780"/>
      <c r="B38" s="20" t="s">
        <v>1050</v>
      </c>
      <c r="C38" s="21">
        <f t="shared" ref="C38:Q38" si="4">+C36+C18</f>
        <v>130503.54</v>
      </c>
      <c r="D38" s="21">
        <f t="shared" si="4"/>
        <v>113509.36</v>
      </c>
      <c r="E38" s="21">
        <f t="shared" si="4"/>
        <v>134637.65</v>
      </c>
      <c r="F38" s="21">
        <f t="shared" si="4"/>
        <v>135316.26999999999</v>
      </c>
      <c r="G38" s="21">
        <f t="shared" si="4"/>
        <v>142245.75999999998</v>
      </c>
      <c r="H38" s="21">
        <f t="shared" si="4"/>
        <v>134774.06</v>
      </c>
      <c r="I38" s="21">
        <f t="shared" si="4"/>
        <v>164798.6</v>
      </c>
      <c r="J38" s="21">
        <f t="shared" si="4"/>
        <v>152976.47999999998</v>
      </c>
      <c r="K38" s="22">
        <f t="shared" si="4"/>
        <v>167001</v>
      </c>
      <c r="L38" s="21">
        <f t="shared" si="4"/>
        <v>163415.98000000001</v>
      </c>
      <c r="M38" s="22">
        <f t="shared" si="4"/>
        <v>155173</v>
      </c>
      <c r="N38" s="21">
        <f t="shared" si="4"/>
        <v>162169.68</v>
      </c>
      <c r="O38" s="22">
        <f t="shared" si="4"/>
        <v>195844</v>
      </c>
      <c r="P38" s="21">
        <f t="shared" si="4"/>
        <v>91214.26999999999</v>
      </c>
      <c r="Q38" s="22">
        <f t="shared" si="4"/>
        <v>243041</v>
      </c>
      <c r="R38" s="22">
        <f>+Q38</f>
        <v>243041</v>
      </c>
      <c r="S38" s="22">
        <f>+Q38</f>
        <v>243041</v>
      </c>
    </row>
    <row r="39" spans="1:27" ht="12.75" customHeight="1" thickTop="1" x14ac:dyDescent="0.25">
      <c r="A39" s="774"/>
      <c r="B39" s="4"/>
      <c r="C39" s="23"/>
      <c r="D39" s="23"/>
      <c r="E39" s="23"/>
      <c r="F39" s="23"/>
      <c r="G39" s="23"/>
      <c r="H39" s="23"/>
      <c r="I39" s="23"/>
      <c r="J39" s="23"/>
      <c r="K39" s="23"/>
      <c r="L39" s="23"/>
      <c r="M39" s="23"/>
      <c r="N39" s="23"/>
      <c r="O39" s="23"/>
      <c r="P39" s="199" t="s">
        <v>843</v>
      </c>
      <c r="Q39" s="1116">
        <f>+Q38-O38</f>
        <v>47197</v>
      </c>
      <c r="R39" s="1117">
        <f>ROUND((+Q39/O38),4)</f>
        <v>0.24099999999999999</v>
      </c>
      <c r="S39" s="73"/>
      <c r="T39" s="23"/>
      <c r="U39" s="25"/>
      <c r="V39" s="201"/>
    </row>
    <row r="40" spans="1:27" ht="12.75" customHeight="1" x14ac:dyDescent="0.25">
      <c r="A40" s="63">
        <v>44951</v>
      </c>
      <c r="B40" s="4" t="s">
        <v>2447</v>
      </c>
      <c r="C40" s="23"/>
      <c r="D40" s="23"/>
      <c r="E40" s="23"/>
      <c r="F40" s="23"/>
      <c r="G40" s="23"/>
      <c r="H40" s="23"/>
      <c r="I40" s="23"/>
      <c r="J40" s="23"/>
      <c r="K40" s="23"/>
      <c r="L40" s="23"/>
      <c r="M40" s="23"/>
      <c r="N40" s="23"/>
      <c r="O40" s="23"/>
      <c r="P40" s="199"/>
      <c r="Q40" s="1116"/>
      <c r="R40" s="1117"/>
      <c r="S40" s="73"/>
      <c r="T40" s="23"/>
      <c r="U40" s="25"/>
      <c r="V40" s="201"/>
    </row>
    <row r="41" spans="1:27" ht="12.75" customHeight="1" x14ac:dyDescent="0.3">
      <c r="A41" s="1131" t="s">
        <v>2436</v>
      </c>
      <c r="B41" s="353"/>
      <c r="C41" s="276"/>
      <c r="D41" s="276"/>
      <c r="E41" s="276"/>
      <c r="F41" s="97"/>
      <c r="G41" s="97"/>
      <c r="H41" s="97"/>
      <c r="I41" s="23"/>
      <c r="J41" s="23"/>
      <c r="K41" s="23"/>
      <c r="L41" s="23"/>
      <c r="M41" s="23"/>
      <c r="N41" s="23"/>
      <c r="O41" s="23"/>
      <c r="P41" s="25"/>
      <c r="Q41" s="23"/>
      <c r="R41" s="23"/>
      <c r="S41" s="73"/>
      <c r="T41" s="25"/>
      <c r="U41" s="25"/>
      <c r="V41" s="25"/>
    </row>
    <row r="42" spans="1:27" ht="12.75" customHeight="1" x14ac:dyDescent="0.2">
      <c r="A42" s="1131" t="s">
        <v>2431</v>
      </c>
      <c r="B42" s="1132" t="s">
        <v>1013</v>
      </c>
      <c r="C42" s="276"/>
      <c r="D42" s="276"/>
      <c r="E42" s="276"/>
      <c r="F42" s="97"/>
      <c r="G42" s="97"/>
      <c r="H42" s="97"/>
      <c r="I42" s="23"/>
      <c r="J42" s="23"/>
      <c r="K42" s="23"/>
      <c r="L42" s="23"/>
      <c r="M42" s="23"/>
      <c r="N42" s="23"/>
      <c r="O42" s="23"/>
      <c r="P42" s="25"/>
      <c r="Q42" s="23"/>
      <c r="R42" s="23"/>
      <c r="S42" s="73"/>
      <c r="T42" s="25"/>
      <c r="U42" s="25"/>
      <c r="V42" s="25" t="s">
        <v>2515</v>
      </c>
    </row>
    <row r="43" spans="1:27" ht="12.75" customHeight="1" x14ac:dyDescent="0.2">
      <c r="A43" s="774">
        <v>3</v>
      </c>
      <c r="B43" s="1133" t="s">
        <v>2432</v>
      </c>
      <c r="C43" s="276"/>
      <c r="D43" s="276"/>
      <c r="E43" s="276"/>
      <c r="F43" s="97"/>
      <c r="G43" s="97"/>
      <c r="H43" s="97"/>
      <c r="I43" s="23"/>
      <c r="J43" s="23"/>
      <c r="K43" s="23"/>
      <c r="L43" s="23"/>
      <c r="M43" s="23"/>
      <c r="N43" s="23"/>
      <c r="O43" s="23"/>
      <c r="P43" s="25"/>
      <c r="Q43" s="23"/>
      <c r="R43" s="23"/>
      <c r="S43" s="73"/>
      <c r="T43" s="25"/>
      <c r="U43" s="25"/>
      <c r="V43" s="25" t="s">
        <v>2516</v>
      </c>
    </row>
    <row r="44" spans="1:27" x14ac:dyDescent="0.2">
      <c r="A44" s="774">
        <v>2</v>
      </c>
      <c r="B44" s="1133" t="s">
        <v>2433</v>
      </c>
      <c r="D44" s="212"/>
      <c r="E44" s="212"/>
      <c r="F44" s="212"/>
      <c r="G44" s="212"/>
      <c r="H44" s="212"/>
      <c r="I44" s="212"/>
      <c r="J44" s="212"/>
      <c r="K44" s="212"/>
      <c r="L44" s="212"/>
      <c r="M44" s="212"/>
      <c r="N44" s="212"/>
      <c r="O44" s="212"/>
      <c r="U44" t="s">
        <v>2090</v>
      </c>
      <c r="V44" t="s">
        <v>2517</v>
      </c>
    </row>
    <row r="45" spans="1:27" ht="13.5" thickBot="1" x14ac:dyDescent="0.25">
      <c r="A45" s="774">
        <v>3</v>
      </c>
      <c r="B45" s="1133" t="s">
        <v>2434</v>
      </c>
      <c r="D45" s="212"/>
      <c r="E45" s="212"/>
      <c r="F45" s="212"/>
      <c r="G45" s="212"/>
      <c r="H45" s="212"/>
      <c r="I45" s="212"/>
      <c r="J45" s="212"/>
      <c r="K45" s="212"/>
      <c r="L45" s="212"/>
      <c r="M45" s="212"/>
      <c r="N45" s="212"/>
      <c r="O45" s="212"/>
    </row>
    <row r="46" spans="1:27" ht="13.5" thickTop="1" x14ac:dyDescent="0.2">
      <c r="A46" s="774">
        <v>1</v>
      </c>
      <c r="B46" s="1133" t="s">
        <v>2435</v>
      </c>
      <c r="D46" s="212"/>
      <c r="E46" s="212"/>
      <c r="F46" s="212"/>
      <c r="G46" s="212"/>
      <c r="H46" s="212"/>
      <c r="I46" s="212"/>
      <c r="J46" s="212"/>
      <c r="K46" s="212"/>
      <c r="L46" s="212"/>
      <c r="M46" s="212"/>
      <c r="N46" s="212"/>
      <c r="O46" s="212"/>
      <c r="U46" s="781" t="s">
        <v>872</v>
      </c>
      <c r="V46" s="99"/>
      <c r="W46" s="269" t="s">
        <v>873</v>
      </c>
      <c r="X46" s="138" t="s">
        <v>874</v>
      </c>
      <c r="Y46" s="150"/>
      <c r="Z46" s="140" t="s">
        <v>875</v>
      </c>
      <c r="AA46" t="s">
        <v>2513</v>
      </c>
    </row>
    <row r="47" spans="1:27" x14ac:dyDescent="0.2">
      <c r="A47" s="774"/>
      <c r="B47" s="1133"/>
      <c r="D47" s="212"/>
      <c r="E47" s="212"/>
      <c r="F47" s="212"/>
      <c r="G47" s="212"/>
      <c r="H47" s="212"/>
      <c r="I47" s="212"/>
      <c r="J47" s="212"/>
      <c r="K47" s="212"/>
      <c r="L47" s="212"/>
      <c r="M47" s="212"/>
      <c r="N47" s="212"/>
      <c r="O47" s="212"/>
      <c r="U47" s="1154"/>
      <c r="V47" s="1155"/>
      <c r="W47" s="1156"/>
      <c r="X47" s="1157"/>
      <c r="Y47" s="107"/>
      <c r="Z47" s="1158"/>
    </row>
    <row r="48" spans="1:27" ht="13.5" thickBot="1" x14ac:dyDescent="0.25">
      <c r="A48" s="774" t="s">
        <v>2529</v>
      </c>
      <c r="B48" s="1133"/>
      <c r="D48" s="212"/>
      <c r="E48" s="212"/>
      <c r="F48" s="212"/>
      <c r="G48" s="212"/>
      <c r="H48" s="212"/>
      <c r="I48" s="212"/>
      <c r="J48" s="212"/>
      <c r="K48" s="212"/>
      <c r="L48" s="212"/>
      <c r="M48" s="212"/>
      <c r="N48" s="212"/>
      <c r="O48" s="212"/>
      <c r="U48" s="1154"/>
      <c r="V48" s="1155"/>
      <c r="W48" s="1156"/>
      <c r="X48" s="1157"/>
      <c r="Y48" s="107"/>
      <c r="Z48" s="1158"/>
    </row>
    <row r="49" spans="1:28" ht="14.25" thickTop="1" thickBot="1" x14ac:dyDescent="0.25">
      <c r="A49" s="781" t="s">
        <v>872</v>
      </c>
      <c r="B49" s="99"/>
      <c r="D49" s="212"/>
      <c r="E49" s="212"/>
      <c r="F49" s="212"/>
      <c r="G49" s="212"/>
      <c r="H49" s="212"/>
      <c r="I49" s="212"/>
      <c r="J49" s="212"/>
      <c r="K49" s="212"/>
      <c r="L49" s="212"/>
      <c r="M49" s="269" t="s">
        <v>873</v>
      </c>
      <c r="N49" s="138" t="s">
        <v>874</v>
      </c>
      <c r="O49" s="150"/>
      <c r="P49" s="140" t="s">
        <v>875</v>
      </c>
      <c r="Q49"/>
      <c r="R49"/>
      <c r="S49" s="205" t="s">
        <v>876</v>
      </c>
      <c r="T49"/>
      <c r="U49" s="782" t="s">
        <v>877</v>
      </c>
      <c r="V49" s="101" t="s">
        <v>878</v>
      </c>
      <c r="W49" s="287">
        <v>45108</v>
      </c>
      <c r="X49" s="141" t="s">
        <v>879</v>
      </c>
      <c r="Y49" s="142" t="s">
        <v>954</v>
      </c>
      <c r="Z49" s="142" t="s">
        <v>881</v>
      </c>
    </row>
    <row r="50" spans="1:28" ht="14.25" thickTop="1" thickBot="1" x14ac:dyDescent="0.25">
      <c r="A50" s="782" t="s">
        <v>877</v>
      </c>
      <c r="B50" s="101" t="s">
        <v>878</v>
      </c>
      <c r="D50" s="212"/>
      <c r="E50" s="212"/>
      <c r="F50" s="212"/>
      <c r="G50" s="212"/>
      <c r="H50" s="212"/>
      <c r="I50" s="212"/>
      <c r="J50" s="212"/>
      <c r="K50" s="212"/>
      <c r="L50" s="212"/>
      <c r="M50" s="287">
        <v>45108</v>
      </c>
      <c r="N50" s="141" t="s">
        <v>879</v>
      </c>
      <c r="O50" s="142" t="s">
        <v>954</v>
      </c>
      <c r="P50" s="142" t="s">
        <v>881</v>
      </c>
      <c r="Q50" s="107" t="s">
        <v>882</v>
      </c>
      <c r="R50" s="107"/>
      <c r="S50" s="107" t="s">
        <v>571</v>
      </c>
      <c r="T50" s="107" t="s">
        <v>883</v>
      </c>
      <c r="U50" s="133">
        <v>45108</v>
      </c>
      <c r="V50" s="102" t="s">
        <v>1051</v>
      </c>
      <c r="W50" s="18" t="s">
        <v>2510</v>
      </c>
      <c r="X50" s="200"/>
      <c r="Y50" s="151"/>
      <c r="Z50" s="137">
        <f>+'NAGE &amp; Non-Union Wages'!G10</f>
        <v>72450</v>
      </c>
      <c r="AA50">
        <f>+P51-Z50</f>
        <v>0</v>
      </c>
    </row>
    <row r="51" spans="1:28" ht="13.5" thickTop="1" x14ac:dyDescent="0.2">
      <c r="A51" s="133">
        <v>35793</v>
      </c>
      <c r="B51" s="102" t="s">
        <v>1051</v>
      </c>
      <c r="D51" s="212"/>
      <c r="E51" s="212"/>
      <c r="F51" s="212"/>
      <c r="G51" s="212"/>
      <c r="H51" s="212"/>
      <c r="I51" s="212"/>
      <c r="J51" s="212"/>
      <c r="K51" s="212"/>
      <c r="L51" s="212"/>
      <c r="M51" s="18" t="s">
        <v>2510</v>
      </c>
      <c r="N51" s="200"/>
      <c r="O51" s="151"/>
      <c r="P51" s="137">
        <f>+'NAGE &amp; Non-Union Wages'!G10</f>
        <v>72450</v>
      </c>
      <c r="Q51"/>
      <c r="R51"/>
      <c r="S51"/>
      <c r="T51" s="2"/>
      <c r="U51" s="133"/>
      <c r="V51" s="102" t="s">
        <v>1052</v>
      </c>
      <c r="W51" s="264"/>
      <c r="X51" s="200"/>
      <c r="Y51" s="151"/>
      <c r="Z51" s="137">
        <v>840</v>
      </c>
    </row>
    <row r="52" spans="1:28" x14ac:dyDescent="0.2">
      <c r="A52" s="133"/>
      <c r="B52" s="102" t="s">
        <v>1052</v>
      </c>
      <c r="D52" s="212"/>
      <c r="E52" s="212"/>
      <c r="F52" s="212"/>
      <c r="G52" s="212"/>
      <c r="H52" s="212"/>
      <c r="I52" s="212"/>
      <c r="J52" s="212"/>
      <c r="K52" s="212"/>
      <c r="L52" s="212"/>
      <c r="M52" s="264"/>
      <c r="N52" s="200"/>
      <c r="O52" s="151"/>
      <c r="P52" s="137">
        <v>900</v>
      </c>
      <c r="Q52"/>
      <c r="R52"/>
      <c r="S52"/>
      <c r="T52" s="2"/>
      <c r="U52" s="133"/>
      <c r="V52" s="102" t="s">
        <v>1053</v>
      </c>
      <c r="W52" s="264"/>
      <c r="X52" s="200"/>
      <c r="Y52" s="151"/>
      <c r="Z52" s="137">
        <v>1000</v>
      </c>
    </row>
    <row r="53" spans="1:28" x14ac:dyDescent="0.2">
      <c r="A53" s="133"/>
      <c r="B53" s="102" t="s">
        <v>1053</v>
      </c>
      <c r="D53" s="212"/>
      <c r="E53" s="212"/>
      <c r="F53" s="212"/>
      <c r="G53" s="212"/>
      <c r="H53" s="212"/>
      <c r="I53" s="212"/>
      <c r="J53" s="212"/>
      <c r="K53" s="212"/>
      <c r="L53" s="212"/>
      <c r="M53" s="264"/>
      <c r="N53" s="200"/>
      <c r="O53" s="151"/>
      <c r="P53" s="137"/>
      <c r="Q53"/>
      <c r="R53"/>
      <c r="S53"/>
      <c r="T53" s="2"/>
      <c r="U53" s="133"/>
      <c r="V53" s="102" t="s">
        <v>2511</v>
      </c>
      <c r="W53" s="264"/>
      <c r="X53" s="264">
        <f>ROUND((+'NAGE &amp; Non-Union Wages'!L10/1820),2)</f>
        <v>44.17</v>
      </c>
      <c r="Y53" s="151">
        <v>500</v>
      </c>
      <c r="Z53" s="137">
        <f>+Y53*X53</f>
        <v>22085</v>
      </c>
    </row>
    <row r="54" spans="1:28" x14ac:dyDescent="0.2">
      <c r="A54" s="133"/>
      <c r="B54" s="102" t="s">
        <v>2530</v>
      </c>
      <c r="D54" s="212"/>
      <c r="E54" s="212"/>
      <c r="F54" s="212"/>
      <c r="G54" s="212"/>
      <c r="H54" s="212"/>
      <c r="I54" s="212"/>
      <c r="J54" s="212"/>
      <c r="K54" s="212"/>
      <c r="L54" s="212"/>
      <c r="M54" s="264"/>
      <c r="N54" s="264">
        <v>44.17</v>
      </c>
      <c r="O54" s="151">
        <v>500</v>
      </c>
      <c r="P54" s="137">
        <f>+ROUND((+N54*O54),2)</f>
        <v>22085</v>
      </c>
      <c r="Q54"/>
      <c r="R54"/>
      <c r="S54"/>
      <c r="T54" s="2"/>
      <c r="U54" s="133"/>
      <c r="V54" s="102"/>
      <c r="W54" s="264"/>
      <c r="X54" s="264"/>
      <c r="Y54" s="151"/>
      <c r="Z54" s="137"/>
    </row>
    <row r="55" spans="1:28" x14ac:dyDescent="0.2">
      <c r="A55" s="134">
        <v>41981</v>
      </c>
      <c r="B55" s="60" t="s">
        <v>1054</v>
      </c>
      <c r="D55" s="212"/>
      <c r="E55" s="212"/>
      <c r="F55" s="212"/>
      <c r="G55" s="212"/>
      <c r="H55" s="212"/>
      <c r="I55" s="212"/>
      <c r="J55" s="212"/>
      <c r="K55" s="212"/>
      <c r="L55" s="212"/>
      <c r="M55" s="128" t="s">
        <v>1343</v>
      </c>
      <c r="N55" s="148">
        <f>+'NAGE &amp; Non-Union Wages'!G7</f>
        <v>24.96</v>
      </c>
      <c r="O55" s="18">
        <v>1680</v>
      </c>
      <c r="P55" s="137">
        <f>+ROUND((+N55*O55),2)</f>
        <v>41932.800000000003</v>
      </c>
      <c r="Q55" s="153"/>
      <c r="R55" s="153"/>
      <c r="S55" s="783">
        <v>9</v>
      </c>
      <c r="T55" s="2">
        <v>300</v>
      </c>
      <c r="U55" s="134">
        <v>45108</v>
      </c>
      <c r="V55" s="60" t="s">
        <v>1054</v>
      </c>
      <c r="W55" s="128" t="s">
        <v>1343</v>
      </c>
      <c r="X55" s="148">
        <f>+'NAGE &amp; Non-Union Wages'!G7</f>
        <v>24.96</v>
      </c>
      <c r="Y55" s="18">
        <f>1820-140</f>
        <v>1680</v>
      </c>
      <c r="Z55" s="137">
        <f>+ROUND((+X55*Y55),2)</f>
        <v>41932.800000000003</v>
      </c>
      <c r="AA55">
        <f>+P55-Z55</f>
        <v>0</v>
      </c>
      <c r="AB55" t="s">
        <v>2512</v>
      </c>
    </row>
    <row r="56" spans="1:28" x14ac:dyDescent="0.2">
      <c r="A56" s="1111" t="s">
        <v>2299</v>
      </c>
      <c r="B56" s="1108" t="s">
        <v>1437</v>
      </c>
      <c r="C56" s="608"/>
      <c r="D56" s="1096"/>
      <c r="E56" s="1096"/>
      <c r="F56" s="1096"/>
      <c r="G56" s="1096"/>
      <c r="H56" s="1096"/>
      <c r="I56" s="1096"/>
      <c r="J56" s="1096"/>
      <c r="K56" s="1096"/>
      <c r="L56" s="1096"/>
      <c r="M56" s="671" t="s">
        <v>2292</v>
      </c>
      <c r="N56" s="671">
        <f>+'NAGE &amp; Non-Union Wages'!C5</f>
        <v>19.28</v>
      </c>
      <c r="O56" s="1063">
        <v>1680</v>
      </c>
      <c r="P56" s="1109">
        <f>+ROUND((+N56*O56),2)</f>
        <v>32390.400000000001</v>
      </c>
      <c r="Q56"/>
      <c r="R56"/>
      <c r="S56"/>
      <c r="T56" s="2"/>
      <c r="U56" s="1111" t="s">
        <v>2299</v>
      </c>
      <c r="V56" s="1108" t="s">
        <v>1437</v>
      </c>
      <c r="W56" s="671" t="s">
        <v>2292</v>
      </c>
      <c r="X56" s="671">
        <f>+'NAGE &amp; Non-Union Wages'!C5</f>
        <v>19.28</v>
      </c>
      <c r="Y56" s="1063">
        <v>1680</v>
      </c>
      <c r="Z56" s="1109">
        <f>+ROUND((+X56*Y56),2)</f>
        <v>32390.400000000001</v>
      </c>
    </row>
    <row r="57" spans="1:28" x14ac:dyDescent="0.2">
      <c r="A57" s="774"/>
      <c r="B57" s="4"/>
      <c r="C57" s="23"/>
      <c r="D57" s="23"/>
      <c r="E57" s="23"/>
      <c r="F57" s="212"/>
      <c r="G57" s="212"/>
      <c r="H57" s="212"/>
      <c r="I57" s="23"/>
      <c r="J57" s="23"/>
      <c r="K57" s="212"/>
      <c r="L57" s="212"/>
      <c r="M57" s="23"/>
      <c r="N57" s="23"/>
      <c r="O57" s="23"/>
      <c r="P57" s="25">
        <f>SUM(P51:P56)</f>
        <v>169758.19999999998</v>
      </c>
      <c r="Q57" s="25"/>
      <c r="R57" s="25"/>
      <c r="S57" s="25" t="s">
        <v>193</v>
      </c>
      <c r="T57" s="2">
        <f>SUM(T55:T56)</f>
        <v>300</v>
      </c>
      <c r="Z57">
        <f>SUM(Z50:Z56)</f>
        <v>170698.19999999998</v>
      </c>
    </row>
    <row r="58" spans="1:28" ht="13.5" thickBot="1" x14ac:dyDescent="0.25">
      <c r="A58" s="816"/>
      <c r="B58" s="4"/>
      <c r="C58" s="23"/>
      <c r="D58" s="23"/>
      <c r="E58" s="23"/>
      <c r="F58" s="212"/>
      <c r="G58" s="212"/>
      <c r="H58" s="212"/>
      <c r="I58" s="23"/>
      <c r="J58" s="23"/>
      <c r="K58" s="212"/>
      <c r="L58" s="212"/>
      <c r="M58" s="23"/>
      <c r="N58" s="23"/>
      <c r="O58" s="23"/>
      <c r="P58" s="25"/>
      <c r="Q58" s="23"/>
      <c r="R58" s="23"/>
      <c r="S58" s="23"/>
      <c r="T58" s="23"/>
      <c r="U58" s="25"/>
      <c r="V58" s="25"/>
      <c r="Y58" t="s">
        <v>2514</v>
      </c>
      <c r="Z58">
        <f>+Z57-P57</f>
        <v>940</v>
      </c>
    </row>
    <row r="59" spans="1:28" ht="13.5" thickTop="1" x14ac:dyDescent="0.2">
      <c r="A59" s="789"/>
      <c r="B59" s="367"/>
      <c r="C59" s="368" t="s">
        <v>280</v>
      </c>
      <c r="D59" s="369" t="s">
        <v>280</v>
      </c>
      <c r="E59" s="369"/>
      <c r="F59" s="212"/>
      <c r="G59" s="212"/>
      <c r="H59" s="212"/>
      <c r="I59" s="212"/>
      <c r="J59" s="212"/>
      <c r="K59" s="212"/>
      <c r="L59" s="212"/>
      <c r="M59" s="370" t="s">
        <v>279</v>
      </c>
      <c r="N59" s="371" t="s">
        <v>826</v>
      </c>
      <c r="O59" s="372" t="s">
        <v>840</v>
      </c>
      <c r="P59" s="371" t="s">
        <v>841</v>
      </c>
      <c r="Q59" s="373"/>
      <c r="R59" s="569"/>
      <c r="S59" s="372"/>
      <c r="T59" s="23"/>
      <c r="U59" s="25"/>
      <c r="V59" s="25"/>
      <c r="Y59" t="s">
        <v>2518</v>
      </c>
      <c r="Z59">
        <v>-3007</v>
      </c>
      <c r="AA59" t="s">
        <v>2512</v>
      </c>
    </row>
    <row r="60" spans="1:28" ht="13.5" thickBot="1" x14ac:dyDescent="0.25">
      <c r="A60" s="790" t="s">
        <v>825</v>
      </c>
      <c r="B60" s="374"/>
      <c r="C60" s="375" t="s">
        <v>267</v>
      </c>
      <c r="D60" s="375" t="s">
        <v>268</v>
      </c>
      <c r="E60" s="375"/>
      <c r="F60" s="212"/>
      <c r="G60" s="212"/>
      <c r="H60" s="212"/>
      <c r="I60" s="212"/>
      <c r="J60" s="212"/>
      <c r="K60" s="212"/>
      <c r="L60" s="212"/>
      <c r="M60" s="377" t="s">
        <v>277</v>
      </c>
      <c r="N60" s="377" t="s">
        <v>571</v>
      </c>
      <c r="O60" s="376" t="s">
        <v>843</v>
      </c>
      <c r="P60" s="378" t="s">
        <v>843</v>
      </c>
      <c r="Q60" s="379" t="s">
        <v>844</v>
      </c>
      <c r="R60" s="570"/>
      <c r="S60" s="377"/>
      <c r="T60" s="23"/>
      <c r="U60" s="25"/>
      <c r="V60" s="25"/>
      <c r="Z60">
        <f>SUM(Z58:Z59)</f>
        <v>-2067</v>
      </c>
    </row>
    <row r="61" spans="1:28" ht="13.5" thickTop="1" x14ac:dyDescent="0.2">
      <c r="A61" s="797"/>
      <c r="B61" s="394"/>
      <c r="C61" s="383"/>
      <c r="D61" s="383"/>
      <c r="E61" s="383"/>
      <c r="F61" s="212"/>
      <c r="G61" s="212"/>
      <c r="H61" s="212"/>
      <c r="I61" s="212"/>
      <c r="J61" s="212"/>
      <c r="K61" s="212"/>
      <c r="L61" s="212"/>
      <c r="M61" s="384"/>
      <c r="N61" s="383"/>
      <c r="O61" s="386"/>
      <c r="P61" s="392"/>
      <c r="Q61" s="385"/>
      <c r="R61" s="572"/>
      <c r="S61" s="386"/>
      <c r="T61" s="23"/>
      <c r="U61" s="25"/>
      <c r="V61" s="25"/>
    </row>
    <row r="62" spans="1:28" x14ac:dyDescent="0.2">
      <c r="A62" s="795">
        <v>5111</v>
      </c>
      <c r="B62" s="387" t="s">
        <v>849</v>
      </c>
      <c r="C62" s="391">
        <v>92859.54</v>
      </c>
      <c r="D62" s="391">
        <v>97657.39</v>
      </c>
      <c r="E62" s="391"/>
      <c r="F62" s="212"/>
      <c r="G62" s="212"/>
      <c r="H62" s="212"/>
      <c r="I62" s="212"/>
      <c r="J62" s="212"/>
      <c r="K62" s="212"/>
      <c r="L62" s="212"/>
      <c r="M62" s="390">
        <f>+O9</f>
        <v>128444</v>
      </c>
      <c r="N62" s="411">
        <f>+Q9</f>
        <v>169758</v>
      </c>
      <c r="O62" s="386">
        <f t="shared" ref="O62:O83" si="5">+N62-M62</f>
        <v>41314</v>
      </c>
      <c r="P62" s="392">
        <f t="shared" ref="P62:P75" si="6">IF(M62+N62&lt;&gt;0,IF(M62&lt;&gt;0,IF(O62&lt;&gt;0,ROUND((+O62/M62),4),""),1),"")</f>
        <v>0.3216</v>
      </c>
      <c r="Q62" s="385" t="s">
        <v>2287</v>
      </c>
      <c r="R62" s="572"/>
      <c r="S62" s="386"/>
      <c r="T62" s="23"/>
      <c r="U62" s="25"/>
      <c r="V62" s="25"/>
    </row>
    <row r="63" spans="1:28" x14ac:dyDescent="0.2">
      <c r="A63" s="795">
        <v>5113</v>
      </c>
      <c r="B63" s="387" t="s">
        <v>1040</v>
      </c>
      <c r="C63" s="391">
        <v>338</v>
      </c>
      <c r="D63" s="391">
        <v>500</v>
      </c>
      <c r="E63" s="391"/>
      <c r="F63" s="212"/>
      <c r="G63" s="212"/>
      <c r="H63" s="212"/>
      <c r="I63" s="212"/>
      <c r="J63" s="212"/>
      <c r="K63" s="212"/>
      <c r="L63" s="212"/>
      <c r="M63" s="390">
        <f>+O10</f>
        <v>525</v>
      </c>
      <c r="N63" s="411">
        <f>+Q10</f>
        <v>625</v>
      </c>
      <c r="O63" s="386">
        <f t="shared" si="5"/>
        <v>100</v>
      </c>
      <c r="P63" s="392">
        <f t="shared" si="6"/>
        <v>0.1905</v>
      </c>
      <c r="Q63" s="385" t="s">
        <v>2288</v>
      </c>
      <c r="R63" s="572"/>
      <c r="S63" s="386"/>
      <c r="T63" s="23"/>
      <c r="U63" s="25"/>
      <c r="V63" s="25"/>
    </row>
    <row r="64" spans="1:28" x14ac:dyDescent="0.2">
      <c r="A64" s="795"/>
      <c r="B64" s="387" t="s">
        <v>1041</v>
      </c>
      <c r="C64" s="391">
        <v>338</v>
      </c>
      <c r="D64" s="391">
        <v>500</v>
      </c>
      <c r="E64" s="391"/>
      <c r="F64" s="212"/>
      <c r="G64" s="212"/>
      <c r="H64" s="212"/>
      <c r="I64" s="212"/>
      <c r="J64" s="212"/>
      <c r="K64" s="212"/>
      <c r="L64" s="212"/>
      <c r="M64" s="390">
        <f>+O11</f>
        <v>525</v>
      </c>
      <c r="N64" s="411">
        <f>+Q11</f>
        <v>625</v>
      </c>
      <c r="O64" s="386">
        <f t="shared" si="5"/>
        <v>100</v>
      </c>
      <c r="P64" s="392">
        <f t="shared" si="6"/>
        <v>0.1905</v>
      </c>
      <c r="Q64" s="385" t="s">
        <v>2289</v>
      </c>
      <c r="R64" s="572"/>
      <c r="S64" s="386"/>
      <c r="T64" s="23"/>
      <c r="U64" s="25"/>
      <c r="V64" s="25"/>
    </row>
    <row r="65" spans="1:22" x14ac:dyDescent="0.2">
      <c r="A65" s="795"/>
      <c r="B65" s="387" t="s">
        <v>1042</v>
      </c>
      <c r="C65" s="391">
        <v>338</v>
      </c>
      <c r="D65" s="391">
        <v>500</v>
      </c>
      <c r="E65" s="391"/>
      <c r="F65" s="212"/>
      <c r="G65" s="212"/>
      <c r="H65" s="212"/>
      <c r="I65" s="212"/>
      <c r="J65" s="212"/>
      <c r="K65" s="212"/>
      <c r="L65" s="212"/>
      <c r="M65" s="390">
        <f>+O12</f>
        <v>525</v>
      </c>
      <c r="N65" s="411">
        <f>+Q12</f>
        <v>625</v>
      </c>
      <c r="O65" s="386">
        <f t="shared" si="5"/>
        <v>100</v>
      </c>
      <c r="P65" s="392">
        <f t="shared" si="6"/>
        <v>0.1905</v>
      </c>
      <c r="Q65" s="385"/>
      <c r="R65" s="572"/>
      <c r="S65" s="386"/>
      <c r="T65" s="23"/>
      <c r="U65" s="25"/>
      <c r="V65" s="25"/>
    </row>
    <row r="66" spans="1:22" x14ac:dyDescent="0.2">
      <c r="A66" s="795">
        <v>5124</v>
      </c>
      <c r="B66" s="387" t="s">
        <v>1043</v>
      </c>
      <c r="C66" s="391">
        <v>23326</v>
      </c>
      <c r="D66" s="391">
        <v>3758</v>
      </c>
      <c r="E66" s="391"/>
      <c r="F66" s="212"/>
      <c r="G66" s="212"/>
      <c r="H66" s="212"/>
      <c r="I66" s="212"/>
      <c r="J66" s="212"/>
      <c r="K66" s="212"/>
      <c r="L66" s="212"/>
      <c r="M66" s="390">
        <f>+O13</f>
        <v>25500</v>
      </c>
      <c r="N66" s="411">
        <f>+Q13</f>
        <v>20000</v>
      </c>
      <c r="O66" s="386">
        <f t="shared" si="5"/>
        <v>-5500</v>
      </c>
      <c r="P66" s="392">
        <f t="shared" si="6"/>
        <v>-0.2157</v>
      </c>
      <c r="Q66" s="385"/>
      <c r="R66" s="572"/>
      <c r="S66" s="386"/>
      <c r="T66" s="23"/>
      <c r="U66" s="25"/>
      <c r="V66" s="25"/>
    </row>
    <row r="67" spans="1:22" ht="13.5" thickBot="1" x14ac:dyDescent="0.25">
      <c r="A67" s="795">
        <v>5144</v>
      </c>
      <c r="B67" s="387" t="s">
        <v>27</v>
      </c>
      <c r="C67" s="389">
        <v>150</v>
      </c>
      <c r="D67" s="389">
        <v>150</v>
      </c>
      <c r="E67" s="393"/>
      <c r="F67" s="212"/>
      <c r="G67" s="212"/>
      <c r="H67" s="212"/>
      <c r="I67" s="212"/>
      <c r="J67" s="212"/>
      <c r="K67" s="212"/>
      <c r="L67" s="212"/>
      <c r="M67" s="390">
        <f>+O15</f>
        <v>300</v>
      </c>
      <c r="N67" s="411">
        <f>+Q15</f>
        <v>300</v>
      </c>
      <c r="O67" s="386">
        <f t="shared" si="5"/>
        <v>0</v>
      </c>
      <c r="P67" s="392" t="str">
        <f t="shared" si="6"/>
        <v/>
      </c>
      <c r="Q67" s="385"/>
      <c r="R67" s="572"/>
      <c r="S67" s="386"/>
      <c r="T67" s="23"/>
      <c r="U67" s="25"/>
      <c r="V67" s="25"/>
    </row>
    <row r="68" spans="1:22" x14ac:dyDescent="0.2">
      <c r="A68" s="795">
        <v>5247</v>
      </c>
      <c r="B68" s="387" t="s">
        <v>1047</v>
      </c>
      <c r="C68" s="391"/>
      <c r="D68" s="391">
        <v>0</v>
      </c>
      <c r="E68" s="383"/>
      <c r="F68" s="212"/>
      <c r="G68" s="212"/>
      <c r="H68" s="212"/>
      <c r="I68" s="212"/>
      <c r="J68" s="212"/>
      <c r="K68" s="212"/>
      <c r="L68" s="212"/>
      <c r="M68" s="384">
        <f t="shared" ref="M68:M77" si="7">+O20</f>
        <v>10190</v>
      </c>
      <c r="N68" s="411">
        <f t="shared" ref="N68:N77" si="8">+Q20</f>
        <v>13573</v>
      </c>
      <c r="O68" s="386">
        <f t="shared" si="5"/>
        <v>3383</v>
      </c>
      <c r="P68" s="392">
        <f t="shared" si="6"/>
        <v>0.33200000000000002</v>
      </c>
      <c r="Q68" s="385" t="s">
        <v>2362</v>
      </c>
      <c r="R68" s="572"/>
      <c r="S68" s="386"/>
      <c r="T68" s="23"/>
      <c r="U68" s="25"/>
      <c r="V68" s="25"/>
    </row>
    <row r="69" spans="1:22" x14ac:dyDescent="0.2">
      <c r="A69" s="795">
        <v>5248</v>
      </c>
      <c r="B69" s="387" t="s">
        <v>905</v>
      </c>
      <c r="C69" s="391">
        <v>800</v>
      </c>
      <c r="D69" s="391">
        <v>0</v>
      </c>
      <c r="E69" s="391"/>
      <c r="F69" s="212"/>
      <c r="G69" s="212"/>
      <c r="H69" s="212"/>
      <c r="I69" s="212"/>
      <c r="J69" s="212"/>
      <c r="K69" s="212"/>
      <c r="L69" s="212"/>
      <c r="M69" s="384">
        <f t="shared" si="7"/>
        <v>500</v>
      </c>
      <c r="N69" s="411">
        <f t="shared" si="8"/>
        <v>500</v>
      </c>
      <c r="O69" s="386">
        <f t="shared" si="5"/>
        <v>0</v>
      </c>
      <c r="P69" s="392" t="str">
        <f t="shared" si="6"/>
        <v/>
      </c>
      <c r="Q69" s="385"/>
      <c r="R69" s="572"/>
      <c r="S69" s="386"/>
      <c r="T69" s="23"/>
      <c r="U69" s="25"/>
      <c r="V69" s="25"/>
    </row>
    <row r="70" spans="1:22" x14ac:dyDescent="0.2">
      <c r="A70" s="795">
        <v>5279</v>
      </c>
      <c r="B70" s="387" t="s">
        <v>829</v>
      </c>
      <c r="C70" s="391">
        <v>950</v>
      </c>
      <c r="D70" s="391">
        <v>175</v>
      </c>
      <c r="E70" s="391"/>
      <c r="F70" s="212"/>
      <c r="G70" s="212"/>
      <c r="H70" s="212"/>
      <c r="I70" s="212"/>
      <c r="J70" s="212"/>
      <c r="K70" s="212"/>
      <c r="L70" s="212"/>
      <c r="M70" s="384">
        <f t="shared" si="7"/>
        <v>0</v>
      </c>
      <c r="N70" s="411">
        <f t="shared" si="8"/>
        <v>0</v>
      </c>
      <c r="O70" s="386">
        <f t="shared" si="5"/>
        <v>0</v>
      </c>
      <c r="P70" s="392" t="str">
        <f t="shared" si="6"/>
        <v/>
      </c>
      <c r="Q70" s="385"/>
      <c r="R70" s="572"/>
      <c r="S70" s="386"/>
      <c r="T70" s="23"/>
      <c r="U70" s="25"/>
      <c r="V70" s="25"/>
    </row>
    <row r="71" spans="1:22" x14ac:dyDescent="0.2">
      <c r="A71" s="795">
        <v>5305</v>
      </c>
      <c r="B71" s="387" t="s">
        <v>895</v>
      </c>
      <c r="C71" s="391">
        <f>2221.2+3364.97</f>
        <v>5586.17</v>
      </c>
      <c r="D71" s="391">
        <v>4208.42</v>
      </c>
      <c r="E71" s="391"/>
      <c r="F71" s="212"/>
      <c r="G71" s="212"/>
      <c r="H71" s="212"/>
      <c r="I71" s="212"/>
      <c r="J71" s="212"/>
      <c r="K71" s="212"/>
      <c r="L71" s="212"/>
      <c r="M71" s="384">
        <f t="shared" si="7"/>
        <v>7000</v>
      </c>
      <c r="N71" s="411">
        <f t="shared" si="8"/>
        <v>9000</v>
      </c>
      <c r="O71" s="386">
        <f t="shared" si="5"/>
        <v>2000</v>
      </c>
      <c r="P71" s="392">
        <f t="shared" si="6"/>
        <v>0.28570000000000001</v>
      </c>
      <c r="Q71" s="385" t="s">
        <v>2290</v>
      </c>
      <c r="R71" s="572"/>
      <c r="S71" s="386"/>
      <c r="T71" s="23"/>
      <c r="U71" s="25"/>
      <c r="V71" s="25"/>
    </row>
    <row r="72" spans="1:22" x14ac:dyDescent="0.2">
      <c r="A72" s="795">
        <v>5314</v>
      </c>
      <c r="B72" s="387" t="s">
        <v>860</v>
      </c>
      <c r="C72" s="391"/>
      <c r="D72" s="391">
        <v>88</v>
      </c>
      <c r="E72" s="391"/>
      <c r="F72" s="212"/>
      <c r="G72" s="212"/>
      <c r="H72" s="212"/>
      <c r="I72" s="212"/>
      <c r="J72" s="212"/>
      <c r="K72" s="212"/>
      <c r="L72" s="212"/>
      <c r="M72" s="384">
        <f t="shared" si="7"/>
        <v>300</v>
      </c>
      <c r="N72" s="411">
        <f t="shared" si="8"/>
        <v>300</v>
      </c>
      <c r="O72" s="386">
        <f t="shared" si="5"/>
        <v>0</v>
      </c>
      <c r="P72" s="392" t="str">
        <f t="shared" si="6"/>
        <v/>
      </c>
      <c r="Q72" s="385"/>
      <c r="R72" s="572"/>
      <c r="S72" s="386"/>
      <c r="T72" s="23"/>
      <c r="U72" s="25"/>
      <c r="V72" s="25"/>
    </row>
    <row r="73" spans="1:22" x14ac:dyDescent="0.2">
      <c r="A73" s="795">
        <v>5315</v>
      </c>
      <c r="B73" s="387" t="s">
        <v>947</v>
      </c>
      <c r="C73" s="391"/>
      <c r="D73" s="391"/>
      <c r="E73" s="391"/>
      <c r="F73" s="212"/>
      <c r="G73" s="212"/>
      <c r="H73" s="212"/>
      <c r="I73" s="212"/>
      <c r="J73" s="212"/>
      <c r="K73" s="212"/>
      <c r="L73" s="212"/>
      <c r="M73" s="384">
        <f t="shared" si="7"/>
        <v>6700</v>
      </c>
      <c r="N73" s="411">
        <f t="shared" si="8"/>
        <v>6700</v>
      </c>
      <c r="O73" s="386">
        <f t="shared" si="5"/>
        <v>0</v>
      </c>
      <c r="P73" s="392" t="str">
        <f t="shared" si="6"/>
        <v/>
      </c>
      <c r="Q73" s="385" t="s">
        <v>2291</v>
      </c>
      <c r="R73" s="572"/>
      <c r="S73" s="386"/>
      <c r="T73" s="23"/>
      <c r="U73" s="25"/>
      <c r="V73" s="25"/>
    </row>
    <row r="74" spans="1:22" hidden="1" x14ac:dyDescent="0.2">
      <c r="A74" s="795">
        <v>5341</v>
      </c>
      <c r="B74" s="387" t="s">
        <v>862</v>
      </c>
      <c r="C74" s="391">
        <v>244.76</v>
      </c>
      <c r="D74" s="391">
        <v>223.51</v>
      </c>
      <c r="E74" s="391"/>
      <c r="F74" s="212"/>
      <c r="G74" s="212"/>
      <c r="H74" s="212"/>
      <c r="I74" s="212"/>
      <c r="J74" s="212"/>
      <c r="K74" s="212"/>
      <c r="L74" s="212"/>
      <c r="M74" s="384">
        <f t="shared" si="7"/>
        <v>0</v>
      </c>
      <c r="N74" s="411">
        <f t="shared" si="8"/>
        <v>0</v>
      </c>
      <c r="O74" s="386">
        <f t="shared" si="5"/>
        <v>0</v>
      </c>
      <c r="P74" s="392" t="str">
        <f t="shared" si="6"/>
        <v/>
      </c>
      <c r="Q74" s="385"/>
      <c r="R74" s="572"/>
      <c r="S74" s="386"/>
      <c r="T74" s="23"/>
      <c r="U74" s="25"/>
      <c r="V74" s="25"/>
    </row>
    <row r="75" spans="1:22" x14ac:dyDescent="0.2">
      <c r="A75" s="795">
        <v>5344</v>
      </c>
      <c r="B75" s="387" t="s">
        <v>832</v>
      </c>
      <c r="C75" s="391">
        <v>3108.8</v>
      </c>
      <c r="D75" s="391">
        <v>1606.46</v>
      </c>
      <c r="E75" s="391"/>
      <c r="F75" s="212"/>
      <c r="G75" s="212"/>
      <c r="H75" s="212"/>
      <c r="I75" s="212"/>
      <c r="J75" s="212"/>
      <c r="K75" s="212"/>
      <c r="L75" s="212"/>
      <c r="M75" s="384">
        <f t="shared" si="7"/>
        <v>5850</v>
      </c>
      <c r="N75" s="411">
        <f t="shared" si="8"/>
        <v>7400</v>
      </c>
      <c r="O75" s="386">
        <f t="shared" si="5"/>
        <v>1550</v>
      </c>
      <c r="P75" s="392">
        <f t="shared" si="6"/>
        <v>0.26500000000000001</v>
      </c>
      <c r="Q75" s="385" t="s">
        <v>2363</v>
      </c>
      <c r="R75" s="572"/>
      <c r="S75" s="386"/>
      <c r="T75" s="23"/>
      <c r="U75" s="25"/>
      <c r="V75" s="25"/>
    </row>
    <row r="76" spans="1:22" x14ac:dyDescent="0.2">
      <c r="A76" s="795">
        <v>5345</v>
      </c>
      <c r="B76" s="387" t="s">
        <v>863</v>
      </c>
      <c r="C76" s="383"/>
      <c r="D76" s="383"/>
      <c r="E76" s="383"/>
      <c r="F76" s="212"/>
      <c r="G76" s="212"/>
      <c r="H76" s="212"/>
      <c r="I76" s="212"/>
      <c r="J76" s="212"/>
      <c r="K76" s="212"/>
      <c r="L76" s="212"/>
      <c r="M76" s="384">
        <f t="shared" si="7"/>
        <v>100</v>
      </c>
      <c r="N76" s="411">
        <f t="shared" si="8"/>
        <v>100</v>
      </c>
      <c r="O76" s="386">
        <f t="shared" si="5"/>
        <v>0</v>
      </c>
      <c r="P76" s="392"/>
      <c r="Q76" s="385"/>
      <c r="R76" s="572"/>
      <c r="S76" s="386"/>
      <c r="T76" s="23"/>
      <c r="U76" s="25"/>
      <c r="V76" s="25"/>
    </row>
    <row r="77" spans="1:22" x14ac:dyDescent="0.2">
      <c r="A77" s="795">
        <v>5420</v>
      </c>
      <c r="B77" s="387" t="s">
        <v>864</v>
      </c>
      <c r="C77" s="383">
        <v>1490.81</v>
      </c>
      <c r="D77" s="383">
        <v>1184.98</v>
      </c>
      <c r="E77" s="383"/>
      <c r="F77" s="212"/>
      <c r="G77" s="212"/>
      <c r="H77" s="212"/>
      <c r="I77" s="212"/>
      <c r="J77" s="212"/>
      <c r="K77" s="212"/>
      <c r="L77" s="212"/>
      <c r="M77" s="384">
        <f t="shared" si="7"/>
        <v>5500</v>
      </c>
      <c r="N77" s="411">
        <f t="shared" si="8"/>
        <v>5800</v>
      </c>
      <c r="O77" s="386">
        <f t="shared" si="5"/>
        <v>300</v>
      </c>
      <c r="P77" s="392">
        <f t="shared" ref="P77:P83" si="9">IF(M77+N77&lt;&gt;0,IF(M77&lt;&gt;0,IF(O77&lt;&gt;0,ROUND((+O77/M77),4),""),1),"")</f>
        <v>5.45E-2</v>
      </c>
      <c r="Q77" s="385" t="s">
        <v>2364</v>
      </c>
      <c r="R77" s="572"/>
      <c r="S77" s="386"/>
      <c r="T77" s="23"/>
      <c r="U77" s="25"/>
      <c r="V77" s="25"/>
    </row>
    <row r="78" spans="1:22" x14ac:dyDescent="0.2">
      <c r="A78" s="795">
        <v>5430</v>
      </c>
      <c r="B78" s="387" t="s">
        <v>1048</v>
      </c>
      <c r="C78" s="383"/>
      <c r="D78" s="383"/>
      <c r="E78" s="383"/>
      <c r="F78" s="212"/>
      <c r="G78" s="212"/>
      <c r="H78" s="212"/>
      <c r="I78" s="212"/>
      <c r="J78" s="212"/>
      <c r="K78" s="212"/>
      <c r="L78" s="212"/>
      <c r="M78" s="384">
        <f t="shared" ref="M78:M83" si="10">+O30</f>
        <v>1300</v>
      </c>
      <c r="N78" s="411">
        <f t="shared" ref="N78:N83" si="11">+Q30</f>
        <v>900</v>
      </c>
      <c r="O78" s="386">
        <f t="shared" si="5"/>
        <v>-400</v>
      </c>
      <c r="P78" s="392">
        <f t="shared" si="9"/>
        <v>-0.30769999999999997</v>
      </c>
      <c r="Q78" s="385"/>
      <c r="R78" s="572"/>
      <c r="S78" s="386"/>
      <c r="T78" s="23"/>
      <c r="U78" s="25"/>
      <c r="V78" s="25"/>
    </row>
    <row r="79" spans="1:22" x14ac:dyDescent="0.2">
      <c r="A79" s="795">
        <v>5581</v>
      </c>
      <c r="B79" s="387" t="s">
        <v>866</v>
      </c>
      <c r="C79" s="383"/>
      <c r="D79" s="383">
        <v>88.4</v>
      </c>
      <c r="E79" s="383"/>
      <c r="F79" s="212"/>
      <c r="G79" s="212"/>
      <c r="H79" s="212"/>
      <c r="I79" s="212"/>
      <c r="J79" s="212"/>
      <c r="K79" s="212"/>
      <c r="L79" s="212"/>
      <c r="M79" s="384">
        <f t="shared" si="10"/>
        <v>275</v>
      </c>
      <c r="N79" s="411">
        <f t="shared" si="11"/>
        <v>275</v>
      </c>
      <c r="O79" s="386">
        <f t="shared" si="5"/>
        <v>0</v>
      </c>
      <c r="P79" s="392" t="str">
        <f t="shared" si="9"/>
        <v/>
      </c>
      <c r="Q79" s="385"/>
      <c r="R79" s="572"/>
      <c r="S79" s="386"/>
      <c r="T79" s="23"/>
      <c r="U79" s="4"/>
      <c r="V79" s="4"/>
    </row>
    <row r="80" spans="1:22" x14ac:dyDescent="0.2">
      <c r="A80" s="795">
        <v>5599</v>
      </c>
      <c r="B80" s="387" t="s">
        <v>1049</v>
      </c>
      <c r="C80" s="383"/>
      <c r="D80" s="383">
        <v>1700</v>
      </c>
      <c r="E80" s="383"/>
      <c r="F80" s="212"/>
      <c r="G80" s="212"/>
      <c r="H80" s="212"/>
      <c r="I80" s="212"/>
      <c r="J80" s="212"/>
      <c r="K80" s="212"/>
      <c r="L80" s="212"/>
      <c r="M80" s="384">
        <f t="shared" si="10"/>
        <v>0</v>
      </c>
      <c r="N80" s="411">
        <f t="shared" si="11"/>
        <v>4250</v>
      </c>
      <c r="O80" s="386">
        <f t="shared" si="5"/>
        <v>4250</v>
      </c>
      <c r="P80" s="392">
        <f t="shared" si="9"/>
        <v>1</v>
      </c>
      <c r="Q80" s="385" t="s">
        <v>2448</v>
      </c>
      <c r="R80" s="572"/>
      <c r="S80" s="386"/>
      <c r="T80" s="23"/>
      <c r="U80" s="4"/>
      <c r="V80" s="4"/>
    </row>
    <row r="81" spans="1:22" x14ac:dyDescent="0.2">
      <c r="A81" s="795">
        <v>5710</v>
      </c>
      <c r="B81" s="387" t="s">
        <v>869</v>
      </c>
      <c r="C81" s="383">
        <v>663.46</v>
      </c>
      <c r="D81" s="383">
        <v>859.2</v>
      </c>
      <c r="E81" s="383"/>
      <c r="F81" s="212"/>
      <c r="G81" s="212"/>
      <c r="H81" s="212"/>
      <c r="I81" s="212"/>
      <c r="J81" s="212"/>
      <c r="K81" s="212"/>
      <c r="L81" s="212"/>
      <c r="M81" s="384">
        <f t="shared" si="10"/>
        <v>2000</v>
      </c>
      <c r="N81" s="411">
        <f t="shared" si="11"/>
        <v>2000</v>
      </c>
      <c r="O81" s="386">
        <f t="shared" si="5"/>
        <v>0</v>
      </c>
      <c r="P81" s="392" t="str">
        <f t="shared" si="9"/>
        <v/>
      </c>
      <c r="Q81" s="385"/>
      <c r="R81" s="572"/>
      <c r="S81" s="386"/>
      <c r="T81" s="23"/>
      <c r="U81" s="4"/>
      <c r="V81" s="4"/>
    </row>
    <row r="82" spans="1:22" x14ac:dyDescent="0.2">
      <c r="A82" s="795">
        <v>5730</v>
      </c>
      <c r="B82" s="387" t="s">
        <v>870</v>
      </c>
      <c r="C82" s="391">
        <v>110</v>
      </c>
      <c r="D82" s="391">
        <v>110</v>
      </c>
      <c r="E82" s="391"/>
      <c r="F82" s="212"/>
      <c r="G82" s="212"/>
      <c r="H82" s="212"/>
      <c r="I82" s="212"/>
      <c r="J82" s="212"/>
      <c r="K82" s="212"/>
      <c r="L82" s="212"/>
      <c r="M82" s="384">
        <f t="shared" si="10"/>
        <v>110</v>
      </c>
      <c r="N82" s="411">
        <f t="shared" si="11"/>
        <v>110</v>
      </c>
      <c r="O82" s="386">
        <f t="shared" si="5"/>
        <v>0</v>
      </c>
      <c r="P82" s="392" t="str">
        <f t="shared" si="9"/>
        <v/>
      </c>
      <c r="Q82" s="385"/>
      <c r="R82" s="572"/>
      <c r="S82" s="386"/>
      <c r="T82" s="23"/>
      <c r="U82" s="4"/>
      <c r="V82" s="4"/>
    </row>
    <row r="83" spans="1:22" ht="13.5" thickBot="1" x14ac:dyDescent="0.25">
      <c r="A83" s="795">
        <v>5740</v>
      </c>
      <c r="B83" s="387" t="s">
        <v>984</v>
      </c>
      <c r="C83" s="389">
        <v>200</v>
      </c>
      <c r="D83" s="389">
        <v>200</v>
      </c>
      <c r="E83" s="389"/>
      <c r="F83" s="212"/>
      <c r="G83" s="212"/>
      <c r="H83" s="212"/>
      <c r="I83" s="212"/>
      <c r="J83" s="212"/>
      <c r="K83" s="212"/>
      <c r="L83" s="212"/>
      <c r="M83" s="384">
        <f t="shared" si="10"/>
        <v>200</v>
      </c>
      <c r="N83" s="411">
        <f t="shared" si="11"/>
        <v>200</v>
      </c>
      <c r="O83" s="386">
        <f t="shared" si="5"/>
        <v>0</v>
      </c>
      <c r="P83" s="392" t="str">
        <f t="shared" si="9"/>
        <v/>
      </c>
      <c r="Q83" s="385"/>
      <c r="R83" s="572"/>
      <c r="S83" s="386"/>
      <c r="T83" s="23"/>
      <c r="U83" s="4"/>
      <c r="V83" s="4"/>
    </row>
    <row r="84" spans="1:22" x14ac:dyDescent="0.2">
      <c r="A84" s="774"/>
      <c r="B84" s="4"/>
      <c r="C84" s="23"/>
      <c r="D84" s="23"/>
      <c r="E84" s="23"/>
      <c r="F84" s="23"/>
      <c r="G84" s="23"/>
      <c r="H84" s="212"/>
      <c r="I84" s="212"/>
      <c r="J84" s="212"/>
      <c r="K84" s="212"/>
      <c r="L84" s="212"/>
      <c r="M84" s="23"/>
      <c r="N84" s="23"/>
      <c r="O84" s="23"/>
      <c r="P84" s="4"/>
      <c r="Q84" s="23"/>
      <c r="R84" s="23"/>
      <c r="S84" s="23"/>
      <c r="T84" s="23"/>
      <c r="U84" s="4"/>
      <c r="V84" s="4"/>
    </row>
    <row r="85" spans="1:22" x14ac:dyDescent="0.2">
      <c r="A85" s="774"/>
      <c r="B85" s="4" t="s">
        <v>846</v>
      </c>
      <c r="C85" s="23"/>
      <c r="D85" s="23"/>
      <c r="E85" s="23"/>
      <c r="F85" s="23"/>
      <c r="G85" s="23"/>
      <c r="H85" s="212"/>
      <c r="I85" s="212"/>
      <c r="J85" s="212"/>
      <c r="K85" s="212"/>
      <c r="L85" s="212"/>
      <c r="M85" s="616">
        <f>SUM(M62:M83)</f>
        <v>195844</v>
      </c>
      <c r="N85" s="616">
        <f>SUM(N62:N83)</f>
        <v>243041</v>
      </c>
      <c r="O85" s="25">
        <f>+N85-M85</f>
        <v>47197</v>
      </c>
      <c r="P85" s="617">
        <f>IF(M85+N85&lt;&gt;0,IF(M85&lt;&gt;0,IF(O85&lt;&gt;0,ROUND((+O85/M85),4),""),1),"")</f>
        <v>0.24099999999999999</v>
      </c>
      <c r="Q85" s="23"/>
      <c r="R85" s="23"/>
      <c r="S85" s="23"/>
      <c r="T85" s="23"/>
      <c r="U85" s="4"/>
      <c r="V85" s="4"/>
    </row>
    <row r="86" spans="1:22" x14ac:dyDescent="0.2">
      <c r="A86" s="774"/>
      <c r="B86" s="4"/>
      <c r="C86" s="23"/>
      <c r="D86" s="23"/>
      <c r="E86" s="23"/>
      <c r="F86" s="23"/>
      <c r="G86" s="23"/>
      <c r="H86" s="23"/>
      <c r="I86" s="23"/>
      <c r="J86" s="23"/>
      <c r="K86" s="23"/>
      <c r="L86" s="23"/>
      <c r="M86" s="23"/>
      <c r="N86" s="23"/>
      <c r="O86" s="23"/>
      <c r="P86" s="4"/>
      <c r="Q86" s="23"/>
      <c r="R86" s="23"/>
      <c r="S86" s="23"/>
      <c r="T86" s="23"/>
      <c r="U86" s="4"/>
      <c r="V86" s="4"/>
    </row>
    <row r="87" spans="1:22" x14ac:dyDescent="0.2">
      <c r="A87" s="774"/>
      <c r="B87" s="4"/>
      <c r="C87" s="23"/>
      <c r="D87" s="23"/>
      <c r="E87" s="23"/>
      <c r="F87" s="23"/>
      <c r="G87" s="23"/>
      <c r="H87" s="23"/>
      <c r="I87" s="23"/>
      <c r="J87" s="23"/>
      <c r="K87" s="23"/>
      <c r="L87" s="23"/>
      <c r="M87" s="23"/>
      <c r="N87" s="23"/>
      <c r="O87" s="23"/>
      <c r="P87" s="4"/>
      <c r="Q87" s="23"/>
      <c r="R87" s="23"/>
      <c r="S87" s="23"/>
      <c r="T87" s="23"/>
      <c r="U87" s="4"/>
      <c r="V87" s="4"/>
    </row>
    <row r="88" spans="1:22" x14ac:dyDescent="0.2">
      <c r="A88" s="774"/>
      <c r="B88" s="4"/>
      <c r="C88" s="23"/>
      <c r="D88" s="23"/>
      <c r="E88" s="23"/>
      <c r="F88" s="23"/>
      <c r="G88" s="23"/>
      <c r="H88" s="23"/>
      <c r="I88" s="23"/>
      <c r="J88" s="23"/>
      <c r="K88" s="23"/>
      <c r="L88" s="23"/>
      <c r="M88" s="23"/>
      <c r="N88" s="23"/>
      <c r="O88" s="23"/>
      <c r="P88" s="4"/>
      <c r="Q88" s="23"/>
      <c r="R88" s="23"/>
      <c r="S88" s="23"/>
      <c r="T88" s="23"/>
      <c r="U88" s="4"/>
      <c r="V88" s="4"/>
    </row>
    <row r="89" spans="1:22" x14ac:dyDescent="0.2">
      <c r="A89" s="774"/>
      <c r="B89" s="4"/>
      <c r="C89" s="23"/>
      <c r="D89" s="23"/>
      <c r="E89" s="23"/>
      <c r="F89" s="23"/>
      <c r="G89" s="23"/>
      <c r="H89" s="23"/>
      <c r="I89" s="23"/>
      <c r="J89" s="23"/>
      <c r="K89" s="23"/>
      <c r="L89" s="23"/>
      <c r="M89" s="23"/>
      <c r="N89" s="23"/>
      <c r="O89" s="23"/>
      <c r="P89" s="4"/>
      <c r="Q89" s="23"/>
      <c r="R89" s="23"/>
      <c r="S89" s="23"/>
      <c r="T89" s="23"/>
      <c r="U89" s="4"/>
      <c r="V89" s="4"/>
    </row>
    <row r="90" spans="1:22" x14ac:dyDescent="0.2">
      <c r="A90" s="774"/>
      <c r="B90" s="4"/>
      <c r="C90" s="23"/>
      <c r="D90" s="23"/>
      <c r="E90" s="23"/>
      <c r="F90" s="23"/>
      <c r="G90" s="23"/>
      <c r="H90" s="23"/>
      <c r="I90" s="23"/>
      <c r="J90" s="23"/>
      <c r="K90" s="23"/>
      <c r="L90" s="23"/>
      <c r="M90" s="23"/>
      <c r="N90" s="23"/>
      <c r="O90" s="23"/>
      <c r="P90" s="4"/>
      <c r="Q90" s="23"/>
      <c r="R90" s="23"/>
      <c r="S90" s="23"/>
      <c r="T90" s="23"/>
      <c r="U90" s="4"/>
      <c r="V90" s="4"/>
    </row>
    <row r="91" spans="1:22" x14ac:dyDescent="0.2">
      <c r="A91" s="774"/>
      <c r="B91" s="4"/>
      <c r="C91" s="23"/>
      <c r="D91" s="23"/>
      <c r="E91" s="23"/>
      <c r="F91" s="23"/>
      <c r="G91" s="23"/>
      <c r="H91" s="23"/>
      <c r="I91" s="23"/>
      <c r="J91" s="23"/>
      <c r="K91" s="23"/>
      <c r="L91" s="23"/>
      <c r="M91" s="23"/>
      <c r="N91" s="23"/>
      <c r="O91" s="23"/>
      <c r="P91" s="4"/>
      <c r="Q91" s="23"/>
      <c r="R91" s="23"/>
      <c r="S91" s="23"/>
      <c r="T91" s="23"/>
      <c r="U91" s="4"/>
      <c r="V91" s="4"/>
    </row>
    <row r="92" spans="1:22" x14ac:dyDescent="0.2">
      <c r="A92" s="774"/>
      <c r="B92" s="4"/>
      <c r="C92" s="23"/>
      <c r="D92" s="23"/>
      <c r="E92" s="23"/>
      <c r="F92" s="23"/>
      <c r="G92" s="23"/>
      <c r="H92" s="23"/>
      <c r="I92" s="23"/>
      <c r="J92" s="23"/>
      <c r="K92" s="23"/>
      <c r="L92" s="23"/>
      <c r="M92" s="23"/>
      <c r="N92" s="23"/>
      <c r="O92" s="23"/>
      <c r="P92" s="4"/>
      <c r="Q92" s="23"/>
      <c r="R92" s="23"/>
      <c r="S92" s="23"/>
      <c r="T92" s="23"/>
      <c r="U92" s="4"/>
      <c r="V92" s="4"/>
    </row>
    <row r="93" spans="1:22" x14ac:dyDescent="0.2">
      <c r="A93" s="774"/>
      <c r="B93" s="4"/>
      <c r="C93" s="23"/>
      <c r="D93" s="23"/>
      <c r="E93" s="23"/>
      <c r="F93" s="23"/>
      <c r="G93" s="23"/>
      <c r="H93" s="23"/>
      <c r="I93" s="23"/>
      <c r="J93" s="23"/>
      <c r="K93" s="23"/>
      <c r="L93" s="23"/>
      <c r="M93" s="23"/>
      <c r="N93" s="23"/>
      <c r="O93" s="23"/>
      <c r="P93" s="4"/>
      <c r="Q93" s="23"/>
      <c r="R93" s="23"/>
      <c r="S93" s="23"/>
      <c r="T93" s="23"/>
      <c r="U93" s="4"/>
      <c r="V93" s="4"/>
    </row>
    <row r="94" spans="1:22" x14ac:dyDescent="0.2">
      <c r="A94" s="774"/>
      <c r="B94" s="4"/>
      <c r="C94" s="23"/>
      <c r="D94" s="23"/>
      <c r="E94" s="23"/>
      <c r="F94" s="23"/>
      <c r="G94" s="23"/>
      <c r="H94" s="23"/>
      <c r="I94" s="23"/>
      <c r="J94" s="23"/>
      <c r="K94" s="23"/>
      <c r="L94" s="23"/>
      <c r="M94" s="23"/>
      <c r="N94" s="23"/>
      <c r="O94" s="23"/>
      <c r="P94" s="4"/>
      <c r="Q94" s="23"/>
      <c r="R94" s="23"/>
      <c r="S94" s="23"/>
      <c r="T94" s="23"/>
      <c r="U94" s="4"/>
      <c r="V94" s="4"/>
    </row>
    <row r="95" spans="1:22" x14ac:dyDescent="0.2">
      <c r="A95" s="774"/>
      <c r="B95" s="4"/>
      <c r="C95" s="23"/>
      <c r="D95" s="23"/>
      <c r="E95" s="23"/>
      <c r="F95" s="23"/>
      <c r="G95" s="23"/>
      <c r="H95" s="23"/>
      <c r="I95" s="23"/>
      <c r="J95" s="23"/>
      <c r="K95" s="23"/>
      <c r="L95" s="23"/>
      <c r="M95" s="23"/>
      <c r="N95" s="23"/>
      <c r="O95" s="23"/>
      <c r="P95" s="4"/>
      <c r="Q95" s="23"/>
      <c r="R95" s="23"/>
      <c r="S95" s="23"/>
      <c r="T95" s="23"/>
      <c r="U95" s="4"/>
      <c r="V95" s="4"/>
    </row>
    <row r="96" spans="1:22" x14ac:dyDescent="0.2">
      <c r="A96" s="774"/>
      <c r="B96" s="4"/>
      <c r="C96" s="23"/>
      <c r="D96" s="23"/>
      <c r="E96" s="23"/>
      <c r="F96" s="23"/>
      <c r="G96" s="23"/>
      <c r="H96" s="23"/>
      <c r="I96" s="23"/>
      <c r="J96" s="23"/>
      <c r="K96" s="23"/>
      <c r="L96" s="23"/>
      <c r="M96" s="23"/>
      <c r="N96" s="23"/>
      <c r="O96" s="23"/>
      <c r="P96" s="4"/>
      <c r="Q96" s="23"/>
      <c r="R96" s="23"/>
      <c r="S96" s="23"/>
      <c r="T96" s="23"/>
      <c r="U96" s="4"/>
      <c r="V96" s="4"/>
    </row>
    <row r="97" spans="1:22" x14ac:dyDescent="0.2">
      <c r="A97" s="774"/>
      <c r="B97" s="4"/>
      <c r="C97" s="23"/>
      <c r="D97" s="23"/>
      <c r="E97" s="23"/>
      <c r="F97" s="23"/>
      <c r="G97" s="23"/>
      <c r="H97" s="23"/>
      <c r="I97" s="23"/>
      <c r="J97" s="23"/>
      <c r="K97" s="23"/>
      <c r="L97" s="23"/>
      <c r="M97" s="23"/>
      <c r="N97" s="23"/>
      <c r="O97" s="23"/>
      <c r="P97" s="4"/>
      <c r="Q97" s="23"/>
      <c r="R97" s="23"/>
      <c r="S97" s="23"/>
      <c r="T97" s="23"/>
      <c r="U97" s="4"/>
      <c r="V97" s="4"/>
    </row>
    <row r="98" spans="1:22" x14ac:dyDescent="0.2">
      <c r="A98" s="774"/>
      <c r="B98" s="4"/>
      <c r="C98" s="23"/>
      <c r="D98" s="23"/>
      <c r="E98" s="23"/>
      <c r="F98" s="23"/>
      <c r="G98" s="23"/>
      <c r="H98" s="23"/>
      <c r="I98" s="23"/>
      <c r="J98" s="23"/>
      <c r="K98" s="23"/>
      <c r="L98" s="23"/>
      <c r="M98" s="23"/>
      <c r="N98" s="23"/>
      <c r="O98" s="23"/>
      <c r="P98" s="4"/>
      <c r="Q98" s="23"/>
      <c r="R98" s="23"/>
      <c r="S98" s="23"/>
      <c r="T98" s="23"/>
      <c r="U98" s="4"/>
      <c r="V98" s="4"/>
    </row>
    <row r="99" spans="1:22" x14ac:dyDescent="0.2">
      <c r="A99" s="774"/>
      <c r="B99" s="4"/>
      <c r="C99" s="23"/>
      <c r="D99" s="23"/>
      <c r="E99" s="23"/>
      <c r="F99" s="23"/>
      <c r="G99" s="23"/>
      <c r="H99" s="23"/>
      <c r="I99" s="23"/>
      <c r="J99" s="23"/>
      <c r="K99" s="23"/>
      <c r="L99" s="23"/>
      <c r="M99" s="23"/>
      <c r="N99" s="23"/>
      <c r="O99" s="23"/>
      <c r="P99" s="4"/>
      <c r="Q99" s="23"/>
      <c r="R99" s="23"/>
      <c r="S99" s="23"/>
      <c r="T99" s="23"/>
      <c r="U99" s="4"/>
      <c r="V99" s="4"/>
    </row>
    <row r="100" spans="1:22" x14ac:dyDescent="0.2">
      <c r="A100" s="774"/>
      <c r="B100" s="4"/>
      <c r="C100" s="23"/>
      <c r="D100" s="23"/>
      <c r="E100" s="23"/>
      <c r="F100" s="23"/>
      <c r="G100" s="23"/>
      <c r="H100" s="23"/>
      <c r="I100" s="23"/>
      <c r="J100" s="23"/>
      <c r="K100" s="23"/>
      <c r="L100" s="23"/>
      <c r="M100" s="23"/>
      <c r="N100" s="23"/>
      <c r="O100" s="23"/>
      <c r="P100" s="4"/>
      <c r="Q100" s="23"/>
      <c r="R100" s="23"/>
      <c r="S100" s="23"/>
      <c r="T100" s="23"/>
      <c r="U100" s="4"/>
      <c r="V100" s="4"/>
    </row>
    <row r="101" spans="1:22" x14ac:dyDescent="0.2">
      <c r="A101" s="774"/>
      <c r="B101" s="4"/>
      <c r="C101" s="23"/>
      <c r="D101" s="23"/>
      <c r="E101" s="23"/>
      <c r="F101" s="23"/>
      <c r="G101" s="23"/>
      <c r="H101" s="23"/>
      <c r="I101" s="23"/>
      <c r="J101" s="23"/>
      <c r="K101" s="23"/>
      <c r="L101" s="23"/>
      <c r="M101" s="23"/>
      <c r="N101" s="23"/>
      <c r="O101" s="23"/>
      <c r="P101" s="4"/>
      <c r="Q101" s="23"/>
      <c r="R101" s="23"/>
      <c r="S101" s="23"/>
      <c r="T101" s="23"/>
      <c r="U101" s="4"/>
      <c r="V101" s="4"/>
    </row>
    <row r="102" spans="1:22" x14ac:dyDescent="0.2">
      <c r="A102" s="774"/>
      <c r="B102" s="4"/>
      <c r="C102" s="23"/>
      <c r="D102" s="23"/>
      <c r="E102" s="23"/>
      <c r="F102" s="23"/>
      <c r="G102" s="23"/>
      <c r="H102" s="23"/>
      <c r="I102" s="23"/>
      <c r="J102" s="23"/>
      <c r="K102" s="23"/>
      <c r="L102" s="23"/>
      <c r="M102" s="23"/>
      <c r="N102" s="23"/>
      <c r="O102" s="23"/>
      <c r="P102" s="4"/>
      <c r="Q102" s="23"/>
      <c r="R102" s="23"/>
      <c r="S102" s="23"/>
      <c r="T102" s="23"/>
      <c r="U102" s="4"/>
      <c r="V102" s="4"/>
    </row>
    <row r="103" spans="1:22" x14ac:dyDescent="0.2">
      <c r="A103" s="774"/>
      <c r="B103" s="4"/>
      <c r="C103" s="23"/>
      <c r="D103" s="23"/>
      <c r="E103" s="23"/>
      <c r="F103" s="23"/>
      <c r="G103" s="23"/>
      <c r="H103" s="23"/>
      <c r="I103" s="23"/>
      <c r="J103" s="23"/>
      <c r="K103" s="23"/>
      <c r="L103" s="23"/>
      <c r="M103" s="23"/>
      <c r="N103" s="23"/>
      <c r="O103" s="23"/>
      <c r="P103" s="4"/>
      <c r="Q103" s="23"/>
      <c r="R103" s="23"/>
      <c r="S103" s="23"/>
      <c r="T103" s="23"/>
      <c r="U103" s="4"/>
      <c r="V103" s="4"/>
    </row>
    <row r="104" spans="1:22" x14ac:dyDescent="0.2">
      <c r="A104" s="774"/>
      <c r="B104" s="4"/>
      <c r="C104" s="23"/>
      <c r="D104" s="23"/>
      <c r="E104" s="23"/>
      <c r="F104" s="23"/>
      <c r="G104" s="23"/>
      <c r="H104" s="23"/>
      <c r="I104" s="23"/>
      <c r="J104" s="23"/>
      <c r="K104" s="23"/>
      <c r="L104" s="23"/>
      <c r="M104" s="23"/>
      <c r="N104" s="23"/>
      <c r="O104" s="23"/>
      <c r="P104" s="4"/>
      <c r="Q104" s="23"/>
      <c r="R104" s="23"/>
      <c r="S104" s="23"/>
      <c r="T104" s="23"/>
      <c r="U104" s="4"/>
      <c r="V104" s="4"/>
    </row>
    <row r="105" spans="1:22" x14ac:dyDescent="0.2">
      <c r="A105" s="774"/>
      <c r="B105" s="4"/>
      <c r="C105" s="23"/>
      <c r="D105" s="23"/>
      <c r="E105" s="23"/>
      <c r="F105" s="23"/>
      <c r="G105" s="23"/>
      <c r="H105" s="23"/>
      <c r="I105" s="23"/>
      <c r="J105" s="23"/>
      <c r="K105" s="23"/>
      <c r="L105" s="23"/>
      <c r="M105" s="23"/>
      <c r="N105" s="23"/>
      <c r="O105" s="23"/>
      <c r="P105" s="4"/>
      <c r="Q105" s="23"/>
      <c r="R105" s="23"/>
      <c r="S105" s="23"/>
      <c r="T105" s="23"/>
      <c r="U105" s="4"/>
      <c r="V105" s="4"/>
    </row>
    <row r="106" spans="1:22" x14ac:dyDescent="0.2">
      <c r="A106" s="774"/>
      <c r="B106" s="4"/>
      <c r="C106" s="23"/>
      <c r="D106" s="23"/>
      <c r="E106" s="23"/>
      <c r="F106" s="23"/>
      <c r="G106" s="23"/>
      <c r="H106" s="23"/>
      <c r="I106" s="23"/>
      <c r="J106" s="23"/>
      <c r="K106" s="23"/>
      <c r="L106" s="23"/>
      <c r="M106" s="23"/>
      <c r="N106" s="23"/>
      <c r="O106" s="23"/>
      <c r="P106" s="4"/>
      <c r="Q106" s="23"/>
      <c r="R106" s="23"/>
      <c r="S106" s="23"/>
      <c r="T106" s="23"/>
      <c r="U106" s="4"/>
      <c r="V106" s="4"/>
    </row>
    <row r="107" spans="1:22" x14ac:dyDescent="0.2">
      <c r="A107" s="774"/>
      <c r="B107" s="4"/>
      <c r="C107" s="23"/>
      <c r="D107" s="23"/>
      <c r="E107" s="23"/>
      <c r="F107" s="23"/>
      <c r="G107" s="23"/>
      <c r="H107" s="23"/>
      <c r="I107" s="23"/>
      <c r="J107" s="23"/>
      <c r="K107" s="23"/>
      <c r="L107" s="23"/>
      <c r="M107" s="23"/>
      <c r="N107" s="23"/>
      <c r="O107" s="23"/>
      <c r="P107" s="4"/>
      <c r="Q107" s="23"/>
      <c r="R107" s="23"/>
      <c r="S107" s="23"/>
      <c r="T107" s="23"/>
      <c r="U107" s="4"/>
      <c r="V107" s="4"/>
    </row>
    <row r="108" spans="1:22" x14ac:dyDescent="0.2">
      <c r="A108" s="774"/>
      <c r="B108" s="4"/>
      <c r="C108" s="23"/>
      <c r="D108" s="23"/>
      <c r="E108" s="23"/>
      <c r="F108" s="23"/>
      <c r="G108" s="23"/>
      <c r="H108" s="23"/>
      <c r="I108" s="23"/>
      <c r="J108" s="23"/>
      <c r="K108" s="23"/>
      <c r="L108" s="23"/>
      <c r="M108" s="23"/>
      <c r="N108" s="23"/>
      <c r="O108" s="23"/>
      <c r="P108" s="4"/>
      <c r="Q108" s="23"/>
      <c r="R108" s="23"/>
      <c r="S108" s="23"/>
      <c r="T108" s="23"/>
      <c r="U108" s="4"/>
      <c r="V108" s="4"/>
    </row>
    <row r="109" spans="1:22" x14ac:dyDescent="0.2">
      <c r="A109" s="774"/>
      <c r="B109" s="4"/>
      <c r="C109" s="23"/>
      <c r="D109" s="23"/>
      <c r="E109" s="23"/>
      <c r="F109" s="23"/>
      <c r="G109" s="23"/>
      <c r="H109" s="23"/>
      <c r="I109" s="23"/>
      <c r="J109" s="23"/>
      <c r="K109" s="23"/>
      <c r="L109" s="23"/>
      <c r="M109" s="23"/>
      <c r="N109" s="23"/>
      <c r="O109" s="23"/>
      <c r="P109" s="4"/>
      <c r="Q109" s="23"/>
      <c r="R109" s="23"/>
      <c r="S109" s="23"/>
      <c r="T109" s="23"/>
      <c r="U109" s="4"/>
      <c r="V109" s="4"/>
    </row>
    <row r="110" spans="1:22" x14ac:dyDescent="0.2">
      <c r="A110" s="774"/>
      <c r="B110" s="4"/>
      <c r="C110" s="23"/>
      <c r="D110" s="23"/>
      <c r="E110" s="23"/>
      <c r="F110" s="23"/>
      <c r="G110" s="23"/>
      <c r="H110" s="23"/>
      <c r="I110" s="23"/>
      <c r="J110" s="23"/>
      <c r="K110" s="23"/>
      <c r="L110" s="23"/>
      <c r="M110" s="23"/>
      <c r="N110" s="23"/>
      <c r="O110" s="23"/>
      <c r="P110" s="4"/>
      <c r="Q110" s="23"/>
      <c r="R110" s="23"/>
      <c r="S110" s="23"/>
      <c r="T110" s="23"/>
      <c r="U110" s="4"/>
      <c r="V110" s="4"/>
    </row>
    <row r="111" spans="1:22" x14ac:dyDescent="0.2">
      <c r="A111" s="774"/>
      <c r="B111" s="4"/>
      <c r="C111" s="23"/>
      <c r="D111" s="23"/>
      <c r="E111" s="23"/>
      <c r="F111" s="23"/>
      <c r="G111" s="23"/>
      <c r="H111" s="23"/>
      <c r="I111" s="23"/>
      <c r="J111" s="23"/>
      <c r="K111" s="23"/>
      <c r="L111" s="23"/>
      <c r="M111" s="23"/>
      <c r="N111" s="23"/>
      <c r="O111" s="23"/>
      <c r="P111" s="4"/>
      <c r="Q111" s="23"/>
      <c r="R111" s="23"/>
      <c r="S111" s="23"/>
      <c r="T111" s="23"/>
      <c r="U111" s="4"/>
      <c r="V111" s="4"/>
    </row>
    <row r="112" spans="1:22" x14ac:dyDescent="0.2">
      <c r="A112" s="774"/>
      <c r="B112" s="4"/>
      <c r="C112" s="23"/>
      <c r="D112" s="23"/>
      <c r="E112" s="23"/>
      <c r="F112" s="23"/>
      <c r="G112" s="23"/>
      <c r="H112" s="23"/>
      <c r="I112" s="23"/>
      <c r="J112" s="23"/>
      <c r="K112" s="23"/>
      <c r="L112" s="23"/>
      <c r="M112" s="23"/>
      <c r="N112" s="23"/>
      <c r="O112" s="23"/>
      <c r="P112" s="4"/>
      <c r="Q112" s="23"/>
      <c r="R112" s="23"/>
      <c r="S112" s="23"/>
      <c r="T112" s="23"/>
      <c r="U112" s="4"/>
      <c r="V112" s="4"/>
    </row>
    <row r="113" spans="1:22" x14ac:dyDescent="0.2">
      <c r="A113" s="774"/>
      <c r="B113" s="4"/>
      <c r="C113" s="23"/>
      <c r="D113" s="23"/>
      <c r="E113" s="23"/>
      <c r="F113" s="23"/>
      <c r="G113" s="23"/>
      <c r="H113" s="23"/>
      <c r="I113" s="23"/>
      <c r="J113" s="23"/>
      <c r="K113" s="23"/>
      <c r="L113" s="23"/>
      <c r="M113" s="23"/>
      <c r="N113" s="23"/>
      <c r="O113" s="23"/>
      <c r="P113" s="4"/>
      <c r="Q113" s="23"/>
      <c r="R113" s="23"/>
      <c r="S113" s="23"/>
      <c r="T113" s="23"/>
      <c r="U113" s="4"/>
      <c r="V113" s="4"/>
    </row>
    <row r="114" spans="1:22" x14ac:dyDescent="0.2">
      <c r="A114" s="774"/>
      <c r="B114" s="4"/>
      <c r="C114" s="23"/>
      <c r="D114" s="23"/>
      <c r="E114" s="23"/>
      <c r="F114" s="23"/>
      <c r="G114" s="23"/>
      <c r="H114" s="23"/>
      <c r="I114" s="23"/>
      <c r="J114" s="23"/>
      <c r="K114" s="23"/>
      <c r="L114" s="23"/>
      <c r="M114" s="23"/>
      <c r="N114" s="23"/>
      <c r="O114" s="23"/>
      <c r="P114" s="4"/>
      <c r="Q114" s="23"/>
      <c r="R114" s="23"/>
      <c r="S114" s="23"/>
      <c r="T114" s="23"/>
      <c r="U114" s="4"/>
      <c r="V114" s="4"/>
    </row>
    <row r="115" spans="1:22" x14ac:dyDescent="0.2">
      <c r="A115" s="774"/>
      <c r="B115" s="4"/>
      <c r="C115" s="23"/>
      <c r="D115" s="23"/>
      <c r="E115" s="23"/>
      <c r="F115" s="23"/>
      <c r="G115" s="23"/>
      <c r="H115" s="23"/>
      <c r="I115" s="23"/>
      <c r="J115" s="23"/>
      <c r="K115" s="23"/>
      <c r="L115" s="23"/>
      <c r="M115" s="23"/>
      <c r="N115" s="23"/>
      <c r="O115" s="23"/>
      <c r="P115" s="4"/>
      <c r="Q115" s="23"/>
      <c r="R115" s="23"/>
      <c r="S115" s="23"/>
      <c r="T115" s="23"/>
      <c r="U115" s="4"/>
      <c r="V115" s="4"/>
    </row>
    <row r="116" spans="1:22" x14ac:dyDescent="0.2">
      <c r="A116" s="774"/>
      <c r="B116" s="4"/>
      <c r="C116" s="23"/>
      <c r="D116" s="23"/>
      <c r="E116" s="23"/>
      <c r="F116" s="23"/>
      <c r="G116" s="23"/>
      <c r="H116" s="23"/>
      <c r="I116" s="23"/>
      <c r="J116" s="23"/>
      <c r="K116" s="23"/>
      <c r="L116" s="23"/>
      <c r="M116" s="23"/>
      <c r="N116" s="23"/>
      <c r="O116" s="23"/>
      <c r="P116" s="4"/>
      <c r="Q116" s="23"/>
      <c r="R116" s="23"/>
      <c r="S116" s="23"/>
      <c r="T116" s="23"/>
      <c r="U116" s="4"/>
      <c r="V116" s="4"/>
    </row>
    <row r="117" spans="1:22" x14ac:dyDescent="0.2">
      <c r="A117" s="774"/>
      <c r="B117" s="4"/>
      <c r="C117" s="23"/>
      <c r="D117" s="23"/>
      <c r="E117" s="23"/>
      <c r="F117" s="23"/>
      <c r="G117" s="23"/>
      <c r="H117" s="23"/>
      <c r="I117" s="23"/>
      <c r="J117" s="23"/>
      <c r="K117" s="23"/>
      <c r="L117" s="23"/>
      <c r="M117" s="23"/>
      <c r="N117" s="23"/>
      <c r="O117" s="23"/>
      <c r="P117" s="4"/>
      <c r="Q117" s="23"/>
      <c r="R117" s="23"/>
      <c r="S117" s="23"/>
      <c r="T117" s="23"/>
      <c r="U117" s="4"/>
      <c r="V117" s="4"/>
    </row>
    <row r="118" spans="1:22" x14ac:dyDescent="0.2">
      <c r="A118" s="774"/>
      <c r="B118" s="4"/>
      <c r="C118" s="23"/>
      <c r="D118" s="23"/>
      <c r="E118" s="23"/>
      <c r="F118" s="23"/>
      <c r="G118" s="23"/>
      <c r="H118" s="23"/>
      <c r="I118" s="23"/>
      <c r="J118" s="23"/>
      <c r="K118" s="23"/>
      <c r="L118" s="23"/>
      <c r="M118" s="23"/>
      <c r="N118" s="23"/>
      <c r="O118" s="23"/>
      <c r="P118" s="4"/>
      <c r="Q118" s="23"/>
      <c r="R118" s="23"/>
      <c r="S118" s="23"/>
      <c r="T118" s="23"/>
      <c r="U118" s="4"/>
      <c r="V118" s="4"/>
    </row>
    <row r="119" spans="1:22" x14ac:dyDescent="0.2">
      <c r="A119" s="774"/>
      <c r="B119" s="4"/>
      <c r="C119" s="23"/>
      <c r="D119" s="23"/>
      <c r="E119" s="23"/>
      <c r="F119" s="23"/>
      <c r="G119" s="23"/>
      <c r="H119" s="23"/>
      <c r="I119" s="23"/>
      <c r="J119" s="23"/>
      <c r="K119" s="23"/>
      <c r="L119" s="23"/>
      <c r="M119" s="23"/>
      <c r="N119" s="23"/>
      <c r="O119" s="23"/>
      <c r="P119" s="4"/>
      <c r="Q119" s="23"/>
      <c r="R119" s="23"/>
      <c r="S119" s="23"/>
      <c r="T119" s="23"/>
      <c r="U119" s="4"/>
      <c r="V119" s="4"/>
    </row>
    <row r="120" spans="1:22" x14ac:dyDescent="0.2">
      <c r="A120" s="774"/>
      <c r="B120" s="4"/>
      <c r="C120" s="23"/>
      <c r="D120" s="23"/>
      <c r="E120" s="23"/>
      <c r="F120" s="23"/>
      <c r="G120" s="23"/>
      <c r="H120" s="23"/>
      <c r="I120" s="23"/>
      <c r="J120" s="23"/>
      <c r="K120" s="23"/>
      <c r="L120" s="23"/>
      <c r="M120" s="23"/>
      <c r="N120" s="23"/>
      <c r="O120" s="23"/>
      <c r="P120" s="4"/>
      <c r="Q120" s="23"/>
      <c r="R120" s="23"/>
      <c r="S120" s="23"/>
      <c r="T120" s="23"/>
      <c r="U120" s="4"/>
      <c r="V120" s="4"/>
    </row>
    <row r="121" spans="1:22" x14ac:dyDescent="0.2">
      <c r="A121" s="774"/>
      <c r="B121" s="4"/>
      <c r="C121" s="23"/>
      <c r="D121" s="23"/>
      <c r="E121" s="23"/>
      <c r="F121" s="23"/>
      <c r="G121" s="23"/>
      <c r="H121" s="23"/>
      <c r="I121" s="23"/>
      <c r="J121" s="23"/>
      <c r="K121" s="23"/>
      <c r="L121" s="23"/>
      <c r="M121" s="23"/>
      <c r="N121" s="23"/>
      <c r="O121" s="23"/>
      <c r="P121" s="4"/>
      <c r="Q121" s="23"/>
      <c r="R121" s="23"/>
      <c r="S121" s="23"/>
      <c r="T121" s="23"/>
      <c r="U121" s="4"/>
      <c r="V121" s="4"/>
    </row>
    <row r="122" spans="1:22" x14ac:dyDescent="0.2">
      <c r="A122" s="774"/>
      <c r="B122" s="4"/>
      <c r="C122" s="23"/>
      <c r="D122" s="23"/>
      <c r="E122" s="23"/>
      <c r="F122" s="23"/>
      <c r="G122" s="23"/>
      <c r="H122" s="23"/>
      <c r="I122" s="23"/>
      <c r="J122" s="23"/>
      <c r="K122" s="23"/>
      <c r="L122" s="23"/>
      <c r="M122" s="23"/>
      <c r="N122" s="23"/>
      <c r="O122" s="23"/>
      <c r="P122" s="4"/>
      <c r="Q122" s="23"/>
      <c r="R122" s="23"/>
      <c r="S122" s="23"/>
      <c r="T122" s="23"/>
      <c r="U122" s="4"/>
      <c r="V122" s="4"/>
    </row>
    <row r="123" spans="1:22" x14ac:dyDescent="0.2">
      <c r="A123" s="774"/>
      <c r="B123" s="4"/>
      <c r="C123" s="23"/>
      <c r="D123" s="23"/>
      <c r="E123" s="23"/>
      <c r="F123" s="23"/>
      <c r="G123" s="23"/>
      <c r="H123" s="23"/>
      <c r="I123" s="23"/>
      <c r="J123" s="23"/>
      <c r="K123" s="23"/>
      <c r="L123" s="23"/>
      <c r="M123" s="23"/>
      <c r="N123" s="23"/>
      <c r="O123" s="23"/>
      <c r="P123" s="4"/>
      <c r="Q123" s="23"/>
      <c r="R123" s="23"/>
      <c r="S123" s="23"/>
      <c r="T123" s="23"/>
      <c r="U123" s="4"/>
      <c r="V123" s="4"/>
    </row>
    <row r="124" spans="1:22" x14ac:dyDescent="0.2">
      <c r="A124" s="774"/>
      <c r="B124" s="4"/>
      <c r="C124" s="23"/>
      <c r="D124" s="23"/>
      <c r="E124" s="23"/>
      <c r="F124" s="23"/>
      <c r="G124" s="23"/>
      <c r="H124" s="23"/>
      <c r="I124" s="23"/>
      <c r="J124" s="23"/>
      <c r="K124" s="23"/>
      <c r="L124" s="23"/>
      <c r="M124" s="23"/>
      <c r="N124" s="23"/>
      <c r="O124" s="23"/>
      <c r="P124" s="4"/>
      <c r="Q124" s="23"/>
      <c r="R124" s="23"/>
      <c r="S124" s="23"/>
      <c r="T124" s="23"/>
      <c r="U124" s="4"/>
      <c r="V124" s="4"/>
    </row>
    <row r="125" spans="1:22" x14ac:dyDescent="0.2">
      <c r="A125" s="774"/>
      <c r="B125" s="4"/>
      <c r="C125" s="23"/>
      <c r="D125" s="23"/>
      <c r="E125" s="23"/>
      <c r="F125" s="23"/>
      <c r="G125" s="23"/>
      <c r="H125" s="23"/>
      <c r="I125" s="23"/>
      <c r="J125" s="23"/>
      <c r="K125" s="23"/>
      <c r="L125" s="23"/>
      <c r="M125" s="23"/>
      <c r="N125" s="23"/>
      <c r="O125" s="23"/>
      <c r="P125" s="4"/>
      <c r="Q125" s="23"/>
      <c r="R125" s="23"/>
      <c r="S125" s="23"/>
      <c r="T125" s="23"/>
      <c r="U125" s="4"/>
      <c r="V125" s="4"/>
    </row>
    <row r="126" spans="1:22" x14ac:dyDescent="0.2">
      <c r="A126" s="774"/>
      <c r="B126" s="4"/>
      <c r="C126" s="23"/>
      <c r="D126" s="23"/>
      <c r="E126" s="23"/>
      <c r="F126" s="23"/>
      <c r="G126" s="23"/>
      <c r="H126" s="23"/>
      <c r="I126" s="23"/>
      <c r="J126" s="23"/>
      <c r="K126" s="23"/>
      <c r="L126" s="23"/>
      <c r="M126" s="23"/>
      <c r="N126" s="23"/>
      <c r="O126" s="23"/>
      <c r="P126" s="4"/>
      <c r="Q126" s="23"/>
      <c r="R126" s="23"/>
      <c r="S126" s="23"/>
      <c r="T126" s="23"/>
      <c r="U126" s="4"/>
      <c r="V126" s="4"/>
    </row>
    <row r="127" spans="1:22" x14ac:dyDescent="0.2">
      <c r="A127" s="774"/>
      <c r="B127" s="4"/>
      <c r="C127" s="23"/>
      <c r="D127" s="23"/>
      <c r="E127" s="23"/>
      <c r="F127" s="23"/>
      <c r="G127" s="23"/>
      <c r="H127" s="23"/>
      <c r="I127" s="23"/>
      <c r="J127" s="23"/>
      <c r="K127" s="23"/>
      <c r="L127" s="23"/>
      <c r="M127" s="23"/>
      <c r="N127" s="23"/>
      <c r="O127" s="23"/>
      <c r="P127" s="4"/>
      <c r="Q127" s="23"/>
      <c r="R127" s="23"/>
      <c r="S127" s="23"/>
      <c r="T127" s="23"/>
      <c r="U127" s="4"/>
      <c r="V127" s="4"/>
    </row>
    <row r="128" spans="1:22" x14ac:dyDescent="0.2">
      <c r="A128" s="774"/>
      <c r="B128" s="4"/>
      <c r="C128" s="23"/>
      <c r="D128" s="23"/>
      <c r="E128" s="23"/>
      <c r="F128" s="23"/>
      <c r="G128" s="23"/>
      <c r="H128" s="23"/>
      <c r="I128" s="23"/>
      <c r="J128" s="23"/>
      <c r="K128" s="23"/>
      <c r="L128" s="23"/>
      <c r="M128" s="23"/>
      <c r="N128" s="23"/>
      <c r="O128" s="23"/>
      <c r="P128" s="4"/>
      <c r="Q128" s="23"/>
      <c r="R128" s="23"/>
      <c r="S128" s="23"/>
      <c r="T128" s="23"/>
      <c r="U128" s="4"/>
      <c r="V128" s="4"/>
    </row>
    <row r="129" spans="1:22" x14ac:dyDescent="0.2">
      <c r="A129" s="774"/>
      <c r="B129" s="4"/>
      <c r="C129" s="23"/>
      <c r="D129" s="23"/>
      <c r="E129" s="23"/>
      <c r="F129" s="23"/>
      <c r="G129" s="23"/>
      <c r="H129" s="23"/>
      <c r="I129" s="23"/>
      <c r="J129" s="23"/>
      <c r="K129" s="23"/>
      <c r="L129" s="23"/>
      <c r="M129" s="23"/>
      <c r="N129" s="23"/>
      <c r="O129" s="23"/>
      <c r="P129" s="4"/>
      <c r="Q129" s="23"/>
      <c r="R129" s="23"/>
      <c r="S129" s="23"/>
      <c r="T129" s="23"/>
      <c r="U129" s="4"/>
      <c r="V129" s="4"/>
    </row>
    <row r="130" spans="1:22" x14ac:dyDescent="0.2">
      <c r="A130" s="774"/>
      <c r="B130" s="4"/>
      <c r="C130" s="23"/>
      <c r="D130" s="23"/>
      <c r="E130" s="23"/>
      <c r="F130" s="23"/>
      <c r="G130" s="23"/>
      <c r="H130" s="23"/>
      <c r="I130" s="23"/>
      <c r="J130" s="23"/>
      <c r="K130" s="23"/>
      <c r="L130" s="23"/>
      <c r="M130" s="23"/>
      <c r="N130" s="23"/>
      <c r="O130" s="23"/>
      <c r="P130" s="4"/>
      <c r="Q130" s="23"/>
      <c r="R130" s="23"/>
      <c r="S130" s="23"/>
      <c r="T130" s="23"/>
      <c r="U130" s="4"/>
      <c r="V130" s="4"/>
    </row>
    <row r="131" spans="1:22" x14ac:dyDescent="0.2">
      <c r="A131" s="774"/>
      <c r="B131" s="4"/>
      <c r="C131" s="23"/>
      <c r="D131" s="23"/>
      <c r="E131" s="23"/>
      <c r="F131" s="23"/>
      <c r="G131" s="23"/>
      <c r="H131" s="23"/>
      <c r="I131" s="23"/>
      <c r="J131" s="23"/>
      <c r="K131" s="23"/>
      <c r="L131" s="23"/>
      <c r="M131" s="23"/>
      <c r="N131" s="23"/>
      <c r="O131" s="23"/>
      <c r="P131" s="4"/>
      <c r="Q131" s="23"/>
      <c r="R131" s="23"/>
      <c r="S131" s="23"/>
      <c r="T131" s="23"/>
      <c r="U131" s="4"/>
      <c r="V131" s="4"/>
    </row>
    <row r="132" spans="1:22" x14ac:dyDescent="0.2">
      <c r="A132" s="774"/>
      <c r="C132" s="212"/>
      <c r="D132" s="212"/>
      <c r="E132" s="212"/>
      <c r="F132" s="212"/>
      <c r="G132" s="212"/>
      <c r="H132" s="212"/>
      <c r="I132" s="212"/>
      <c r="J132" s="212"/>
      <c r="K132" s="212"/>
      <c r="L132" s="212"/>
      <c r="M132" s="212"/>
      <c r="N132" s="212"/>
      <c r="O132" s="212"/>
    </row>
    <row r="133" spans="1:22" x14ac:dyDescent="0.2">
      <c r="C133" s="212"/>
      <c r="D133" s="212"/>
      <c r="E133" s="212"/>
      <c r="F133" s="212"/>
      <c r="G133" s="212"/>
      <c r="H133" s="212"/>
      <c r="I133" s="212"/>
      <c r="J133" s="212"/>
      <c r="K133" s="212"/>
      <c r="L133" s="212"/>
      <c r="M133" s="212"/>
      <c r="N133" s="212"/>
      <c r="O133" s="212"/>
    </row>
    <row r="134" spans="1:22" x14ac:dyDescent="0.2">
      <c r="C134" s="212"/>
    </row>
    <row r="135" spans="1:22" x14ac:dyDescent="0.2">
      <c r="C135" s="212"/>
    </row>
    <row r="136" spans="1:22" x14ac:dyDescent="0.2">
      <c r="C136" s="212"/>
    </row>
    <row r="137" spans="1:22" x14ac:dyDescent="0.2">
      <c r="C137" s="212"/>
    </row>
    <row r="138" spans="1:22" x14ac:dyDescent="0.2">
      <c r="C138" s="212"/>
    </row>
    <row r="139" spans="1:22" x14ac:dyDescent="0.2">
      <c r="C139" s="212"/>
    </row>
    <row r="140" spans="1:22" x14ac:dyDescent="0.2">
      <c r="C140" s="212"/>
    </row>
    <row r="141" spans="1:22" x14ac:dyDescent="0.2">
      <c r="C141" s="212"/>
    </row>
    <row r="142" spans="1:22" x14ac:dyDescent="0.2">
      <c r="C142" s="212"/>
    </row>
    <row r="143" spans="1:22" x14ac:dyDescent="0.2">
      <c r="C143" s="212"/>
    </row>
    <row r="144" spans="1:22" x14ac:dyDescent="0.2">
      <c r="C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row r="160" spans="3:3" x14ac:dyDescent="0.2">
      <c r="C160" s="212"/>
    </row>
    <row r="161" spans="3:3" x14ac:dyDescent="0.2">
      <c r="C161" s="212"/>
    </row>
    <row r="162" spans="3:3" x14ac:dyDescent="0.2">
      <c r="C162" s="212"/>
    </row>
    <row r="163" spans="3:3" x14ac:dyDescent="0.2">
      <c r="C163" s="212"/>
    </row>
    <row r="164" spans="3:3" x14ac:dyDescent="0.2">
      <c r="C164" s="212"/>
    </row>
    <row r="165" spans="3:3" x14ac:dyDescent="0.2">
      <c r="C165" s="212"/>
    </row>
    <row r="166" spans="3:3" x14ac:dyDescent="0.2">
      <c r="C166" s="212"/>
    </row>
    <row r="167" spans="3:3" x14ac:dyDescent="0.2">
      <c r="C167" s="212"/>
    </row>
    <row r="168" spans="3:3" x14ac:dyDescent="0.2">
      <c r="C168" s="212"/>
    </row>
    <row r="169" spans="3:3" x14ac:dyDescent="0.2">
      <c r="C169" s="212"/>
    </row>
    <row r="170" spans="3:3" x14ac:dyDescent="0.2">
      <c r="C170" s="212"/>
    </row>
    <row r="171" spans="3:3" x14ac:dyDescent="0.2">
      <c r="C171" s="212"/>
    </row>
    <row r="172" spans="3:3" x14ac:dyDescent="0.2">
      <c r="C172" s="212"/>
    </row>
    <row r="173" spans="3:3" x14ac:dyDescent="0.2">
      <c r="C173" s="212"/>
    </row>
    <row r="174" spans="3:3" x14ac:dyDescent="0.2">
      <c r="C174" s="212"/>
    </row>
    <row r="175" spans="3:3" x14ac:dyDescent="0.2">
      <c r="C175" s="212"/>
    </row>
    <row r="176" spans="3:3" x14ac:dyDescent="0.2">
      <c r="C176" s="212"/>
    </row>
    <row r="177" spans="3:3" x14ac:dyDescent="0.2">
      <c r="C177" s="212"/>
    </row>
    <row r="178" spans="3:3" x14ac:dyDescent="0.2">
      <c r="C178" s="212"/>
    </row>
    <row r="179" spans="3:3" x14ac:dyDescent="0.2">
      <c r="C179" s="212"/>
    </row>
    <row r="180" spans="3:3" x14ac:dyDescent="0.2">
      <c r="C180" s="212"/>
    </row>
    <row r="181" spans="3:3" x14ac:dyDescent="0.2">
      <c r="C181" s="212"/>
    </row>
    <row r="182" spans="3:3" x14ac:dyDescent="0.2">
      <c r="C182" s="212"/>
    </row>
    <row r="183" spans="3:3" x14ac:dyDescent="0.2">
      <c r="C183" s="212"/>
    </row>
    <row r="184" spans="3:3" x14ac:dyDescent="0.2">
      <c r="C184" s="212"/>
    </row>
    <row r="185" spans="3:3" x14ac:dyDescent="0.2">
      <c r="C185" s="212"/>
    </row>
  </sheetData>
  <phoneticPr fontId="0" type="noConversion"/>
  <hyperlinks>
    <hyperlink ref="A1" location="'Working Budget with funding det'!A1" display="Main " xr:uid="{00000000-0004-0000-1400-000000000000}"/>
    <hyperlink ref="B1" location="'Table of Contents'!A1" display="TOC" xr:uid="{00000000-0004-0000-1400-000001000000}"/>
  </hyperlinks>
  <pageMargins left="0.75" right="0.75" top="1" bottom="1" header="0.5" footer="0.5"/>
  <pageSetup scale="90" fitToHeight="2" orientation="landscape" r:id="rId1"/>
  <headerFooter alignWithMargins="0">
    <oddFooter>&amp;L&amp;D     &amp;T&amp;C&amp;F&amp;R&amp;A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X163"/>
  <sheetViews>
    <sheetView zoomScaleNormal="100" workbookViewId="0">
      <pane ySplit="7" topLeftCell="A9" activePane="bottomLeft" state="frozen"/>
      <selection activeCell="P15" sqref="P15"/>
      <selection pane="bottomLeft" activeCell="P15" sqref="P15"/>
    </sheetView>
  </sheetViews>
  <sheetFormatPr defaultRowHeight="12.75" x14ac:dyDescent="0.2"/>
  <cols>
    <col min="1" max="1" width="11.83203125" style="783" customWidth="1"/>
    <col min="2" max="2" width="36.6640625" customWidth="1"/>
    <col min="3" max="3" width="14.5" style="1" hidden="1" customWidth="1"/>
    <col min="4" max="12" width="14.5" style="106" hidden="1" customWidth="1"/>
    <col min="13" max="15" width="14.5" style="106" customWidth="1"/>
    <col min="16" max="16" width="14.5" customWidth="1"/>
    <col min="17" max="20" width="14.5" style="1" customWidth="1"/>
    <col min="21" max="23" width="14.5" customWidth="1"/>
    <col min="24" max="24" width="14.6640625" style="2" customWidth="1"/>
  </cols>
  <sheetData>
    <row r="1" spans="1:23" x14ac:dyDescent="0.2">
      <c r="A1" s="772" t="s">
        <v>847</v>
      </c>
      <c r="B1" s="308" t="s">
        <v>197</v>
      </c>
      <c r="D1" s="212"/>
      <c r="E1" s="212"/>
      <c r="F1" s="212"/>
      <c r="G1" s="212"/>
      <c r="H1" s="212"/>
      <c r="I1" s="212"/>
      <c r="J1" s="212"/>
      <c r="K1" s="212"/>
      <c r="L1" s="212"/>
      <c r="M1" s="212"/>
      <c r="N1" s="212"/>
      <c r="O1" s="212"/>
      <c r="T1"/>
    </row>
    <row r="2" spans="1:23" ht="15" x14ac:dyDescent="0.25">
      <c r="A2" s="773" t="s">
        <v>815</v>
      </c>
      <c r="B2" s="43"/>
      <c r="D2" s="212"/>
      <c r="E2" s="126"/>
      <c r="F2" s="212"/>
      <c r="G2" s="212"/>
      <c r="H2" s="212"/>
      <c r="I2" s="126" t="s">
        <v>816</v>
      </c>
      <c r="J2" s="126"/>
      <c r="K2" s="126"/>
      <c r="L2" s="126"/>
      <c r="M2" s="126"/>
      <c r="N2" s="126"/>
      <c r="O2" s="126"/>
      <c r="P2" s="58" t="s">
        <v>1056</v>
      </c>
      <c r="S2" s="44" t="s">
        <v>1057</v>
      </c>
    </row>
    <row r="3" spans="1:23" ht="13.5" thickBot="1" x14ac:dyDescent="0.25">
      <c r="A3" s="774"/>
      <c r="B3" s="4"/>
      <c r="C3" s="23"/>
      <c r="D3" s="23"/>
      <c r="E3" s="23"/>
      <c r="F3" s="23"/>
      <c r="G3" s="23"/>
      <c r="H3" s="23"/>
      <c r="I3" s="23"/>
      <c r="J3" s="23"/>
      <c r="K3" s="23"/>
      <c r="L3" s="23"/>
      <c r="M3" s="23"/>
      <c r="N3" s="23"/>
      <c r="O3" s="23"/>
      <c r="P3" s="4"/>
      <c r="Q3" s="23"/>
      <c r="R3" s="23"/>
      <c r="S3" s="4"/>
      <c r="T3" s="4"/>
      <c r="W3" s="4"/>
    </row>
    <row r="4" spans="1:23"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3"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3" x14ac:dyDescent="0.2">
      <c r="A6" s="776"/>
      <c r="B6" s="202"/>
      <c r="C6" s="113"/>
      <c r="D6" s="113"/>
      <c r="E6" s="113"/>
      <c r="F6" s="113"/>
      <c r="G6" s="113"/>
      <c r="H6" s="113"/>
      <c r="I6" s="83"/>
      <c r="J6" s="83"/>
      <c r="K6" s="83"/>
      <c r="L6" s="83"/>
      <c r="M6" s="83"/>
      <c r="N6" s="83"/>
      <c r="O6" s="83"/>
      <c r="P6" s="113"/>
      <c r="Q6" s="83" t="s">
        <v>823</v>
      </c>
      <c r="R6" s="83" t="s">
        <v>585</v>
      </c>
      <c r="S6" s="45" t="s">
        <v>824</v>
      </c>
    </row>
    <row r="7" spans="1:23"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3" ht="13.5" thickTop="1" x14ac:dyDescent="0.2">
      <c r="A8" s="778"/>
      <c r="B8" s="157"/>
      <c r="C8" s="115"/>
      <c r="D8" s="268"/>
      <c r="E8" s="268"/>
      <c r="F8" s="268"/>
      <c r="G8" s="268"/>
      <c r="H8" s="268"/>
      <c r="I8" s="268"/>
      <c r="J8" s="268"/>
      <c r="K8" s="146"/>
      <c r="L8" s="146"/>
      <c r="M8" s="146"/>
      <c r="N8" s="146"/>
      <c r="O8" s="146"/>
      <c r="P8" s="59"/>
      <c r="Q8" s="10"/>
      <c r="R8" s="10"/>
      <c r="S8" s="10"/>
    </row>
    <row r="9" spans="1:23" x14ac:dyDescent="0.2">
      <c r="A9" s="779">
        <v>5111</v>
      </c>
      <c r="B9" s="60" t="s">
        <v>849</v>
      </c>
      <c r="C9" s="116">
        <v>47211.5</v>
      </c>
      <c r="D9" s="28">
        <v>54648</v>
      </c>
      <c r="E9" s="28">
        <v>56574</v>
      </c>
      <c r="F9" s="28">
        <v>58569</v>
      </c>
      <c r="G9" s="28">
        <v>60633</v>
      </c>
      <c r="H9" s="28">
        <v>63080</v>
      </c>
      <c r="I9" s="28">
        <v>65951</v>
      </c>
      <c r="J9" s="28">
        <v>67944</v>
      </c>
      <c r="K9" s="29">
        <v>113037</v>
      </c>
      <c r="L9" s="28">
        <v>110763.68</v>
      </c>
      <c r="M9" s="29">
        <v>114971</v>
      </c>
      <c r="N9" s="28">
        <v>114970.93</v>
      </c>
      <c r="O9" s="29">
        <v>117307</v>
      </c>
      <c r="P9" s="28">
        <v>40479.57</v>
      </c>
      <c r="Q9" s="29">
        <f>ROUND((+P38+P39),0)</f>
        <v>124979</v>
      </c>
      <c r="R9" s="29"/>
      <c r="S9" s="29"/>
    </row>
    <row r="10" spans="1:23" x14ac:dyDescent="0.2">
      <c r="A10" s="779">
        <v>5113</v>
      </c>
      <c r="B10" s="60" t="s">
        <v>850</v>
      </c>
      <c r="C10" s="116">
        <v>12608.24</v>
      </c>
      <c r="D10" s="13">
        <v>14529.42</v>
      </c>
      <c r="E10" s="13">
        <v>15036.46</v>
      </c>
      <c r="F10" s="13">
        <v>15806.8</v>
      </c>
      <c r="G10" s="13">
        <v>15361.4</v>
      </c>
      <c r="H10" s="13">
        <v>16774.490000000002</v>
      </c>
      <c r="I10" s="13">
        <v>42298.21</v>
      </c>
      <c r="J10" s="13">
        <v>39466.89</v>
      </c>
      <c r="K10" s="14">
        <v>0</v>
      </c>
      <c r="L10" s="13"/>
      <c r="M10" s="14"/>
      <c r="N10" s="13"/>
      <c r="O10" s="14"/>
      <c r="P10" s="13"/>
      <c r="Q10" s="14"/>
      <c r="R10" s="14"/>
      <c r="S10" s="14"/>
    </row>
    <row r="11" spans="1:23" ht="13.5" thickBot="1" x14ac:dyDescent="0.25">
      <c r="A11" s="779">
        <v>5144</v>
      </c>
      <c r="B11" s="60" t="s">
        <v>27</v>
      </c>
      <c r="C11" s="117"/>
      <c r="D11" s="15"/>
      <c r="E11" s="15"/>
      <c r="F11" s="15"/>
      <c r="G11" s="15">
        <v>450</v>
      </c>
      <c r="H11" s="15">
        <v>450</v>
      </c>
      <c r="I11" s="15">
        <v>450</v>
      </c>
      <c r="J11" s="15">
        <v>500</v>
      </c>
      <c r="K11" s="14">
        <v>500</v>
      </c>
      <c r="L11" s="13">
        <v>500</v>
      </c>
      <c r="M11" s="14">
        <v>500</v>
      </c>
      <c r="N11" s="13">
        <v>500</v>
      </c>
      <c r="O11" s="14">
        <v>500</v>
      </c>
      <c r="P11" s="13"/>
      <c r="Q11" s="14">
        <f>+T40</f>
        <v>300</v>
      </c>
      <c r="R11" s="14"/>
      <c r="S11" s="14"/>
    </row>
    <row r="12" spans="1:23" ht="13.5" thickBot="1" x14ac:dyDescent="0.25">
      <c r="A12" s="779">
        <v>5145</v>
      </c>
      <c r="B12" s="60" t="s">
        <v>855</v>
      </c>
      <c r="C12" s="591"/>
      <c r="D12" s="28"/>
      <c r="E12" s="28"/>
      <c r="F12" s="28"/>
      <c r="G12" s="28"/>
      <c r="H12" s="28"/>
      <c r="I12" s="28"/>
      <c r="J12" s="28"/>
      <c r="K12" s="942"/>
      <c r="L12" s="943"/>
      <c r="M12" s="942"/>
      <c r="N12" s="943">
        <v>190.41</v>
      </c>
      <c r="O12" s="942">
        <v>300</v>
      </c>
      <c r="P12" s="943">
        <v>75.010000000000005</v>
      </c>
      <c r="Q12" s="942">
        <v>300</v>
      </c>
      <c r="R12" s="942"/>
      <c r="S12" s="942"/>
    </row>
    <row r="13" spans="1:23" ht="13.5" thickTop="1" x14ac:dyDescent="0.2">
      <c r="A13" s="779"/>
      <c r="B13" s="61" t="s">
        <v>828</v>
      </c>
      <c r="C13" s="118">
        <f t="shared" ref="C13:S13" si="0">SUM(C9:C11)</f>
        <v>59819.74</v>
      </c>
      <c r="D13" s="18">
        <f t="shared" si="0"/>
        <v>69177.42</v>
      </c>
      <c r="E13" s="18">
        <f t="shared" si="0"/>
        <v>71610.459999999992</v>
      </c>
      <c r="F13" s="18">
        <f t="shared" si="0"/>
        <v>74375.8</v>
      </c>
      <c r="G13" s="18">
        <f t="shared" si="0"/>
        <v>76444.399999999994</v>
      </c>
      <c r="H13" s="18">
        <f t="shared" si="0"/>
        <v>80304.490000000005</v>
      </c>
      <c r="I13" s="18">
        <f t="shared" si="0"/>
        <v>108699.20999999999</v>
      </c>
      <c r="J13" s="18">
        <f t="shared" si="0"/>
        <v>107910.89</v>
      </c>
      <c r="K13" s="19">
        <f>SUM(K9:K11)</f>
        <v>113537</v>
      </c>
      <c r="L13" s="18">
        <f t="shared" ref="L13:M13" si="1">SUM(L9:L11)</f>
        <v>111263.67999999999</v>
      </c>
      <c r="M13" s="19">
        <f t="shared" si="1"/>
        <v>115471</v>
      </c>
      <c r="N13" s="18">
        <f>SUM(N9:N12)</f>
        <v>115661.34</v>
      </c>
      <c r="O13" s="19">
        <f>SUM(O9:O12)</f>
        <v>118107</v>
      </c>
      <c r="P13" s="18">
        <f>SUM(P9:P12)</f>
        <v>40554.58</v>
      </c>
      <c r="Q13" s="19">
        <f>SUM(Q9:Q12)</f>
        <v>125579</v>
      </c>
      <c r="R13" s="19"/>
      <c r="S13" s="19">
        <f t="shared" si="0"/>
        <v>0</v>
      </c>
    </row>
    <row r="14" spans="1:23" x14ac:dyDescent="0.2">
      <c r="A14" s="779"/>
      <c r="B14" s="60"/>
      <c r="C14" s="116"/>
      <c r="D14" s="13"/>
      <c r="E14" s="13"/>
      <c r="F14" s="13"/>
      <c r="G14" s="13"/>
      <c r="H14" s="13"/>
      <c r="I14" s="13"/>
      <c r="J14" s="13"/>
      <c r="K14" s="14"/>
      <c r="L14" s="13"/>
      <c r="M14" s="14"/>
      <c r="N14" s="13"/>
      <c r="O14" s="14"/>
      <c r="P14" s="13"/>
      <c r="Q14" s="14"/>
      <c r="R14" s="14"/>
      <c r="S14" s="14"/>
    </row>
    <row r="15" spans="1:23" hidden="1" x14ac:dyDescent="0.2">
      <c r="A15" s="779">
        <v>5247</v>
      </c>
      <c r="B15" s="60" t="s">
        <v>1058</v>
      </c>
      <c r="C15" s="116">
        <v>400</v>
      </c>
      <c r="D15" s="13">
        <v>0</v>
      </c>
      <c r="E15" s="13"/>
      <c r="F15" s="13"/>
      <c r="G15" s="13"/>
      <c r="H15" s="13"/>
      <c r="I15" s="13"/>
      <c r="J15" s="13"/>
      <c r="K15" s="14"/>
      <c r="L15" s="13"/>
      <c r="M15" s="14"/>
      <c r="N15" s="13"/>
      <c r="O15" s="14"/>
      <c r="P15" s="13"/>
      <c r="Q15" s="14"/>
      <c r="R15" s="14"/>
      <c r="S15" s="14"/>
    </row>
    <row r="16" spans="1:23" hidden="1" x14ac:dyDescent="0.2">
      <c r="A16" s="779">
        <v>5300</v>
      </c>
      <c r="B16" s="60" t="s">
        <v>1059</v>
      </c>
      <c r="C16" s="116"/>
      <c r="D16" s="13"/>
      <c r="E16" s="13"/>
      <c r="F16" s="13"/>
      <c r="G16" s="13">
        <v>4500</v>
      </c>
      <c r="H16" s="13">
        <v>4000</v>
      </c>
      <c r="I16" s="13">
        <v>0</v>
      </c>
      <c r="J16" s="13">
        <v>3400</v>
      </c>
      <c r="K16" s="14"/>
      <c r="L16" s="13"/>
      <c r="M16" s="14"/>
      <c r="N16" s="13"/>
      <c r="O16" s="14"/>
      <c r="P16" s="13"/>
      <c r="Q16" s="14"/>
      <c r="R16" s="14"/>
      <c r="S16" s="14"/>
    </row>
    <row r="17" spans="1:19" x14ac:dyDescent="0.2">
      <c r="A17" s="779">
        <v>5314</v>
      </c>
      <c r="B17" s="60" t="s">
        <v>860</v>
      </c>
      <c r="C17" s="116">
        <v>465</v>
      </c>
      <c r="D17" s="13">
        <v>190</v>
      </c>
      <c r="E17" s="13">
        <v>299</v>
      </c>
      <c r="F17" s="13">
        <v>155</v>
      </c>
      <c r="G17" s="13">
        <v>350</v>
      </c>
      <c r="H17" s="13">
        <v>405.24</v>
      </c>
      <c r="I17" s="13">
        <v>572.36</v>
      </c>
      <c r="J17" s="13">
        <v>1125</v>
      </c>
      <c r="K17" s="14">
        <v>1000</v>
      </c>
      <c r="L17" s="13">
        <v>610</v>
      </c>
      <c r="M17" s="14">
        <v>1000</v>
      </c>
      <c r="N17" s="13">
        <v>122.85</v>
      </c>
      <c r="O17" s="14">
        <v>3550</v>
      </c>
      <c r="P17" s="13">
        <v>2550</v>
      </c>
      <c r="Q17" s="14">
        <v>1500</v>
      </c>
      <c r="R17" s="14"/>
      <c r="S17" s="14"/>
    </row>
    <row r="18" spans="1:19" hidden="1" x14ac:dyDescent="0.2">
      <c r="A18" s="779">
        <v>5341</v>
      </c>
      <c r="B18" s="60" t="s">
        <v>862</v>
      </c>
      <c r="C18" s="116">
        <v>218.95</v>
      </c>
      <c r="D18" s="13">
        <v>207.97</v>
      </c>
      <c r="E18" s="13">
        <v>210.96</v>
      </c>
      <c r="F18" s="13">
        <v>215.83</v>
      </c>
      <c r="G18" s="13">
        <v>247.42</v>
      </c>
      <c r="H18" s="13"/>
      <c r="I18" s="13"/>
      <c r="J18" s="13"/>
      <c r="K18" s="14"/>
      <c r="L18" s="13"/>
      <c r="M18" s="14"/>
      <c r="N18" s="13"/>
      <c r="O18" s="14"/>
      <c r="P18" s="13"/>
      <c r="Q18" s="14"/>
      <c r="R18" s="14"/>
      <c r="S18" s="14"/>
    </row>
    <row r="19" spans="1:19" x14ac:dyDescent="0.2">
      <c r="A19" s="779">
        <v>5320</v>
      </c>
      <c r="B19" s="60" t="s">
        <v>867</v>
      </c>
      <c r="C19" s="116"/>
      <c r="D19" s="13"/>
      <c r="E19" s="13"/>
      <c r="F19" s="13"/>
      <c r="G19" s="13"/>
      <c r="H19" s="13"/>
      <c r="I19" s="13"/>
      <c r="J19" s="13"/>
      <c r="K19" s="14"/>
      <c r="L19" s="13"/>
      <c r="M19" s="14"/>
      <c r="N19" s="13"/>
      <c r="O19" s="14"/>
      <c r="P19" s="13">
        <v>37.18</v>
      </c>
      <c r="Q19" s="14"/>
      <c r="R19" s="14"/>
      <c r="S19" s="14"/>
    </row>
    <row r="20" spans="1:19" x14ac:dyDescent="0.2">
      <c r="A20" s="779">
        <v>5344</v>
      </c>
      <c r="B20" s="60" t="s">
        <v>832</v>
      </c>
      <c r="C20" s="116">
        <v>324.27999999999997</v>
      </c>
      <c r="D20" s="13">
        <v>435.35</v>
      </c>
      <c r="E20" s="13">
        <v>425.43</v>
      </c>
      <c r="F20" s="13">
        <v>462.37</v>
      </c>
      <c r="G20" s="13">
        <v>280.69</v>
      </c>
      <c r="H20" s="13">
        <v>195.02</v>
      </c>
      <c r="I20" s="13">
        <v>278.26</v>
      </c>
      <c r="J20" s="13">
        <v>89.45</v>
      </c>
      <c r="K20" s="14">
        <v>550</v>
      </c>
      <c r="L20" s="13">
        <v>210.81</v>
      </c>
      <c r="M20" s="14">
        <v>550</v>
      </c>
      <c r="N20" s="13">
        <v>155.51</v>
      </c>
      <c r="O20" s="14">
        <v>550</v>
      </c>
      <c r="P20" s="13">
        <v>36.74</v>
      </c>
      <c r="Q20" s="14">
        <v>550</v>
      </c>
      <c r="R20" s="14"/>
      <c r="S20" s="14"/>
    </row>
    <row r="21" spans="1:19" x14ac:dyDescent="0.2">
      <c r="A21" s="779">
        <v>5345</v>
      </c>
      <c r="B21" s="12" t="s">
        <v>863</v>
      </c>
      <c r="C21" s="35">
        <v>1089.3399999999999</v>
      </c>
      <c r="D21" s="35">
        <v>1702.95</v>
      </c>
      <c r="E21" s="35">
        <v>1256.99</v>
      </c>
      <c r="F21" s="35">
        <v>1307.4100000000001</v>
      </c>
      <c r="G21" s="35">
        <v>1054.68</v>
      </c>
      <c r="H21" s="35">
        <v>1471.48</v>
      </c>
      <c r="I21" s="35">
        <v>1063.5899999999999</v>
      </c>
      <c r="J21" s="35">
        <v>1942.03</v>
      </c>
      <c r="K21" s="36">
        <v>1650</v>
      </c>
      <c r="L21" s="35">
        <v>1314.48</v>
      </c>
      <c r="M21" s="36">
        <v>1650</v>
      </c>
      <c r="N21" s="35">
        <v>1607</v>
      </c>
      <c r="O21" s="36">
        <v>1650</v>
      </c>
      <c r="P21" s="35">
        <v>1798.45</v>
      </c>
      <c r="Q21" s="36">
        <v>1650</v>
      </c>
      <c r="R21" s="36"/>
      <c r="S21" s="36"/>
    </row>
    <row r="22" spans="1:19" x14ac:dyDescent="0.2">
      <c r="A22" s="779">
        <v>5350</v>
      </c>
      <c r="B22" s="12" t="s">
        <v>1060</v>
      </c>
      <c r="C22" s="35"/>
      <c r="D22" s="35"/>
      <c r="E22" s="35"/>
      <c r="F22" s="35"/>
      <c r="G22" s="35"/>
      <c r="H22" s="35"/>
      <c r="I22" s="35"/>
      <c r="J22" s="35">
        <v>3000</v>
      </c>
      <c r="K22" s="36">
        <v>1500</v>
      </c>
      <c r="L22" s="35">
        <v>1500</v>
      </c>
      <c r="M22" s="36">
        <v>1500</v>
      </c>
      <c r="N22" s="35">
        <v>1500</v>
      </c>
      <c r="O22" s="36">
        <v>1500</v>
      </c>
      <c r="P22" s="35">
        <v>1500</v>
      </c>
      <c r="Q22" s="36">
        <v>1500</v>
      </c>
      <c r="R22" s="36"/>
      <c r="S22" s="36"/>
    </row>
    <row r="23" spans="1:19" x14ac:dyDescent="0.2">
      <c r="A23" s="779">
        <v>5380</v>
      </c>
      <c r="B23" s="12" t="s">
        <v>1061</v>
      </c>
      <c r="C23" s="13">
        <v>250</v>
      </c>
      <c r="D23" s="13">
        <v>107.43</v>
      </c>
      <c r="E23" s="13">
        <v>1039</v>
      </c>
      <c r="F23" s="13">
        <v>291</v>
      </c>
      <c r="G23" s="13">
        <v>1142</v>
      </c>
      <c r="H23" s="13"/>
      <c r="I23" s="13">
        <v>190</v>
      </c>
      <c r="J23" s="13">
        <v>1094.44</v>
      </c>
      <c r="K23" s="14">
        <v>300</v>
      </c>
      <c r="L23" s="13">
        <v>1100</v>
      </c>
      <c r="M23" s="14">
        <v>300</v>
      </c>
      <c r="N23" s="13">
        <v>525</v>
      </c>
      <c r="O23" s="14">
        <v>1000</v>
      </c>
      <c r="P23" s="13">
        <v>119.05</v>
      </c>
      <c r="Q23" s="14">
        <v>1000</v>
      </c>
      <c r="R23" s="14"/>
      <c r="S23" s="14"/>
    </row>
    <row r="24" spans="1:19" x14ac:dyDescent="0.2">
      <c r="A24" s="779">
        <v>5420</v>
      </c>
      <c r="B24" s="12" t="s">
        <v>864</v>
      </c>
      <c r="C24" s="18">
        <v>405.65</v>
      </c>
      <c r="D24" s="18">
        <v>755.61</v>
      </c>
      <c r="E24" s="18">
        <v>524.92999999999995</v>
      </c>
      <c r="F24" s="18">
        <v>916.79</v>
      </c>
      <c r="G24" s="18">
        <v>373.24</v>
      </c>
      <c r="H24" s="18">
        <v>1589.88</v>
      </c>
      <c r="I24" s="18">
        <v>581.44000000000005</v>
      </c>
      <c r="J24" s="18">
        <v>130.05000000000001</v>
      </c>
      <c r="K24" s="19">
        <v>750</v>
      </c>
      <c r="L24" s="18">
        <v>231.29</v>
      </c>
      <c r="M24" s="19">
        <v>750</v>
      </c>
      <c r="N24" s="18">
        <v>1041.0899999999999</v>
      </c>
      <c r="O24" s="19">
        <v>750</v>
      </c>
      <c r="P24" s="18">
        <v>285.75</v>
      </c>
      <c r="Q24" s="19">
        <v>750</v>
      </c>
      <c r="R24" s="19"/>
      <c r="S24" s="19"/>
    </row>
    <row r="25" spans="1:19" hidden="1" x14ac:dyDescent="0.2">
      <c r="A25" s="779">
        <v>5490</v>
      </c>
      <c r="B25" s="12" t="s">
        <v>867</v>
      </c>
      <c r="C25" s="13">
        <v>141.15</v>
      </c>
      <c r="D25" s="18">
        <v>0</v>
      </c>
      <c r="E25" s="18">
        <v>36.04</v>
      </c>
      <c r="F25" s="18"/>
      <c r="G25" s="18"/>
      <c r="H25" s="18"/>
      <c r="I25" s="18"/>
      <c r="J25" s="18">
        <v>235.41</v>
      </c>
      <c r="K25" s="19"/>
      <c r="L25" s="18"/>
      <c r="M25" s="19"/>
      <c r="N25" s="18"/>
      <c r="O25" s="19"/>
      <c r="P25" s="18"/>
      <c r="Q25" s="19"/>
      <c r="R25" s="19"/>
      <c r="S25" s="19"/>
    </row>
    <row r="26" spans="1:19" x14ac:dyDescent="0.2">
      <c r="A26" s="779">
        <v>5581</v>
      </c>
      <c r="B26" s="12" t="s">
        <v>866</v>
      </c>
      <c r="C26" s="13">
        <v>273.77999999999997</v>
      </c>
      <c r="D26" s="13">
        <v>176.8</v>
      </c>
      <c r="E26" s="13">
        <v>258.3</v>
      </c>
      <c r="F26" s="13">
        <v>40</v>
      </c>
      <c r="G26" s="13">
        <v>264.60000000000002</v>
      </c>
      <c r="H26" s="13">
        <v>197.6</v>
      </c>
      <c r="I26" s="13">
        <v>257.60000000000002</v>
      </c>
      <c r="J26" s="13">
        <v>197.6</v>
      </c>
      <c r="K26" s="14">
        <v>200</v>
      </c>
      <c r="L26" s="13">
        <v>227.6</v>
      </c>
      <c r="M26" s="14">
        <v>200</v>
      </c>
      <c r="N26" s="13">
        <v>309.60000000000002</v>
      </c>
      <c r="O26" s="14">
        <v>200</v>
      </c>
      <c r="P26" s="13"/>
      <c r="Q26" s="14">
        <v>200</v>
      </c>
      <c r="R26" s="14"/>
      <c r="S26" s="14"/>
    </row>
    <row r="27" spans="1:19" x14ac:dyDescent="0.2">
      <c r="A27" s="779">
        <v>5590</v>
      </c>
      <c r="B27" s="4" t="s">
        <v>1062</v>
      </c>
      <c r="C27" s="13">
        <v>107.45</v>
      </c>
      <c r="D27" s="13">
        <v>288.33</v>
      </c>
      <c r="E27" s="13"/>
      <c r="F27" s="13">
        <v>100</v>
      </c>
      <c r="G27" s="13">
        <v>113.31</v>
      </c>
      <c r="H27" s="13"/>
      <c r="I27" s="13">
        <v>622.38</v>
      </c>
      <c r="J27" s="13">
        <v>3918.83</v>
      </c>
      <c r="K27" s="14">
        <v>350</v>
      </c>
      <c r="L27" s="13">
        <v>2067</v>
      </c>
      <c r="M27" s="14">
        <v>350</v>
      </c>
      <c r="N27" s="13">
        <v>689.57</v>
      </c>
      <c r="O27" s="14">
        <v>350</v>
      </c>
      <c r="P27" s="13"/>
      <c r="Q27" s="14">
        <v>350</v>
      </c>
      <c r="R27" s="14"/>
      <c r="S27" s="14"/>
    </row>
    <row r="28" spans="1:19" x14ac:dyDescent="0.2">
      <c r="A28" s="779">
        <v>5710</v>
      </c>
      <c r="B28" s="12" t="s">
        <v>869</v>
      </c>
      <c r="C28" s="18">
        <v>399.34</v>
      </c>
      <c r="D28" s="18">
        <v>407.12</v>
      </c>
      <c r="E28" s="18">
        <v>397.89</v>
      </c>
      <c r="F28" s="18">
        <v>342.72</v>
      </c>
      <c r="G28" s="18">
        <v>483.91</v>
      </c>
      <c r="H28" s="18">
        <v>556.12</v>
      </c>
      <c r="I28" s="18">
        <v>745.52</v>
      </c>
      <c r="J28" s="18">
        <v>319.81</v>
      </c>
      <c r="K28" s="19">
        <v>900</v>
      </c>
      <c r="L28" s="18">
        <v>130.80000000000001</v>
      </c>
      <c r="M28" s="19">
        <v>900</v>
      </c>
      <c r="N28" s="18">
        <v>230.14</v>
      </c>
      <c r="O28" s="19">
        <v>900</v>
      </c>
      <c r="P28" s="18">
        <v>239.34</v>
      </c>
      <c r="Q28" s="19">
        <v>900</v>
      </c>
      <c r="R28" s="19"/>
      <c r="S28" s="19"/>
    </row>
    <row r="29" spans="1:19" ht="13.5" thickBot="1" x14ac:dyDescent="0.25">
      <c r="A29" s="779">
        <v>5730</v>
      </c>
      <c r="B29" s="12" t="s">
        <v>870</v>
      </c>
      <c r="C29" s="15">
        <v>401</v>
      </c>
      <c r="D29" s="15">
        <v>594.5</v>
      </c>
      <c r="E29" s="15">
        <v>551</v>
      </c>
      <c r="F29" s="15">
        <v>483</v>
      </c>
      <c r="G29" s="15">
        <v>360</v>
      </c>
      <c r="H29" s="15">
        <v>387</v>
      </c>
      <c r="I29" s="15">
        <v>357</v>
      </c>
      <c r="J29" s="15"/>
      <c r="K29" s="16">
        <v>450</v>
      </c>
      <c r="L29" s="15">
        <v>478.5</v>
      </c>
      <c r="M29" s="16">
        <v>450</v>
      </c>
      <c r="N29" s="15">
        <v>564</v>
      </c>
      <c r="O29" s="16">
        <v>450</v>
      </c>
      <c r="P29" s="15">
        <v>502</v>
      </c>
      <c r="Q29" s="16">
        <v>450</v>
      </c>
      <c r="R29" s="16"/>
      <c r="S29" s="16"/>
    </row>
    <row r="30" spans="1:19" x14ac:dyDescent="0.2">
      <c r="A30" s="779"/>
      <c r="B30" s="17" t="s">
        <v>838</v>
      </c>
      <c r="C30" s="35">
        <f>SUM(C15:C29)</f>
        <v>4475.9399999999996</v>
      </c>
      <c r="D30" s="35">
        <f>SUM(D15:D29)</f>
        <v>4866.0600000000004</v>
      </c>
      <c r="E30" s="35">
        <f>SUM(E15:E29)</f>
        <v>4999.54</v>
      </c>
      <c r="F30" s="35">
        <f>SUM(F17:F29)</f>
        <v>4314.12</v>
      </c>
      <c r="G30" s="35">
        <f t="shared" ref="G30:Q30" si="2">SUM(G15:G29)</f>
        <v>9169.8499999999985</v>
      </c>
      <c r="H30" s="35">
        <f t="shared" si="2"/>
        <v>8802.34</v>
      </c>
      <c r="I30" s="35">
        <f t="shared" si="2"/>
        <v>4668.1499999999996</v>
      </c>
      <c r="J30" s="35">
        <f t="shared" si="2"/>
        <v>15452.619999999999</v>
      </c>
      <c r="K30" s="36">
        <f t="shared" si="2"/>
        <v>7650</v>
      </c>
      <c r="L30" s="35">
        <f t="shared" si="2"/>
        <v>7870.4800000000005</v>
      </c>
      <c r="M30" s="36">
        <f t="shared" si="2"/>
        <v>7650</v>
      </c>
      <c r="N30" s="35">
        <f t="shared" si="2"/>
        <v>6744.76</v>
      </c>
      <c r="O30" s="36">
        <f t="shared" si="2"/>
        <v>10900</v>
      </c>
      <c r="P30" s="35">
        <f t="shared" si="2"/>
        <v>7068.51</v>
      </c>
      <c r="Q30" s="36">
        <f t="shared" si="2"/>
        <v>8850</v>
      </c>
      <c r="R30" s="36"/>
      <c r="S30" s="36">
        <f>SUM(S15:S29)</f>
        <v>0</v>
      </c>
    </row>
    <row r="31" spans="1:19" x14ac:dyDescent="0.2">
      <c r="A31" s="779"/>
      <c r="B31" s="12"/>
      <c r="C31" s="35"/>
      <c r="D31" s="35"/>
      <c r="E31" s="35"/>
      <c r="F31" s="35"/>
      <c r="G31" s="35"/>
      <c r="H31" s="35"/>
      <c r="I31" s="35"/>
      <c r="J31" s="35"/>
      <c r="K31" s="36"/>
      <c r="L31" s="35"/>
      <c r="M31" s="36"/>
      <c r="N31" s="35"/>
      <c r="O31" s="36"/>
      <c r="P31" s="35"/>
      <c r="Q31" s="36"/>
      <c r="R31" s="36"/>
      <c r="S31" s="36"/>
    </row>
    <row r="32" spans="1:19" ht="13.5" thickBot="1" x14ac:dyDescent="0.25">
      <c r="A32" s="780"/>
      <c r="B32" s="20" t="s">
        <v>1063</v>
      </c>
      <c r="C32" s="21">
        <f t="shared" ref="C32:Q32" si="3">+C30+C13</f>
        <v>64295.68</v>
      </c>
      <c r="D32" s="21">
        <f t="shared" si="3"/>
        <v>74043.48</v>
      </c>
      <c r="E32" s="21">
        <f t="shared" si="3"/>
        <v>76609.999999999985</v>
      </c>
      <c r="F32" s="21">
        <f t="shared" si="3"/>
        <v>78689.919999999998</v>
      </c>
      <c r="G32" s="21">
        <f t="shared" si="3"/>
        <v>85614.25</v>
      </c>
      <c r="H32" s="21">
        <f t="shared" si="3"/>
        <v>89106.83</v>
      </c>
      <c r="I32" s="21">
        <f t="shared" si="3"/>
        <v>113367.35999999999</v>
      </c>
      <c r="J32" s="21">
        <f t="shared" si="3"/>
        <v>123363.51</v>
      </c>
      <c r="K32" s="22">
        <f t="shared" si="3"/>
        <v>121187</v>
      </c>
      <c r="L32" s="21">
        <f t="shared" si="3"/>
        <v>119134.15999999999</v>
      </c>
      <c r="M32" s="22">
        <f t="shared" si="3"/>
        <v>123121</v>
      </c>
      <c r="N32" s="21">
        <f t="shared" si="3"/>
        <v>122406.09999999999</v>
      </c>
      <c r="O32" s="22">
        <f t="shared" si="3"/>
        <v>129007</v>
      </c>
      <c r="P32" s="21">
        <f t="shared" si="3"/>
        <v>47623.090000000004</v>
      </c>
      <c r="Q32" s="22">
        <f t="shared" si="3"/>
        <v>134429</v>
      </c>
      <c r="R32" s="22">
        <f>+Q32</f>
        <v>134429</v>
      </c>
      <c r="S32" s="22">
        <f>+Q32</f>
        <v>134429</v>
      </c>
    </row>
    <row r="33" spans="1:23" ht="16.5" thickTop="1" x14ac:dyDescent="0.25">
      <c r="A33" s="774"/>
      <c r="B33" s="4"/>
      <c r="C33" s="23"/>
      <c r="D33" s="23"/>
      <c r="E33" s="23"/>
      <c r="F33" s="23"/>
      <c r="G33" s="23"/>
      <c r="H33" s="23"/>
      <c r="I33" s="23"/>
      <c r="J33" s="23"/>
      <c r="K33" s="23"/>
      <c r="L33" s="23"/>
      <c r="M33" s="23"/>
      <c r="N33" s="23"/>
      <c r="O33" s="23"/>
      <c r="P33" s="199" t="s">
        <v>843</v>
      </c>
      <c r="Q33" s="1116">
        <f>+Q32-O32</f>
        <v>5422</v>
      </c>
      <c r="R33" s="1117">
        <f>ROUND((+Q33/O32),4)</f>
        <v>4.2000000000000003E-2</v>
      </c>
      <c r="S33" s="23"/>
      <c r="T33" s="25"/>
      <c r="V33" s="201"/>
      <c r="W33" s="25"/>
    </row>
    <row r="34" spans="1:23" x14ac:dyDescent="0.2">
      <c r="A34" s="774" t="s">
        <v>911</v>
      </c>
      <c r="B34" s="4"/>
      <c r="D34" s="212"/>
      <c r="E34" s="212"/>
      <c r="F34" s="212"/>
      <c r="G34" s="212"/>
      <c r="H34" s="212"/>
      <c r="I34" s="212"/>
      <c r="J34" s="212"/>
      <c r="K34" s="212"/>
      <c r="L34" s="212"/>
      <c r="M34" s="212"/>
      <c r="N34" s="212"/>
      <c r="O34" s="212"/>
    </row>
    <row r="35" spans="1:23" ht="13.5" thickBot="1" x14ac:dyDescent="0.25">
      <c r="A35" s="774"/>
      <c r="B35" s="4" t="s">
        <v>1064</v>
      </c>
      <c r="D35" s="212"/>
      <c r="E35" s="212"/>
      <c r="F35" s="212"/>
      <c r="G35" s="212"/>
      <c r="H35" s="212"/>
      <c r="I35" s="212"/>
      <c r="J35" s="212"/>
      <c r="K35" s="212"/>
      <c r="L35" s="212"/>
      <c r="M35" s="212"/>
      <c r="N35" s="212"/>
      <c r="O35" s="212"/>
    </row>
    <row r="36" spans="1:23" ht="13.5" thickTop="1" x14ac:dyDescent="0.2">
      <c r="A36" s="781" t="s">
        <v>872</v>
      </c>
      <c r="B36" s="99"/>
      <c r="D36" s="212"/>
      <c r="E36" s="212"/>
      <c r="F36" s="212"/>
      <c r="G36" s="212"/>
      <c r="H36" s="212"/>
      <c r="I36" s="212"/>
      <c r="J36" s="212"/>
      <c r="K36" s="212"/>
      <c r="L36" s="212"/>
      <c r="M36" s="131" t="s">
        <v>873</v>
      </c>
      <c r="N36" s="138" t="s">
        <v>874</v>
      </c>
      <c r="O36" s="150"/>
      <c r="P36" s="140" t="s">
        <v>875</v>
      </c>
      <c r="Q36"/>
      <c r="R36"/>
      <c r="S36" s="205" t="s">
        <v>876</v>
      </c>
      <c r="T36"/>
      <c r="U36" s="1"/>
    </row>
    <row r="37" spans="1:23" ht="13.5" thickBot="1" x14ac:dyDescent="0.25">
      <c r="A37" s="782" t="s">
        <v>877</v>
      </c>
      <c r="B37" s="101" t="s">
        <v>878</v>
      </c>
      <c r="D37" s="212"/>
      <c r="E37" s="212"/>
      <c r="F37" s="212"/>
      <c r="G37" s="212"/>
      <c r="H37" s="212"/>
      <c r="I37" s="212"/>
      <c r="J37" s="212"/>
      <c r="K37" s="212"/>
      <c r="L37" s="212"/>
      <c r="M37" s="287">
        <v>45108</v>
      </c>
      <c r="N37" s="141" t="s">
        <v>879</v>
      </c>
      <c r="O37" s="142" t="s">
        <v>954</v>
      </c>
      <c r="P37" s="142" t="s">
        <v>881</v>
      </c>
      <c r="Q37" s="107" t="s">
        <v>882</v>
      </c>
      <c r="R37" s="107"/>
      <c r="S37" s="107" t="s">
        <v>277</v>
      </c>
      <c r="T37" s="107" t="s">
        <v>883</v>
      </c>
      <c r="U37" s="1"/>
    </row>
    <row r="38" spans="1:23" ht="13.5" thickTop="1" x14ac:dyDescent="0.2">
      <c r="A38" s="153">
        <v>44949</v>
      </c>
      <c r="B38" s="102" t="s">
        <v>1065</v>
      </c>
      <c r="D38" s="212"/>
      <c r="E38" s="212"/>
      <c r="F38" s="212"/>
      <c r="G38" s="212"/>
      <c r="H38" s="212"/>
      <c r="I38" s="212"/>
      <c r="J38" s="212"/>
      <c r="K38" s="212"/>
      <c r="L38" s="212"/>
      <c r="M38" s="1063" t="s">
        <v>2229</v>
      </c>
      <c r="N38" s="137"/>
      <c r="O38" s="18"/>
      <c r="P38" s="137">
        <f>+'NAGE &amp; Non-Union Wages'!K10</f>
        <v>78423</v>
      </c>
      <c r="Q38" s="153"/>
      <c r="R38" s="153"/>
      <c r="S38" s="771"/>
      <c r="T38" s="290"/>
      <c r="U38" s="1"/>
    </row>
    <row r="39" spans="1:23" x14ac:dyDescent="0.2">
      <c r="A39" s="153">
        <v>43290</v>
      </c>
      <c r="B39" s="489" t="s">
        <v>1066</v>
      </c>
      <c r="D39" s="212"/>
      <c r="E39" s="212"/>
      <c r="F39" s="212"/>
      <c r="G39" s="212"/>
      <c r="H39" s="212"/>
      <c r="I39" s="212"/>
      <c r="J39" s="212"/>
      <c r="K39" s="212"/>
      <c r="L39" s="212"/>
      <c r="M39" s="36" t="s">
        <v>1067</v>
      </c>
      <c r="N39" s="490">
        <f>+'NAGE &amp; Non-Union Wages'!H7</f>
        <v>25.58</v>
      </c>
      <c r="O39" s="28">
        <v>1820</v>
      </c>
      <c r="P39" s="148">
        <f>+ROUND((+N39*O39),2)</f>
        <v>46555.6</v>
      </c>
      <c r="Q39" s="153">
        <v>43290</v>
      </c>
      <c r="R39" s="153"/>
      <c r="S39" s="771">
        <v>5</v>
      </c>
      <c r="T39" s="2">
        <v>300</v>
      </c>
      <c r="U39" s="212"/>
    </row>
    <row r="40" spans="1:23" x14ac:dyDescent="0.2">
      <c r="A40" s="798"/>
      <c r="B40" s="60"/>
      <c r="C40" s="13"/>
      <c r="D40" s="13"/>
      <c r="E40" s="13"/>
      <c r="F40" s="212"/>
      <c r="G40" s="212"/>
      <c r="H40" s="212"/>
      <c r="I40" s="212"/>
      <c r="J40" s="212"/>
      <c r="K40" s="212"/>
      <c r="L40" s="212"/>
      <c r="M40" s="13"/>
      <c r="N40" s="128"/>
      <c r="O40" s="128"/>
      <c r="P40" s="148"/>
      <c r="Q40" s="23"/>
      <c r="R40" s="23"/>
      <c r="S40" s="25" t="s">
        <v>193</v>
      </c>
      <c r="T40" s="2">
        <f>SUM(T38:T39)</f>
        <v>300</v>
      </c>
      <c r="U40" s="1"/>
    </row>
    <row r="41" spans="1:23" x14ac:dyDescent="0.2">
      <c r="A41" s="774"/>
      <c r="B41" s="4"/>
      <c r="C41" s="23"/>
      <c r="D41" s="23"/>
      <c r="E41" s="23"/>
      <c r="F41" s="212"/>
      <c r="G41" s="212"/>
      <c r="H41" s="212"/>
      <c r="I41" s="23"/>
      <c r="J41" s="23"/>
      <c r="K41" s="212"/>
      <c r="L41" s="212"/>
      <c r="M41" s="97"/>
      <c r="N41" s="97"/>
      <c r="O41" s="97"/>
      <c r="P41" s="25"/>
      <c r="Q41" s="25"/>
      <c r="R41" s="25"/>
      <c r="S41" s="25"/>
      <c r="T41" s="2"/>
    </row>
    <row r="42" spans="1:23" ht="13.5" thickBot="1" x14ac:dyDescent="0.25">
      <c r="A42" s="774"/>
      <c r="B42" s="4"/>
      <c r="C42" s="23"/>
      <c r="D42" s="23"/>
      <c r="E42" s="23"/>
      <c r="F42" s="212"/>
      <c r="G42" s="212"/>
      <c r="H42" s="212"/>
      <c r="I42" s="23"/>
      <c r="J42" s="23"/>
      <c r="K42" s="212"/>
      <c r="L42" s="212"/>
      <c r="M42" s="97"/>
      <c r="N42" s="97"/>
      <c r="O42" s="97"/>
      <c r="P42" s="25"/>
      <c r="Q42" s="25"/>
      <c r="R42" s="25"/>
      <c r="S42" s="25"/>
      <c r="T42" s="2"/>
    </row>
    <row r="43" spans="1:23" ht="13.5" thickTop="1" x14ac:dyDescent="0.2">
      <c r="A43" s="774"/>
      <c r="B43" s="1122" t="s">
        <v>2386</v>
      </c>
      <c r="C43" s="416"/>
      <c r="D43" s="416"/>
      <c r="E43" s="416"/>
      <c r="F43" s="1088"/>
      <c r="G43" s="1088"/>
      <c r="H43" s="1088"/>
      <c r="I43" s="212"/>
      <c r="J43" s="212"/>
      <c r="K43" s="212"/>
      <c r="L43" s="212"/>
      <c r="M43" s="370" t="s">
        <v>279</v>
      </c>
      <c r="N43" s="371" t="s">
        <v>826</v>
      </c>
      <c r="O43" s="416"/>
      <c r="P43" s="614"/>
      <c r="Q43" s="417"/>
      <c r="R43" s="417"/>
      <c r="S43" s="417"/>
      <c r="T43" s="2"/>
      <c r="U43" s="25"/>
      <c r="V43" s="25"/>
      <c r="W43" s="25"/>
    </row>
    <row r="44" spans="1:23" ht="13.5" thickBot="1" x14ac:dyDescent="0.25">
      <c r="A44" s="790" t="s">
        <v>825</v>
      </c>
      <c r="B44" s="374"/>
      <c r="C44" s="375" t="s">
        <v>267</v>
      </c>
      <c r="D44" s="375" t="s">
        <v>268</v>
      </c>
      <c r="E44" s="376" t="s">
        <v>269</v>
      </c>
      <c r="F44" s="212"/>
      <c r="G44" s="212"/>
      <c r="H44" s="212"/>
      <c r="I44" s="212"/>
      <c r="J44" s="212"/>
      <c r="K44" s="212"/>
      <c r="L44" s="212"/>
      <c r="M44" s="377" t="s">
        <v>277</v>
      </c>
      <c r="N44" s="377" t="s">
        <v>571</v>
      </c>
      <c r="O44" s="376" t="s">
        <v>843</v>
      </c>
      <c r="P44" s="378" t="s">
        <v>843</v>
      </c>
      <c r="Q44" s="379" t="s">
        <v>844</v>
      </c>
      <c r="R44" s="570"/>
      <c r="S44" s="377"/>
      <c r="T44" s="23"/>
      <c r="U44" s="25"/>
      <c r="V44" s="25"/>
      <c r="W44" s="25"/>
    </row>
    <row r="45" spans="1:23" ht="13.5" thickTop="1" x14ac:dyDescent="0.2">
      <c r="A45" s="794"/>
      <c r="B45" s="401"/>
      <c r="C45" s="402"/>
      <c r="D45" s="403"/>
      <c r="E45" s="403"/>
      <c r="F45" s="212"/>
      <c r="G45" s="212"/>
      <c r="H45" s="212"/>
      <c r="I45" s="212"/>
      <c r="J45" s="212"/>
      <c r="K45" s="212"/>
      <c r="L45" s="212"/>
      <c r="M45" s="404"/>
      <c r="N45" s="381"/>
      <c r="O45" s="386"/>
      <c r="P45" s="392"/>
      <c r="Q45" s="385"/>
      <c r="R45" s="572"/>
      <c r="S45" s="386"/>
      <c r="T45" s="23"/>
      <c r="U45" s="25"/>
      <c r="V45" s="25"/>
      <c r="W45" s="25"/>
    </row>
    <row r="46" spans="1:23" x14ac:dyDescent="0.2">
      <c r="A46" s="795">
        <v>5111</v>
      </c>
      <c r="B46" s="387" t="s">
        <v>849</v>
      </c>
      <c r="C46" s="391">
        <v>47211.5</v>
      </c>
      <c r="D46" s="395">
        <v>54648</v>
      </c>
      <c r="E46" s="395">
        <v>56574</v>
      </c>
      <c r="F46" s="212"/>
      <c r="G46" s="212"/>
      <c r="H46" s="212"/>
      <c r="I46" s="212"/>
      <c r="J46" s="212"/>
      <c r="K46" s="212"/>
      <c r="L46" s="212"/>
      <c r="M46" s="610">
        <f>+O9+3526</f>
        <v>120833</v>
      </c>
      <c r="N46" s="411">
        <f>+Q9</f>
        <v>124979</v>
      </c>
      <c r="O46" s="386">
        <f t="shared" ref="O46:O55" si="4">+N46-M46</f>
        <v>4146</v>
      </c>
      <c r="P46" s="392">
        <f t="shared" ref="P46:P55" si="5">IF(M46+N46&lt;&gt;0,IF(M46&lt;&gt;0,IF(O46&lt;&gt;0,ROUND((+O46/M46),4),""),1),"")</f>
        <v>3.4299999999999997E-2</v>
      </c>
      <c r="Q46" s="385" t="s">
        <v>1068</v>
      </c>
      <c r="R46" s="572"/>
      <c r="S46" s="386"/>
      <c r="T46" s="23"/>
      <c r="U46" s="25"/>
      <c r="V46" s="25"/>
      <c r="W46" s="25"/>
    </row>
    <row r="47" spans="1:23" x14ac:dyDescent="0.2">
      <c r="A47" s="795">
        <v>5113</v>
      </c>
      <c r="B47" s="387" t="s">
        <v>850</v>
      </c>
      <c r="C47" s="391">
        <v>12608.24</v>
      </c>
      <c r="D47" s="391">
        <v>14529.42</v>
      </c>
      <c r="E47" s="391">
        <v>15036.46</v>
      </c>
      <c r="F47" s="212"/>
      <c r="G47" s="212"/>
      <c r="H47" s="212"/>
      <c r="I47" s="212"/>
      <c r="J47" s="212"/>
      <c r="K47" s="212"/>
      <c r="L47" s="212"/>
      <c r="M47" s="390">
        <f>+O10</f>
        <v>0</v>
      </c>
      <c r="N47" s="410">
        <f>+Q10</f>
        <v>0</v>
      </c>
      <c r="O47" s="386">
        <f t="shared" si="4"/>
        <v>0</v>
      </c>
      <c r="P47" s="392" t="str">
        <f t="shared" si="5"/>
        <v/>
      </c>
      <c r="Q47" s="385"/>
      <c r="R47" s="572"/>
      <c r="S47" s="386"/>
      <c r="T47" s="23"/>
      <c r="U47" s="25"/>
      <c r="V47" s="25"/>
      <c r="W47" s="25"/>
    </row>
    <row r="48" spans="1:23" ht="13.5" thickBot="1" x14ac:dyDescent="0.25">
      <c r="A48" s="795">
        <v>5144</v>
      </c>
      <c r="B48" s="387" t="s">
        <v>27</v>
      </c>
      <c r="C48" s="389"/>
      <c r="D48" s="389"/>
      <c r="E48" s="389"/>
      <c r="F48" s="212"/>
      <c r="G48" s="212"/>
      <c r="H48" s="212"/>
      <c r="I48" s="212"/>
      <c r="J48" s="212"/>
      <c r="K48" s="212"/>
      <c r="L48" s="212"/>
      <c r="M48" s="390">
        <f>+O11</f>
        <v>500</v>
      </c>
      <c r="N48" s="411">
        <f>+Q11</f>
        <v>300</v>
      </c>
      <c r="O48" s="386">
        <f t="shared" si="4"/>
        <v>-200</v>
      </c>
      <c r="P48" s="392">
        <f t="shared" si="5"/>
        <v>-0.4</v>
      </c>
      <c r="Q48" s="385" t="s">
        <v>2230</v>
      </c>
      <c r="R48" s="572"/>
      <c r="S48" s="386"/>
      <c r="T48" s="23"/>
      <c r="U48" s="25"/>
      <c r="V48" s="25"/>
      <c r="W48" s="25"/>
    </row>
    <row r="49" spans="1:23" x14ac:dyDescent="0.2">
      <c r="A49" s="795">
        <v>5145</v>
      </c>
      <c r="B49" s="387" t="s">
        <v>855</v>
      </c>
      <c r="C49" s="393"/>
      <c r="D49" s="393"/>
      <c r="E49" s="393"/>
      <c r="F49" s="212"/>
      <c r="G49" s="212"/>
      <c r="H49" s="212"/>
      <c r="I49" s="212"/>
      <c r="J49" s="212"/>
      <c r="K49" s="212"/>
      <c r="L49" s="212"/>
      <c r="M49" s="390">
        <f>+O12</f>
        <v>300</v>
      </c>
      <c r="N49" s="411">
        <f>+Q12</f>
        <v>300</v>
      </c>
      <c r="O49" s="386">
        <f t="shared" si="4"/>
        <v>0</v>
      </c>
      <c r="P49" s="392" t="str">
        <f t="shared" si="5"/>
        <v/>
      </c>
      <c r="Q49" s="385"/>
      <c r="R49" s="572"/>
      <c r="S49" s="386"/>
      <c r="T49" s="23"/>
      <c r="U49" s="25"/>
      <c r="V49" s="25"/>
      <c r="W49" s="25"/>
    </row>
    <row r="50" spans="1:23" hidden="1" x14ac:dyDescent="0.2">
      <c r="A50" s="795">
        <v>5247</v>
      </c>
      <c r="B50" s="387" t="s">
        <v>1058</v>
      </c>
      <c r="C50" s="391">
        <v>400</v>
      </c>
      <c r="D50" s="391">
        <v>0</v>
      </c>
      <c r="E50" s="391"/>
      <c r="F50" s="212"/>
      <c r="G50" s="212"/>
      <c r="H50" s="212"/>
      <c r="I50" s="212"/>
      <c r="J50" s="212"/>
      <c r="K50" s="212"/>
      <c r="L50" s="212"/>
      <c r="M50" s="390">
        <f>+O15</f>
        <v>0</v>
      </c>
      <c r="N50" s="411">
        <f>+Q15</f>
        <v>0</v>
      </c>
      <c r="O50" s="386">
        <f t="shared" si="4"/>
        <v>0</v>
      </c>
      <c r="P50" s="392" t="str">
        <f t="shared" si="5"/>
        <v/>
      </c>
      <c r="Q50" s="385"/>
      <c r="R50" s="572"/>
      <c r="S50" s="386"/>
      <c r="T50" s="23"/>
      <c r="U50" s="25"/>
      <c r="V50" s="25"/>
      <c r="W50" s="25"/>
    </row>
    <row r="51" spans="1:23" hidden="1" x14ac:dyDescent="0.2">
      <c r="A51" s="795">
        <v>5300</v>
      </c>
      <c r="B51" s="387" t="s">
        <v>1059</v>
      </c>
      <c r="C51" s="391"/>
      <c r="D51" s="391"/>
      <c r="E51" s="391"/>
      <c r="F51" s="212"/>
      <c r="G51" s="212"/>
      <c r="H51" s="212"/>
      <c r="I51" s="212"/>
      <c r="J51" s="212"/>
      <c r="K51" s="212"/>
      <c r="L51" s="212"/>
      <c r="M51" s="390">
        <f>+O14</f>
        <v>0</v>
      </c>
      <c r="N51" s="411">
        <f>+Q16</f>
        <v>0</v>
      </c>
      <c r="O51" s="386">
        <f t="shared" si="4"/>
        <v>0</v>
      </c>
      <c r="P51" s="392" t="str">
        <f t="shared" si="5"/>
        <v/>
      </c>
      <c r="Q51" s="385"/>
      <c r="R51" s="572"/>
      <c r="S51" s="386"/>
      <c r="T51" s="23"/>
      <c r="U51" s="25"/>
      <c r="V51" s="25"/>
      <c r="W51" s="25"/>
    </row>
    <row r="52" spans="1:23" x14ac:dyDescent="0.2">
      <c r="A52" s="795">
        <v>5314</v>
      </c>
      <c r="B52" s="387" t="s">
        <v>860</v>
      </c>
      <c r="C52" s="391">
        <v>465</v>
      </c>
      <c r="D52" s="391">
        <v>190</v>
      </c>
      <c r="E52" s="391">
        <v>299</v>
      </c>
      <c r="F52" s="212"/>
      <c r="G52" s="212"/>
      <c r="H52" s="212"/>
      <c r="I52" s="212"/>
      <c r="J52" s="212"/>
      <c r="K52" s="212"/>
      <c r="L52" s="212"/>
      <c r="M52" s="384">
        <f>+O17</f>
        <v>3550</v>
      </c>
      <c r="N52" s="411">
        <f>+Q17</f>
        <v>1500</v>
      </c>
      <c r="O52" s="386">
        <f t="shared" si="4"/>
        <v>-2050</v>
      </c>
      <c r="P52" s="392">
        <f t="shared" si="5"/>
        <v>-0.57750000000000001</v>
      </c>
      <c r="Q52" s="385" t="s">
        <v>2231</v>
      </c>
      <c r="R52" s="572"/>
      <c r="S52" s="386"/>
      <c r="T52" s="23"/>
      <c r="U52" s="25"/>
      <c r="V52" s="25"/>
      <c r="W52" s="25"/>
    </row>
    <row r="53" spans="1:23" hidden="1" x14ac:dyDescent="0.2">
      <c r="A53" s="795">
        <v>5341</v>
      </c>
      <c r="B53" s="387" t="s">
        <v>862</v>
      </c>
      <c r="C53" s="391">
        <v>218.95</v>
      </c>
      <c r="D53" s="391">
        <v>207.97</v>
      </c>
      <c r="E53" s="391">
        <v>210.96</v>
      </c>
      <c r="F53" s="212"/>
      <c r="G53" s="212"/>
      <c r="H53" s="212"/>
      <c r="I53" s="212"/>
      <c r="J53" s="212"/>
      <c r="K53" s="212"/>
      <c r="L53" s="212"/>
      <c r="M53" s="384">
        <f>+K18</f>
        <v>0</v>
      </c>
      <c r="N53" s="411">
        <f>+Q18</f>
        <v>0</v>
      </c>
      <c r="O53" s="386">
        <f t="shared" si="4"/>
        <v>0</v>
      </c>
      <c r="P53" s="392" t="str">
        <f t="shared" si="5"/>
        <v/>
      </c>
      <c r="Q53" s="385"/>
      <c r="R53" s="572"/>
      <c r="S53" s="386"/>
      <c r="T53" s="23"/>
      <c r="U53" s="25"/>
      <c r="V53" s="25"/>
      <c r="W53" s="25"/>
    </row>
    <row r="54" spans="1:23" x14ac:dyDescent="0.2">
      <c r="A54" s="795">
        <v>5344</v>
      </c>
      <c r="B54" s="387" t="s">
        <v>832</v>
      </c>
      <c r="C54" s="391">
        <v>324.27999999999997</v>
      </c>
      <c r="D54" s="391">
        <v>435.35</v>
      </c>
      <c r="E54" s="391">
        <v>425.43</v>
      </c>
      <c r="F54" s="212"/>
      <c r="G54" s="212"/>
      <c r="H54" s="212"/>
      <c r="I54" s="212"/>
      <c r="J54" s="212"/>
      <c r="K54" s="212"/>
      <c r="L54" s="212"/>
      <c r="M54" s="384">
        <f t="shared" ref="M54:M63" si="6">+O20</f>
        <v>550</v>
      </c>
      <c r="N54" s="411">
        <f t="shared" ref="N54:N63" si="7">+Q20</f>
        <v>550</v>
      </c>
      <c r="O54" s="386">
        <f t="shared" si="4"/>
        <v>0</v>
      </c>
      <c r="P54" s="392" t="str">
        <f t="shared" si="5"/>
        <v/>
      </c>
      <c r="Q54" s="385"/>
      <c r="R54" s="572"/>
      <c r="S54" s="386"/>
      <c r="T54" s="23"/>
      <c r="U54" s="25"/>
      <c r="V54" s="25"/>
      <c r="W54" s="25"/>
    </row>
    <row r="55" spans="1:23" x14ac:dyDescent="0.2">
      <c r="A55" s="795">
        <v>5345</v>
      </c>
      <c r="B55" s="387" t="s">
        <v>863</v>
      </c>
      <c r="C55" s="393">
        <v>1089.3399999999999</v>
      </c>
      <c r="D55" s="393">
        <v>1702.95</v>
      </c>
      <c r="E55" s="393">
        <v>1256.99</v>
      </c>
      <c r="F55" s="212"/>
      <c r="G55" s="212"/>
      <c r="H55" s="212"/>
      <c r="I55" s="212"/>
      <c r="J55" s="212"/>
      <c r="K55" s="212"/>
      <c r="L55" s="212"/>
      <c r="M55" s="384">
        <f t="shared" si="6"/>
        <v>1650</v>
      </c>
      <c r="N55" s="411">
        <f t="shared" si="7"/>
        <v>1650</v>
      </c>
      <c r="O55" s="386">
        <f t="shared" si="4"/>
        <v>0</v>
      </c>
      <c r="P55" s="392" t="str">
        <f t="shared" si="5"/>
        <v/>
      </c>
      <c r="Q55" s="385"/>
      <c r="R55" s="572"/>
      <c r="S55" s="386"/>
      <c r="T55" s="23"/>
      <c r="U55" s="25"/>
      <c r="V55" s="25"/>
      <c r="W55" s="25"/>
    </row>
    <row r="56" spans="1:23" x14ac:dyDescent="0.2">
      <c r="A56" s="795">
        <v>5350</v>
      </c>
      <c r="B56" s="387" t="s">
        <v>1069</v>
      </c>
      <c r="C56" s="393"/>
      <c r="D56" s="393"/>
      <c r="E56" s="393"/>
      <c r="F56" s="212"/>
      <c r="G56" s="212"/>
      <c r="H56" s="212"/>
      <c r="I56" s="212"/>
      <c r="J56" s="212"/>
      <c r="K56" s="212"/>
      <c r="L56" s="212"/>
      <c r="M56" s="384">
        <f t="shared" si="6"/>
        <v>1500</v>
      </c>
      <c r="N56" s="411">
        <f t="shared" si="7"/>
        <v>1500</v>
      </c>
      <c r="O56" s="386"/>
      <c r="P56" s="392"/>
      <c r="Q56" s="385"/>
      <c r="R56" s="572"/>
      <c r="S56" s="386"/>
      <c r="T56" s="23"/>
      <c r="U56" s="25"/>
      <c r="V56" s="25"/>
      <c r="W56" s="25"/>
    </row>
    <row r="57" spans="1:23" x14ac:dyDescent="0.2">
      <c r="A57" s="795">
        <v>5380</v>
      </c>
      <c r="B57" s="387" t="s">
        <v>1061</v>
      </c>
      <c r="C57" s="391">
        <v>250</v>
      </c>
      <c r="D57" s="391">
        <v>107.43</v>
      </c>
      <c r="E57" s="391">
        <v>1039</v>
      </c>
      <c r="F57" s="212"/>
      <c r="G57" s="212"/>
      <c r="H57" s="212"/>
      <c r="I57" s="212"/>
      <c r="J57" s="212"/>
      <c r="K57" s="212"/>
      <c r="L57" s="212"/>
      <c r="M57" s="384">
        <f t="shared" si="6"/>
        <v>1000</v>
      </c>
      <c r="N57" s="411">
        <f t="shared" si="7"/>
        <v>1000</v>
      </c>
      <c r="O57" s="386">
        <f t="shared" ref="O57:O63" si="8">+N57-M57</f>
        <v>0</v>
      </c>
      <c r="P57" s="392" t="str">
        <f t="shared" ref="P57:P63" si="9">IF(M57+N57&lt;&gt;0,IF(M57&lt;&gt;0,IF(O57&lt;&gt;0,ROUND((+O57/M57),4),""),1),"")</f>
        <v/>
      </c>
      <c r="Q57" s="385"/>
      <c r="R57" s="572"/>
      <c r="S57" s="386"/>
      <c r="T57" s="23"/>
      <c r="U57" s="25"/>
      <c r="V57" s="25"/>
      <c r="W57" s="25"/>
    </row>
    <row r="58" spans="1:23" x14ac:dyDescent="0.2">
      <c r="A58" s="795">
        <v>5420</v>
      </c>
      <c r="B58" s="387" t="s">
        <v>864</v>
      </c>
      <c r="C58" s="383">
        <v>405.65</v>
      </c>
      <c r="D58" s="383">
        <v>755.61</v>
      </c>
      <c r="E58" s="383">
        <v>524.92999999999995</v>
      </c>
      <c r="F58" s="212"/>
      <c r="G58" s="212"/>
      <c r="H58" s="212"/>
      <c r="I58" s="212"/>
      <c r="J58" s="212"/>
      <c r="K58" s="212"/>
      <c r="L58" s="212"/>
      <c r="M58" s="384">
        <f t="shared" si="6"/>
        <v>750</v>
      </c>
      <c r="N58" s="411">
        <f t="shared" si="7"/>
        <v>750</v>
      </c>
      <c r="O58" s="386">
        <f t="shared" si="8"/>
        <v>0</v>
      </c>
      <c r="P58" s="392" t="str">
        <f t="shared" si="9"/>
        <v/>
      </c>
      <c r="Q58" s="385"/>
      <c r="R58" s="572"/>
      <c r="S58" s="386"/>
      <c r="T58" s="23"/>
      <c r="U58" s="25"/>
      <c r="V58" s="25"/>
      <c r="W58" s="25"/>
    </row>
    <row r="59" spans="1:23" x14ac:dyDescent="0.2">
      <c r="A59" s="795">
        <v>5490</v>
      </c>
      <c r="B59" s="387" t="s">
        <v>867</v>
      </c>
      <c r="C59" s="391">
        <v>141.15</v>
      </c>
      <c r="D59" s="383">
        <v>0</v>
      </c>
      <c r="E59" s="383">
        <v>36.04</v>
      </c>
      <c r="F59" s="212"/>
      <c r="G59" s="212"/>
      <c r="H59" s="212"/>
      <c r="I59" s="212"/>
      <c r="J59" s="212"/>
      <c r="K59" s="212"/>
      <c r="L59" s="212"/>
      <c r="M59" s="384">
        <f t="shared" si="6"/>
        <v>0</v>
      </c>
      <c r="N59" s="411">
        <f t="shared" si="7"/>
        <v>0</v>
      </c>
      <c r="O59" s="386">
        <f t="shared" si="8"/>
        <v>0</v>
      </c>
      <c r="P59" s="392" t="str">
        <f t="shared" si="9"/>
        <v/>
      </c>
      <c r="Q59" s="385"/>
      <c r="R59" s="572"/>
      <c r="S59" s="386"/>
      <c r="T59" s="23"/>
      <c r="U59" s="25"/>
      <c r="V59" s="25"/>
      <c r="W59" s="25"/>
    </row>
    <row r="60" spans="1:23" x14ac:dyDescent="0.2">
      <c r="A60" s="795">
        <v>5581</v>
      </c>
      <c r="B60" s="387" t="s">
        <v>866</v>
      </c>
      <c r="C60" s="391">
        <v>273.77999999999997</v>
      </c>
      <c r="D60" s="391">
        <v>176.8</v>
      </c>
      <c r="E60" s="391">
        <v>258.3</v>
      </c>
      <c r="F60" s="212"/>
      <c r="G60" s="212"/>
      <c r="H60" s="212"/>
      <c r="I60" s="212"/>
      <c r="J60" s="212"/>
      <c r="K60" s="212"/>
      <c r="L60" s="212"/>
      <c r="M60" s="384">
        <f t="shared" si="6"/>
        <v>200</v>
      </c>
      <c r="N60" s="411">
        <f t="shared" si="7"/>
        <v>200</v>
      </c>
      <c r="O60" s="386">
        <f t="shared" si="8"/>
        <v>0</v>
      </c>
      <c r="P60" s="392" t="str">
        <f t="shared" si="9"/>
        <v/>
      </c>
      <c r="Q60" s="385"/>
      <c r="R60" s="572"/>
      <c r="S60" s="386"/>
      <c r="T60" s="23"/>
      <c r="U60" s="25"/>
      <c r="V60" s="25"/>
      <c r="W60" s="25"/>
    </row>
    <row r="61" spans="1:23" x14ac:dyDescent="0.2">
      <c r="A61" s="795">
        <v>5590</v>
      </c>
      <c r="B61" s="406" t="s">
        <v>1062</v>
      </c>
      <c r="C61" s="391">
        <v>107.45</v>
      </c>
      <c r="D61" s="391">
        <v>288.33</v>
      </c>
      <c r="E61" s="391"/>
      <c r="F61" s="212"/>
      <c r="G61" s="212"/>
      <c r="H61" s="212"/>
      <c r="I61" s="212"/>
      <c r="J61" s="212"/>
      <c r="K61" s="212"/>
      <c r="L61" s="212"/>
      <c r="M61" s="384">
        <f t="shared" si="6"/>
        <v>350</v>
      </c>
      <c r="N61" s="411">
        <f t="shared" si="7"/>
        <v>350</v>
      </c>
      <c r="O61" s="386">
        <f t="shared" si="8"/>
        <v>0</v>
      </c>
      <c r="P61" s="392" t="str">
        <f t="shared" si="9"/>
        <v/>
      </c>
      <c r="Q61" s="385"/>
      <c r="R61" s="572"/>
      <c r="S61" s="386"/>
      <c r="T61" s="23"/>
      <c r="U61" s="4"/>
      <c r="V61" s="4"/>
      <c r="W61" s="4"/>
    </row>
    <row r="62" spans="1:23" x14ac:dyDescent="0.2">
      <c r="A62" s="795">
        <v>5710</v>
      </c>
      <c r="B62" s="387" t="s">
        <v>869</v>
      </c>
      <c r="C62" s="383">
        <v>399.34</v>
      </c>
      <c r="D62" s="383">
        <v>407.12</v>
      </c>
      <c r="E62" s="383">
        <v>397.89</v>
      </c>
      <c r="F62" s="212"/>
      <c r="G62" s="212"/>
      <c r="H62" s="212"/>
      <c r="I62" s="212"/>
      <c r="J62" s="212"/>
      <c r="K62" s="212"/>
      <c r="L62" s="212"/>
      <c r="M62" s="384">
        <f t="shared" si="6"/>
        <v>900</v>
      </c>
      <c r="N62" s="411">
        <f t="shared" si="7"/>
        <v>900</v>
      </c>
      <c r="O62" s="386">
        <f t="shared" si="8"/>
        <v>0</v>
      </c>
      <c r="P62" s="392" t="str">
        <f t="shared" si="9"/>
        <v/>
      </c>
      <c r="Q62" s="385"/>
      <c r="R62" s="572"/>
      <c r="S62" s="386"/>
      <c r="T62" s="23"/>
      <c r="U62" s="4"/>
      <c r="V62" s="4"/>
      <c r="W62" s="4"/>
    </row>
    <row r="63" spans="1:23" ht="13.5" thickBot="1" x14ac:dyDescent="0.25">
      <c r="A63" s="795">
        <v>5730</v>
      </c>
      <c r="B63" s="387" t="s">
        <v>870</v>
      </c>
      <c r="C63" s="389">
        <v>401</v>
      </c>
      <c r="D63" s="389">
        <v>594.5</v>
      </c>
      <c r="E63" s="389">
        <v>551</v>
      </c>
      <c r="F63" s="212"/>
      <c r="G63" s="212"/>
      <c r="H63" s="212"/>
      <c r="I63" s="212"/>
      <c r="J63" s="212"/>
      <c r="K63" s="212"/>
      <c r="L63" s="212"/>
      <c r="M63" s="384">
        <f t="shared" si="6"/>
        <v>450</v>
      </c>
      <c r="N63" s="411">
        <f t="shared" si="7"/>
        <v>450</v>
      </c>
      <c r="O63" s="386">
        <f t="shared" si="8"/>
        <v>0</v>
      </c>
      <c r="P63" s="392" t="str">
        <f t="shared" si="9"/>
        <v/>
      </c>
      <c r="Q63" s="385"/>
      <c r="R63" s="572"/>
      <c r="S63" s="386"/>
      <c r="T63" s="23"/>
      <c r="U63" s="4"/>
      <c r="V63" s="4"/>
      <c r="W63" s="4"/>
    </row>
    <row r="64" spans="1:23" x14ac:dyDescent="0.2">
      <c r="A64" s="774"/>
      <c r="B64" s="4"/>
      <c r="C64" s="23"/>
      <c r="D64" s="23"/>
      <c r="E64" s="23"/>
      <c r="F64" s="23"/>
      <c r="G64" s="23"/>
      <c r="H64" s="212"/>
      <c r="I64" s="212"/>
      <c r="J64" s="212"/>
      <c r="K64" s="212"/>
      <c r="L64" s="212"/>
      <c r="M64" s="23"/>
      <c r="N64" s="23"/>
      <c r="O64" s="23"/>
      <c r="P64" s="4"/>
      <c r="Q64" s="23"/>
      <c r="R64" s="23"/>
      <c r="S64" s="23"/>
      <c r="T64" s="23"/>
      <c r="U64" s="4"/>
      <c r="V64" s="4"/>
      <c r="W64" s="4"/>
    </row>
    <row r="65" spans="1:23" x14ac:dyDescent="0.2">
      <c r="A65" s="774"/>
      <c r="B65" s="4" t="s">
        <v>846</v>
      </c>
      <c r="C65" s="23"/>
      <c r="D65" s="23"/>
      <c r="E65" s="23"/>
      <c r="F65" s="23"/>
      <c r="G65" s="23"/>
      <c r="H65" s="212"/>
      <c r="I65" s="212"/>
      <c r="J65" s="212"/>
      <c r="K65" s="212"/>
      <c r="L65" s="212"/>
      <c r="M65" s="616">
        <f>SUM(M46:M63)</f>
        <v>132533</v>
      </c>
      <c r="N65" s="616">
        <f>SUM(N46:N63)</f>
        <v>134429</v>
      </c>
      <c r="O65" s="25">
        <f>+N65-M65</f>
        <v>1896</v>
      </c>
      <c r="P65" s="617">
        <f>IF(M65+N65&lt;&gt;0,IF(M65&lt;&gt;0,IF(O65&lt;&gt;0,ROUND((+O65/M65),4),""),1),"")</f>
        <v>1.43E-2</v>
      </c>
      <c r="Q65" s="23"/>
      <c r="R65" s="23"/>
      <c r="S65" s="23"/>
      <c r="T65" s="23"/>
      <c r="U65" s="4"/>
      <c r="V65" s="4"/>
      <c r="W65" s="4"/>
    </row>
    <row r="66" spans="1:23" x14ac:dyDescent="0.2">
      <c r="A66" s="774"/>
      <c r="B66" s="4"/>
      <c r="C66" s="23"/>
      <c r="D66" s="23"/>
      <c r="E66" s="23"/>
      <c r="F66" s="23"/>
      <c r="G66" s="23"/>
      <c r="H66" s="212"/>
      <c r="I66" s="212"/>
      <c r="J66" s="212"/>
      <c r="K66" s="23"/>
      <c r="L66" s="23"/>
      <c r="M66" s="23"/>
      <c r="N66" s="23"/>
      <c r="O66" s="23"/>
      <c r="P66" s="4"/>
      <c r="Q66" s="23"/>
      <c r="R66" s="23"/>
      <c r="S66" s="23"/>
      <c r="T66" s="23"/>
      <c r="U66" s="4"/>
      <c r="V66" s="4"/>
      <c r="W66" s="4"/>
    </row>
    <row r="67" spans="1:23" x14ac:dyDescent="0.2">
      <c r="A67" s="774"/>
      <c r="B67" s="4"/>
      <c r="C67" s="23"/>
      <c r="D67" s="23"/>
      <c r="E67" s="23"/>
      <c r="F67" s="23"/>
      <c r="G67" s="23"/>
      <c r="H67" s="212"/>
      <c r="I67" s="23"/>
      <c r="J67" s="23"/>
      <c r="K67" s="23"/>
      <c r="L67" s="23"/>
      <c r="M67" s="23"/>
      <c r="N67" s="23"/>
      <c r="O67" s="23"/>
      <c r="P67" s="4"/>
      <c r="Q67" s="23"/>
      <c r="R67" s="23"/>
      <c r="S67" s="23"/>
      <c r="T67" s="23"/>
      <c r="U67" s="4"/>
      <c r="V67" s="4"/>
      <c r="W67" s="4"/>
    </row>
    <row r="68" spans="1:23" x14ac:dyDescent="0.2">
      <c r="A68" s="774"/>
      <c r="B68" s="4"/>
      <c r="C68" s="23"/>
      <c r="D68" s="23"/>
      <c r="E68" s="23"/>
      <c r="F68" s="23"/>
      <c r="G68" s="23"/>
      <c r="H68" s="212"/>
      <c r="I68" s="23"/>
      <c r="J68" s="23"/>
      <c r="K68" s="23"/>
      <c r="L68" s="23"/>
      <c r="M68" s="23"/>
      <c r="N68" s="23"/>
      <c r="O68" s="23"/>
      <c r="P68" s="4"/>
      <c r="Q68" s="23"/>
      <c r="R68" s="23"/>
      <c r="S68" s="23"/>
      <c r="T68" s="23"/>
      <c r="U68" s="4"/>
      <c r="V68" s="4"/>
      <c r="W68" s="4"/>
    </row>
    <row r="69" spans="1:23" x14ac:dyDescent="0.2">
      <c r="A69" s="774"/>
      <c r="B69" s="4"/>
      <c r="C69" s="23"/>
      <c r="D69" s="23"/>
      <c r="E69" s="23"/>
      <c r="F69" s="23"/>
      <c r="G69" s="23"/>
      <c r="H69" s="23"/>
      <c r="I69" s="23"/>
      <c r="J69" s="23"/>
      <c r="K69" s="23"/>
      <c r="L69" s="23"/>
      <c r="M69" s="23"/>
      <c r="N69" s="23"/>
      <c r="O69" s="23"/>
      <c r="P69" s="4"/>
      <c r="Q69" s="23"/>
      <c r="R69" s="23"/>
      <c r="S69" s="23"/>
      <c r="T69" s="23"/>
      <c r="U69" s="4"/>
      <c r="V69" s="4"/>
      <c r="W69" s="4"/>
    </row>
    <row r="70" spans="1:23" x14ac:dyDescent="0.2">
      <c r="A70" s="774"/>
      <c r="B70" s="4"/>
      <c r="C70" s="23"/>
      <c r="D70" s="23"/>
      <c r="E70" s="23"/>
      <c r="F70" s="23"/>
      <c r="G70" s="23"/>
      <c r="H70" s="23"/>
      <c r="I70" s="23"/>
      <c r="J70" s="23"/>
      <c r="K70" s="23"/>
      <c r="L70" s="23"/>
      <c r="M70" s="23"/>
      <c r="N70" s="23"/>
      <c r="O70" s="23"/>
      <c r="P70" s="4"/>
      <c r="Q70" s="23"/>
      <c r="R70" s="23"/>
      <c r="S70" s="23"/>
      <c r="T70" s="23"/>
      <c r="U70" s="4"/>
      <c r="V70" s="4"/>
      <c r="W70" s="4"/>
    </row>
    <row r="71" spans="1:23" x14ac:dyDescent="0.2">
      <c r="A71" s="774"/>
      <c r="B71" s="4"/>
      <c r="C71" s="23"/>
      <c r="D71" s="23"/>
      <c r="E71" s="23"/>
      <c r="F71" s="23"/>
      <c r="G71" s="23"/>
      <c r="H71" s="23"/>
      <c r="I71" s="23"/>
      <c r="J71" s="23"/>
      <c r="K71" s="23"/>
      <c r="L71" s="23"/>
      <c r="M71" s="23"/>
      <c r="N71" s="23"/>
      <c r="O71" s="23"/>
      <c r="P71" s="4"/>
      <c r="Q71" s="23"/>
      <c r="R71" s="23"/>
      <c r="S71" s="23"/>
      <c r="T71" s="23"/>
      <c r="U71" s="4"/>
      <c r="V71" s="4"/>
      <c r="W71" s="4"/>
    </row>
    <row r="72" spans="1:23" x14ac:dyDescent="0.2">
      <c r="A72" s="774"/>
      <c r="B72" s="4"/>
      <c r="C72" s="23"/>
      <c r="D72" s="23"/>
      <c r="E72" s="23"/>
      <c r="F72" s="23"/>
      <c r="G72" s="23"/>
      <c r="H72" s="23"/>
      <c r="I72" s="23"/>
      <c r="J72" s="23"/>
      <c r="K72" s="23"/>
      <c r="L72" s="23"/>
      <c r="M72" s="23"/>
      <c r="N72" s="23"/>
      <c r="O72" s="23"/>
      <c r="P72" s="4"/>
      <c r="Q72" s="23"/>
      <c r="R72" s="23"/>
      <c r="S72" s="23"/>
      <c r="T72" s="23"/>
      <c r="U72" s="4"/>
      <c r="V72" s="4"/>
      <c r="W72" s="4"/>
    </row>
    <row r="73" spans="1:23" x14ac:dyDescent="0.2">
      <c r="A73" s="774"/>
      <c r="B73" s="4"/>
      <c r="C73" s="23"/>
      <c r="D73" s="23"/>
      <c r="E73" s="23"/>
      <c r="F73" s="23"/>
      <c r="G73" s="23"/>
      <c r="H73" s="23"/>
      <c r="I73" s="23"/>
      <c r="J73" s="23"/>
      <c r="K73" s="23"/>
      <c r="L73" s="23"/>
      <c r="M73" s="23"/>
      <c r="N73" s="23"/>
      <c r="O73" s="23"/>
      <c r="P73" s="4"/>
      <c r="Q73" s="23"/>
      <c r="R73" s="23"/>
      <c r="S73" s="23"/>
      <c r="T73" s="23"/>
      <c r="U73" s="4"/>
      <c r="V73" s="4"/>
      <c r="W73" s="4"/>
    </row>
    <row r="74" spans="1:23" x14ac:dyDescent="0.2">
      <c r="A74" s="774"/>
      <c r="B74" s="4"/>
      <c r="C74" s="23"/>
      <c r="D74" s="23"/>
      <c r="E74" s="23"/>
      <c r="F74" s="23"/>
      <c r="G74" s="23"/>
      <c r="H74" s="23"/>
      <c r="I74" s="23"/>
      <c r="J74" s="23"/>
      <c r="K74" s="23"/>
      <c r="L74" s="23"/>
      <c r="M74" s="23"/>
      <c r="N74" s="23"/>
      <c r="O74" s="23"/>
      <c r="P74" s="4"/>
      <c r="Q74" s="23"/>
      <c r="R74" s="23"/>
      <c r="S74" s="23"/>
      <c r="T74" s="23"/>
      <c r="U74" s="4"/>
      <c r="V74" s="4"/>
      <c r="W74" s="4"/>
    </row>
    <row r="75" spans="1:23" x14ac:dyDescent="0.2">
      <c r="A75" s="774"/>
      <c r="B75" s="4"/>
      <c r="C75" s="23"/>
      <c r="D75" s="23"/>
      <c r="E75" s="23"/>
      <c r="F75" s="23"/>
      <c r="G75" s="23"/>
      <c r="H75" s="23"/>
      <c r="I75" s="23"/>
      <c r="J75" s="23"/>
      <c r="K75" s="23"/>
      <c r="L75" s="23"/>
      <c r="M75" s="23"/>
      <c r="N75" s="23"/>
      <c r="O75" s="23"/>
      <c r="P75" s="4"/>
      <c r="Q75" s="23"/>
      <c r="R75" s="23"/>
      <c r="S75" s="23"/>
      <c r="T75" s="23"/>
      <c r="U75" s="4"/>
      <c r="V75" s="4"/>
      <c r="W75" s="4"/>
    </row>
    <row r="76" spans="1:23" x14ac:dyDescent="0.2">
      <c r="A76" s="774"/>
      <c r="B76" s="4"/>
      <c r="C76" s="23"/>
      <c r="D76" s="23"/>
      <c r="E76" s="23"/>
      <c r="F76" s="23"/>
      <c r="G76" s="23"/>
      <c r="H76" s="23"/>
      <c r="I76" s="23"/>
      <c r="J76" s="23"/>
      <c r="K76" s="23"/>
      <c r="L76" s="23"/>
      <c r="M76" s="23"/>
      <c r="N76" s="23"/>
      <c r="O76" s="23"/>
      <c r="P76" s="4"/>
      <c r="Q76" s="23"/>
      <c r="R76" s="23"/>
      <c r="S76" s="23"/>
      <c r="T76" s="23"/>
      <c r="U76" s="4"/>
      <c r="V76" s="4"/>
      <c r="W76" s="4"/>
    </row>
    <row r="77" spans="1:23" x14ac:dyDescent="0.2">
      <c r="A77" s="774"/>
      <c r="B77" s="4"/>
      <c r="C77" s="23"/>
      <c r="D77" s="23"/>
      <c r="E77" s="23"/>
      <c r="F77" s="23"/>
      <c r="G77" s="23"/>
      <c r="H77" s="23"/>
      <c r="I77" s="23"/>
      <c r="J77" s="23"/>
      <c r="K77" s="23"/>
      <c r="L77" s="23"/>
      <c r="M77" s="23"/>
      <c r="N77" s="23"/>
      <c r="O77" s="23"/>
      <c r="P77" s="4"/>
      <c r="Q77" s="23"/>
      <c r="R77" s="23"/>
      <c r="S77" s="23"/>
      <c r="T77" s="23"/>
      <c r="U77" s="4"/>
      <c r="V77" s="4"/>
      <c r="W77" s="4"/>
    </row>
    <row r="78" spans="1:23" x14ac:dyDescent="0.2">
      <c r="A78" s="774"/>
      <c r="B78" s="4"/>
      <c r="C78" s="23"/>
      <c r="D78" s="23"/>
      <c r="E78" s="23"/>
      <c r="F78" s="23"/>
      <c r="G78" s="23"/>
      <c r="H78" s="23"/>
      <c r="I78" s="23"/>
      <c r="J78" s="23"/>
      <c r="K78" s="23"/>
      <c r="L78" s="23"/>
      <c r="M78" s="23"/>
      <c r="N78" s="23"/>
      <c r="O78" s="23"/>
      <c r="P78" s="4"/>
      <c r="Q78" s="23"/>
      <c r="R78" s="23"/>
      <c r="S78" s="23"/>
      <c r="T78" s="23"/>
      <c r="U78" s="4"/>
      <c r="V78" s="4"/>
      <c r="W78" s="4"/>
    </row>
    <row r="79" spans="1:23" x14ac:dyDescent="0.2">
      <c r="A79" s="774"/>
      <c r="B79" s="4"/>
      <c r="C79" s="23"/>
      <c r="D79" s="23"/>
      <c r="E79" s="23"/>
      <c r="F79" s="23"/>
      <c r="G79" s="23"/>
      <c r="H79" s="23"/>
      <c r="I79" s="23"/>
      <c r="J79" s="23"/>
      <c r="K79" s="23"/>
      <c r="L79" s="23"/>
      <c r="M79" s="23"/>
      <c r="N79" s="23"/>
      <c r="O79" s="23"/>
      <c r="P79" s="4"/>
      <c r="Q79" s="23"/>
      <c r="R79" s="23"/>
      <c r="S79" s="23"/>
      <c r="T79" s="23"/>
      <c r="U79" s="4"/>
      <c r="V79" s="4"/>
      <c r="W79" s="4"/>
    </row>
    <row r="80" spans="1:23" x14ac:dyDescent="0.2">
      <c r="A80" s="774"/>
      <c r="B80" s="4"/>
      <c r="C80" s="23"/>
      <c r="D80" s="23"/>
      <c r="E80" s="23"/>
      <c r="F80" s="23"/>
      <c r="G80" s="23"/>
      <c r="H80" s="23"/>
      <c r="I80" s="23"/>
      <c r="J80" s="23"/>
      <c r="K80" s="23"/>
      <c r="L80" s="23"/>
      <c r="M80" s="23"/>
      <c r="N80" s="23"/>
      <c r="O80" s="23"/>
      <c r="P80" s="4"/>
      <c r="Q80" s="23"/>
      <c r="R80" s="23"/>
      <c r="S80" s="23"/>
      <c r="T80" s="23"/>
      <c r="U80" s="4"/>
      <c r="V80" s="4"/>
      <c r="W80" s="4"/>
    </row>
    <row r="81" spans="1:23" x14ac:dyDescent="0.2">
      <c r="A81" s="774"/>
      <c r="B81" s="4"/>
      <c r="C81" s="23"/>
      <c r="D81" s="23"/>
      <c r="E81" s="23"/>
      <c r="F81" s="23"/>
      <c r="G81" s="23"/>
      <c r="H81" s="23"/>
      <c r="I81" s="23"/>
      <c r="J81" s="23"/>
      <c r="K81" s="23"/>
      <c r="L81" s="23"/>
      <c r="M81" s="23"/>
      <c r="N81" s="23"/>
      <c r="O81" s="23"/>
      <c r="P81" s="4"/>
      <c r="Q81" s="23"/>
      <c r="R81" s="23"/>
      <c r="S81" s="23"/>
      <c r="T81" s="23"/>
      <c r="U81" s="4"/>
      <c r="V81" s="4"/>
      <c r="W81" s="4"/>
    </row>
    <row r="82" spans="1:23" x14ac:dyDescent="0.2">
      <c r="A82" s="774"/>
      <c r="B82" s="4"/>
      <c r="C82" s="23"/>
      <c r="D82" s="23"/>
      <c r="E82" s="23"/>
      <c r="F82" s="23"/>
      <c r="G82" s="23"/>
      <c r="H82" s="23"/>
      <c r="I82" s="23"/>
      <c r="J82" s="23"/>
      <c r="K82" s="23"/>
      <c r="L82" s="23"/>
      <c r="M82" s="23"/>
      <c r="N82" s="23"/>
      <c r="O82" s="23"/>
      <c r="P82" s="4"/>
      <c r="Q82" s="23"/>
      <c r="R82" s="23"/>
      <c r="S82" s="23"/>
      <c r="T82" s="23"/>
      <c r="U82" s="4"/>
      <c r="V82" s="4"/>
      <c r="W82" s="4"/>
    </row>
    <row r="83" spans="1:23" x14ac:dyDescent="0.2">
      <c r="A83" s="774"/>
      <c r="B83" s="4"/>
      <c r="C83" s="23"/>
      <c r="D83" s="23"/>
      <c r="E83" s="23"/>
      <c r="F83" s="23"/>
      <c r="G83" s="23"/>
      <c r="H83" s="23"/>
      <c r="I83" s="23"/>
      <c r="J83" s="23"/>
      <c r="K83" s="23"/>
      <c r="L83" s="23"/>
      <c r="M83" s="23"/>
      <c r="N83" s="23"/>
      <c r="O83" s="23"/>
      <c r="P83" s="4"/>
      <c r="Q83" s="23"/>
      <c r="R83" s="23"/>
      <c r="S83" s="23"/>
      <c r="T83" s="23"/>
      <c r="U83" s="4"/>
      <c r="V83" s="4"/>
      <c r="W83" s="4"/>
    </row>
    <row r="84" spans="1:23" x14ac:dyDescent="0.2">
      <c r="A84" s="774"/>
      <c r="B84" s="4"/>
      <c r="C84" s="23"/>
      <c r="D84" s="23"/>
      <c r="E84" s="23"/>
      <c r="F84" s="23"/>
      <c r="G84" s="23"/>
      <c r="H84" s="23"/>
      <c r="I84" s="23"/>
      <c r="J84" s="23"/>
      <c r="K84" s="23"/>
      <c r="L84" s="23"/>
      <c r="M84" s="23"/>
      <c r="N84" s="23"/>
      <c r="O84" s="23"/>
      <c r="P84" s="4"/>
      <c r="Q84" s="23"/>
      <c r="R84" s="23"/>
      <c r="S84" s="23"/>
      <c r="T84" s="23"/>
      <c r="U84" s="4"/>
      <c r="V84" s="4"/>
      <c r="W84" s="4"/>
    </row>
    <row r="85" spans="1:23" x14ac:dyDescent="0.2">
      <c r="A85" s="774"/>
      <c r="B85" s="4"/>
      <c r="C85" s="23"/>
      <c r="D85" s="23"/>
      <c r="E85" s="23"/>
      <c r="F85" s="23"/>
      <c r="G85" s="23"/>
      <c r="H85" s="23"/>
      <c r="I85" s="23"/>
      <c r="J85" s="23"/>
      <c r="K85" s="23"/>
      <c r="L85" s="23"/>
      <c r="M85" s="23"/>
      <c r="N85" s="23"/>
      <c r="O85" s="23"/>
      <c r="P85" s="4"/>
      <c r="Q85" s="23"/>
      <c r="R85" s="23"/>
      <c r="S85" s="23"/>
      <c r="T85" s="23"/>
      <c r="U85" s="4"/>
      <c r="V85" s="4"/>
      <c r="W85" s="4"/>
    </row>
    <row r="86" spans="1:23" x14ac:dyDescent="0.2">
      <c r="A86" s="774"/>
      <c r="B86" s="4"/>
      <c r="C86" s="23"/>
      <c r="D86" s="23"/>
      <c r="E86" s="23"/>
      <c r="F86" s="23"/>
      <c r="G86" s="23"/>
      <c r="H86" s="23"/>
      <c r="I86" s="23"/>
      <c r="J86" s="23"/>
      <c r="K86" s="23"/>
      <c r="L86" s="23"/>
      <c r="M86" s="23"/>
      <c r="N86" s="23"/>
      <c r="O86" s="23"/>
      <c r="P86" s="4"/>
      <c r="Q86" s="23"/>
      <c r="R86" s="23"/>
      <c r="S86" s="23"/>
      <c r="T86" s="23"/>
      <c r="U86" s="4"/>
      <c r="V86" s="4"/>
      <c r="W86" s="4"/>
    </row>
    <row r="87" spans="1:23" x14ac:dyDescent="0.2">
      <c r="A87" s="774"/>
      <c r="B87" s="4"/>
      <c r="C87" s="23"/>
      <c r="D87" s="23"/>
      <c r="E87" s="23"/>
      <c r="F87" s="23"/>
      <c r="G87" s="23"/>
      <c r="H87" s="23"/>
      <c r="I87" s="23"/>
      <c r="J87" s="23"/>
      <c r="K87" s="23"/>
      <c r="L87" s="23"/>
      <c r="M87" s="23"/>
      <c r="N87" s="23"/>
      <c r="O87" s="23"/>
      <c r="P87" s="4"/>
      <c r="Q87" s="23"/>
      <c r="R87" s="23"/>
      <c r="S87" s="23"/>
      <c r="T87" s="23"/>
      <c r="U87" s="4"/>
      <c r="V87" s="4"/>
      <c r="W87" s="4"/>
    </row>
    <row r="88" spans="1:23" x14ac:dyDescent="0.2">
      <c r="A88" s="774"/>
      <c r="B88" s="4"/>
      <c r="C88" s="23"/>
      <c r="D88" s="23"/>
      <c r="E88" s="23"/>
      <c r="F88" s="23"/>
      <c r="G88" s="23"/>
      <c r="H88" s="23"/>
      <c r="I88" s="23"/>
      <c r="J88" s="23"/>
      <c r="K88" s="23"/>
      <c r="L88" s="23"/>
      <c r="M88" s="23"/>
      <c r="N88" s="23"/>
      <c r="O88" s="23"/>
      <c r="P88" s="4"/>
      <c r="Q88" s="23"/>
      <c r="R88" s="23"/>
      <c r="S88" s="23"/>
      <c r="T88" s="23"/>
      <c r="U88" s="4"/>
      <c r="V88" s="4"/>
      <c r="W88" s="4"/>
    </row>
    <row r="89" spans="1:23" x14ac:dyDescent="0.2">
      <c r="A89" s="774"/>
      <c r="B89" s="4"/>
      <c r="C89" s="23"/>
      <c r="D89" s="23"/>
      <c r="E89" s="23"/>
      <c r="F89" s="23"/>
      <c r="G89" s="23"/>
      <c r="H89" s="23"/>
      <c r="I89" s="23"/>
      <c r="J89" s="23"/>
      <c r="K89" s="23"/>
      <c r="L89" s="23"/>
      <c r="M89" s="23"/>
      <c r="N89" s="23"/>
      <c r="O89" s="23"/>
      <c r="P89" s="4"/>
      <c r="Q89" s="23"/>
      <c r="R89" s="23"/>
      <c r="S89" s="23"/>
      <c r="T89" s="23"/>
      <c r="U89" s="4"/>
      <c r="V89" s="4"/>
      <c r="W89" s="4"/>
    </row>
    <row r="90" spans="1:23" x14ac:dyDescent="0.2">
      <c r="A90" s="774"/>
      <c r="B90" s="4"/>
      <c r="C90" s="23"/>
      <c r="D90" s="23"/>
      <c r="E90" s="23"/>
      <c r="F90" s="23"/>
      <c r="G90" s="23"/>
      <c r="H90" s="23"/>
      <c r="I90" s="23"/>
      <c r="J90" s="23"/>
      <c r="K90" s="23"/>
      <c r="L90" s="23"/>
      <c r="M90" s="23"/>
      <c r="N90" s="23"/>
      <c r="O90" s="23"/>
      <c r="P90" s="4"/>
      <c r="Q90" s="23"/>
      <c r="R90" s="23"/>
      <c r="S90" s="23"/>
      <c r="T90" s="23"/>
      <c r="U90" s="4"/>
      <c r="V90" s="4"/>
      <c r="W90" s="4"/>
    </row>
    <row r="91" spans="1:23" x14ac:dyDescent="0.2">
      <c r="A91" s="774"/>
      <c r="B91" s="4"/>
      <c r="C91" s="23"/>
      <c r="D91" s="23"/>
      <c r="E91" s="23"/>
      <c r="F91" s="23"/>
      <c r="G91" s="23"/>
      <c r="H91" s="23"/>
      <c r="I91" s="23"/>
      <c r="J91" s="23"/>
      <c r="K91" s="23"/>
      <c r="L91" s="23"/>
      <c r="M91" s="23"/>
      <c r="N91" s="23"/>
      <c r="O91" s="23"/>
      <c r="P91" s="4"/>
      <c r="Q91" s="23"/>
      <c r="R91" s="23"/>
      <c r="S91" s="23"/>
      <c r="T91" s="23"/>
      <c r="U91" s="4"/>
      <c r="V91" s="4"/>
      <c r="W91" s="4"/>
    </row>
    <row r="92" spans="1:23" x14ac:dyDescent="0.2">
      <c r="A92" s="774"/>
      <c r="B92" s="4"/>
      <c r="C92" s="23"/>
      <c r="D92" s="23"/>
      <c r="E92" s="23"/>
      <c r="F92" s="23"/>
      <c r="G92" s="23"/>
      <c r="H92" s="23"/>
      <c r="I92" s="23"/>
      <c r="J92" s="23"/>
      <c r="K92" s="23"/>
      <c r="L92" s="23"/>
      <c r="M92" s="23"/>
      <c r="N92" s="23"/>
      <c r="O92" s="23"/>
      <c r="P92" s="4"/>
      <c r="Q92" s="23"/>
      <c r="R92" s="23"/>
      <c r="S92" s="23"/>
      <c r="T92" s="23"/>
      <c r="U92" s="4"/>
      <c r="V92" s="4"/>
      <c r="W92" s="4"/>
    </row>
    <row r="93" spans="1:23" x14ac:dyDescent="0.2">
      <c r="A93" s="774"/>
      <c r="B93" s="4"/>
      <c r="C93" s="23"/>
      <c r="D93" s="23"/>
      <c r="E93" s="23"/>
      <c r="F93" s="23"/>
      <c r="G93" s="23"/>
      <c r="H93" s="23"/>
      <c r="I93" s="23"/>
      <c r="J93" s="23"/>
      <c r="K93" s="23"/>
      <c r="L93" s="23"/>
      <c r="M93" s="23"/>
      <c r="N93" s="23"/>
      <c r="O93" s="23"/>
      <c r="P93" s="4"/>
      <c r="Q93" s="23"/>
      <c r="R93" s="23"/>
      <c r="S93" s="23"/>
      <c r="T93" s="23"/>
      <c r="U93" s="4"/>
      <c r="V93" s="4"/>
      <c r="W93" s="4"/>
    </row>
    <row r="94" spans="1:23" x14ac:dyDescent="0.2">
      <c r="A94" s="774"/>
      <c r="B94" s="4"/>
      <c r="C94" s="23"/>
      <c r="D94" s="23"/>
      <c r="E94" s="23"/>
      <c r="F94" s="23"/>
      <c r="G94" s="23"/>
      <c r="H94" s="23"/>
      <c r="I94" s="23"/>
      <c r="J94" s="23"/>
      <c r="K94" s="23"/>
      <c r="L94" s="23"/>
      <c r="M94" s="23"/>
      <c r="N94" s="23"/>
      <c r="O94" s="23"/>
      <c r="P94" s="4"/>
      <c r="Q94" s="23"/>
      <c r="R94" s="23"/>
      <c r="S94" s="23"/>
      <c r="T94" s="23"/>
      <c r="U94" s="4"/>
      <c r="V94" s="4"/>
      <c r="W94" s="4"/>
    </row>
    <row r="95" spans="1:23" x14ac:dyDescent="0.2">
      <c r="A95" s="774"/>
      <c r="B95" s="4"/>
      <c r="C95" s="23"/>
      <c r="D95" s="23"/>
      <c r="E95" s="23"/>
      <c r="F95" s="23"/>
      <c r="G95" s="23"/>
      <c r="H95" s="23"/>
      <c r="I95" s="23"/>
      <c r="J95" s="23"/>
      <c r="K95" s="23"/>
      <c r="L95" s="23"/>
      <c r="M95" s="23"/>
      <c r="N95" s="23"/>
      <c r="O95" s="23"/>
      <c r="P95" s="4"/>
      <c r="Q95" s="23"/>
      <c r="R95" s="23"/>
      <c r="S95" s="23"/>
      <c r="T95" s="23"/>
      <c r="U95" s="4"/>
      <c r="V95" s="4"/>
      <c r="W95" s="4"/>
    </row>
    <row r="96" spans="1:23" x14ac:dyDescent="0.2">
      <c r="A96" s="774"/>
      <c r="B96" s="4"/>
      <c r="C96" s="23"/>
      <c r="D96" s="23"/>
      <c r="E96" s="23"/>
      <c r="F96" s="23"/>
      <c r="G96" s="23"/>
      <c r="H96" s="23"/>
      <c r="I96" s="23"/>
      <c r="J96" s="23"/>
      <c r="K96" s="23"/>
      <c r="L96" s="23"/>
      <c r="M96" s="23"/>
      <c r="N96" s="23"/>
      <c r="O96" s="23"/>
      <c r="P96" s="4"/>
      <c r="Q96" s="23"/>
      <c r="R96" s="23"/>
      <c r="S96" s="23"/>
      <c r="T96" s="23"/>
      <c r="U96" s="4"/>
      <c r="V96" s="4"/>
      <c r="W96" s="4"/>
    </row>
    <row r="97" spans="1:23" x14ac:dyDescent="0.2">
      <c r="A97" s="774"/>
      <c r="B97" s="4"/>
      <c r="C97" s="23"/>
      <c r="D97" s="23"/>
      <c r="E97" s="23"/>
      <c r="F97" s="23"/>
      <c r="G97" s="23"/>
      <c r="H97" s="23"/>
      <c r="I97" s="23"/>
      <c r="J97" s="23"/>
      <c r="K97" s="23"/>
      <c r="L97" s="23"/>
      <c r="M97" s="23"/>
      <c r="N97" s="23"/>
      <c r="O97" s="23"/>
      <c r="P97" s="4"/>
      <c r="Q97" s="23"/>
      <c r="R97" s="23"/>
      <c r="S97" s="23"/>
      <c r="T97" s="23"/>
      <c r="U97" s="4"/>
      <c r="V97" s="4"/>
      <c r="W97" s="4"/>
    </row>
    <row r="98" spans="1:23" x14ac:dyDescent="0.2">
      <c r="A98" s="774"/>
      <c r="B98" s="4"/>
      <c r="C98" s="23"/>
      <c r="D98" s="23"/>
      <c r="E98" s="23"/>
      <c r="F98" s="23"/>
      <c r="G98" s="23"/>
      <c r="H98" s="23"/>
      <c r="I98" s="23"/>
      <c r="J98" s="23"/>
      <c r="K98" s="23"/>
      <c r="L98" s="23"/>
      <c r="M98" s="23"/>
      <c r="N98" s="23"/>
      <c r="O98" s="23"/>
      <c r="P98" s="4"/>
      <c r="Q98" s="23"/>
      <c r="R98" s="23"/>
      <c r="S98" s="23"/>
      <c r="T98" s="23"/>
      <c r="U98" s="4"/>
      <c r="V98" s="4"/>
      <c r="W98" s="4"/>
    </row>
    <row r="99" spans="1:23" x14ac:dyDescent="0.2">
      <c r="A99" s="774"/>
      <c r="B99" s="4"/>
      <c r="C99" s="23"/>
      <c r="D99" s="23"/>
      <c r="E99" s="23"/>
      <c r="F99" s="23"/>
      <c r="G99" s="23"/>
      <c r="H99" s="23"/>
      <c r="I99" s="23"/>
      <c r="J99" s="23"/>
      <c r="K99" s="23"/>
      <c r="L99" s="23"/>
      <c r="M99" s="23"/>
      <c r="N99" s="23"/>
      <c r="O99" s="23"/>
      <c r="P99" s="4"/>
      <c r="Q99" s="23"/>
      <c r="R99" s="23"/>
      <c r="S99" s="23"/>
      <c r="T99" s="23"/>
      <c r="U99" s="4"/>
      <c r="V99" s="4"/>
      <c r="W99" s="4"/>
    </row>
    <row r="100" spans="1:23" x14ac:dyDescent="0.2">
      <c r="A100" s="774"/>
      <c r="B100" s="4"/>
      <c r="C100" s="23"/>
      <c r="D100" s="23"/>
      <c r="E100" s="23"/>
      <c r="F100" s="23"/>
      <c r="G100" s="23"/>
      <c r="H100" s="23"/>
      <c r="I100" s="23"/>
      <c r="J100" s="23"/>
      <c r="K100" s="23"/>
      <c r="L100" s="23"/>
      <c r="M100" s="23"/>
      <c r="N100" s="23"/>
      <c r="O100" s="23"/>
      <c r="P100" s="4"/>
      <c r="Q100" s="23"/>
      <c r="R100" s="23"/>
      <c r="S100" s="23"/>
      <c r="T100" s="23"/>
      <c r="U100" s="4"/>
      <c r="V100" s="4"/>
      <c r="W100" s="4"/>
    </row>
    <row r="101" spans="1:23" x14ac:dyDescent="0.2">
      <c r="A101" s="774"/>
      <c r="B101" s="4"/>
      <c r="C101" s="23"/>
      <c r="D101" s="23"/>
      <c r="E101" s="23"/>
      <c r="F101" s="23"/>
      <c r="G101" s="23"/>
      <c r="H101" s="23"/>
      <c r="I101" s="23"/>
      <c r="J101" s="23"/>
      <c r="K101" s="23"/>
      <c r="L101" s="23"/>
      <c r="M101" s="23"/>
      <c r="N101" s="23"/>
      <c r="O101" s="23"/>
      <c r="P101" s="4"/>
      <c r="Q101" s="23"/>
      <c r="R101" s="23"/>
      <c r="S101" s="23"/>
      <c r="T101" s="23"/>
      <c r="U101" s="4"/>
      <c r="V101" s="4"/>
      <c r="W101" s="4"/>
    </row>
    <row r="102" spans="1:23" x14ac:dyDescent="0.2">
      <c r="A102" s="774"/>
      <c r="B102" s="4"/>
      <c r="C102" s="23"/>
      <c r="D102" s="23"/>
      <c r="E102" s="23"/>
      <c r="F102" s="23"/>
      <c r="G102" s="23"/>
      <c r="H102" s="23"/>
      <c r="I102" s="23"/>
      <c r="J102" s="23"/>
      <c r="K102" s="23"/>
      <c r="L102" s="23"/>
      <c r="M102" s="23"/>
      <c r="N102" s="23"/>
      <c r="O102" s="23"/>
      <c r="P102" s="4"/>
      <c r="Q102" s="23"/>
      <c r="R102" s="23"/>
      <c r="S102" s="23"/>
      <c r="T102" s="23"/>
      <c r="U102" s="4"/>
      <c r="V102" s="4"/>
      <c r="W102" s="4"/>
    </row>
    <row r="103" spans="1:23" x14ac:dyDescent="0.2">
      <c r="A103" s="774"/>
      <c r="B103" s="4"/>
      <c r="C103" s="23"/>
      <c r="D103" s="23"/>
      <c r="E103" s="23"/>
      <c r="F103" s="23"/>
      <c r="G103" s="23"/>
      <c r="H103" s="23"/>
      <c r="I103" s="23"/>
      <c r="J103" s="23"/>
      <c r="K103" s="23"/>
      <c r="L103" s="23"/>
      <c r="M103" s="23"/>
      <c r="N103" s="23"/>
      <c r="O103" s="23"/>
      <c r="P103" s="4"/>
      <c r="Q103" s="23"/>
      <c r="R103" s="23"/>
      <c r="S103" s="23"/>
      <c r="T103" s="23"/>
      <c r="U103" s="4"/>
      <c r="V103" s="4"/>
      <c r="W103" s="4"/>
    </row>
    <row r="104" spans="1:23" x14ac:dyDescent="0.2">
      <c r="A104" s="774"/>
      <c r="B104" s="4"/>
      <c r="C104" s="23"/>
      <c r="D104" s="23"/>
      <c r="E104" s="23"/>
      <c r="F104" s="23"/>
      <c r="G104" s="23"/>
      <c r="H104" s="23"/>
      <c r="I104" s="23"/>
      <c r="J104" s="23"/>
      <c r="K104" s="23"/>
      <c r="L104" s="23"/>
      <c r="M104" s="23"/>
      <c r="N104" s="23"/>
      <c r="O104" s="23"/>
      <c r="P104" s="4"/>
      <c r="Q104" s="23"/>
      <c r="R104" s="23"/>
      <c r="S104" s="23"/>
      <c r="T104" s="23"/>
      <c r="U104" s="4"/>
      <c r="V104" s="4"/>
      <c r="W104" s="4"/>
    </row>
    <row r="105" spans="1:23" x14ac:dyDescent="0.2">
      <c r="A105" s="774"/>
      <c r="B105" s="4"/>
      <c r="C105" s="23"/>
      <c r="D105" s="23"/>
      <c r="E105" s="23"/>
      <c r="F105" s="23"/>
      <c r="G105" s="23"/>
      <c r="H105" s="23"/>
      <c r="I105" s="23"/>
      <c r="J105" s="23"/>
      <c r="K105" s="23"/>
      <c r="L105" s="23"/>
      <c r="M105" s="23"/>
      <c r="N105" s="23"/>
      <c r="O105" s="23"/>
      <c r="P105" s="4"/>
      <c r="Q105" s="23"/>
      <c r="R105" s="23"/>
      <c r="S105" s="23"/>
      <c r="T105" s="23"/>
      <c r="U105" s="4"/>
      <c r="V105" s="4"/>
      <c r="W105" s="4"/>
    </row>
    <row r="106" spans="1:23" x14ac:dyDescent="0.2">
      <c r="A106" s="774"/>
      <c r="B106" s="4"/>
      <c r="C106" s="23"/>
      <c r="D106" s="23"/>
      <c r="E106" s="23"/>
      <c r="F106" s="23"/>
      <c r="G106" s="23"/>
      <c r="H106" s="23"/>
      <c r="I106" s="23"/>
      <c r="J106" s="23"/>
      <c r="K106" s="23"/>
      <c r="L106" s="23"/>
      <c r="M106" s="23"/>
      <c r="N106" s="23"/>
      <c r="O106" s="23"/>
      <c r="P106" s="4"/>
      <c r="Q106" s="23"/>
      <c r="R106" s="23"/>
      <c r="S106" s="23"/>
      <c r="T106" s="23"/>
      <c r="U106" s="4"/>
      <c r="V106" s="4"/>
      <c r="W106" s="4"/>
    </row>
    <row r="107" spans="1:23" x14ac:dyDescent="0.2">
      <c r="A107" s="774"/>
      <c r="B107" s="4"/>
      <c r="C107" s="23"/>
      <c r="D107" s="23"/>
      <c r="E107" s="23"/>
      <c r="F107" s="23"/>
      <c r="G107" s="23"/>
      <c r="H107" s="23"/>
      <c r="I107" s="23"/>
      <c r="J107" s="23"/>
      <c r="K107" s="23"/>
      <c r="L107" s="23"/>
      <c r="M107" s="23"/>
      <c r="N107" s="23"/>
      <c r="O107" s="23"/>
      <c r="P107" s="4"/>
      <c r="Q107" s="23"/>
      <c r="R107" s="23"/>
      <c r="S107" s="23"/>
      <c r="T107" s="23"/>
      <c r="U107" s="4"/>
      <c r="V107" s="4"/>
      <c r="W107" s="4"/>
    </row>
    <row r="108" spans="1:23" x14ac:dyDescent="0.2">
      <c r="A108" s="774"/>
      <c r="B108" s="4"/>
      <c r="C108" s="23"/>
      <c r="D108" s="23"/>
      <c r="E108" s="23"/>
      <c r="F108" s="23"/>
      <c r="G108" s="23"/>
      <c r="H108" s="23"/>
      <c r="I108" s="23"/>
      <c r="J108" s="23"/>
      <c r="K108" s="23"/>
      <c r="L108" s="23"/>
      <c r="M108" s="23"/>
      <c r="N108" s="23"/>
      <c r="O108" s="23"/>
      <c r="P108" s="4"/>
      <c r="Q108" s="23"/>
      <c r="R108" s="23"/>
      <c r="S108" s="23"/>
      <c r="T108" s="23"/>
      <c r="U108" s="4"/>
      <c r="V108" s="4"/>
      <c r="W108" s="4"/>
    </row>
    <row r="109" spans="1:23" x14ac:dyDescent="0.2">
      <c r="A109" s="774"/>
      <c r="B109" s="4"/>
      <c r="C109" s="23"/>
      <c r="D109" s="23"/>
      <c r="E109" s="23"/>
      <c r="F109" s="23"/>
      <c r="G109" s="23"/>
      <c r="H109" s="23"/>
      <c r="I109" s="23"/>
      <c r="J109" s="23"/>
      <c r="K109" s="23"/>
      <c r="L109" s="23"/>
      <c r="M109" s="23"/>
      <c r="N109" s="23"/>
      <c r="O109" s="23"/>
      <c r="P109" s="4"/>
      <c r="Q109" s="23"/>
      <c r="R109" s="23"/>
      <c r="S109" s="23"/>
      <c r="T109" s="23"/>
      <c r="U109" s="4"/>
      <c r="V109" s="4"/>
      <c r="W109" s="4"/>
    </row>
    <row r="110" spans="1:23" x14ac:dyDescent="0.2">
      <c r="A110" s="774"/>
      <c r="B110" s="4"/>
      <c r="C110" s="23"/>
      <c r="D110" s="23"/>
      <c r="E110" s="23"/>
      <c r="F110" s="23"/>
      <c r="G110" s="23"/>
      <c r="H110" s="23"/>
      <c r="I110" s="23"/>
      <c r="J110" s="23"/>
      <c r="K110" s="23"/>
      <c r="L110" s="23"/>
      <c r="M110" s="23"/>
      <c r="N110" s="23"/>
      <c r="O110" s="23"/>
      <c r="P110" s="4"/>
      <c r="Q110" s="23"/>
      <c r="R110" s="23"/>
      <c r="S110" s="23"/>
      <c r="T110" s="23"/>
      <c r="U110" s="4"/>
      <c r="V110" s="4"/>
      <c r="W110" s="4"/>
    </row>
    <row r="111" spans="1:23" x14ac:dyDescent="0.2">
      <c r="A111" s="774"/>
      <c r="B111" s="4"/>
      <c r="C111" s="23"/>
      <c r="D111" s="23"/>
      <c r="E111" s="23"/>
      <c r="F111" s="23"/>
      <c r="G111" s="23"/>
      <c r="H111" s="23"/>
      <c r="I111" s="23"/>
      <c r="J111" s="23"/>
      <c r="K111" s="23"/>
      <c r="L111" s="23"/>
      <c r="M111" s="23"/>
      <c r="N111" s="23"/>
      <c r="O111" s="23"/>
      <c r="P111" s="4"/>
      <c r="Q111" s="23"/>
      <c r="R111" s="23"/>
      <c r="S111" s="23"/>
      <c r="T111" s="23"/>
      <c r="U111" s="4"/>
      <c r="V111" s="4"/>
      <c r="W111" s="4"/>
    </row>
    <row r="112" spans="1:23" x14ac:dyDescent="0.2">
      <c r="A112" s="774"/>
      <c r="B112" s="4"/>
      <c r="C112" s="23"/>
      <c r="D112" s="23"/>
      <c r="E112" s="23"/>
      <c r="F112" s="23"/>
      <c r="G112" s="23"/>
      <c r="H112" s="23"/>
      <c r="I112" s="23"/>
      <c r="J112" s="23"/>
      <c r="K112" s="23"/>
      <c r="L112" s="23"/>
      <c r="M112" s="23"/>
      <c r="N112" s="23"/>
      <c r="O112" s="23"/>
      <c r="P112" s="4"/>
      <c r="Q112" s="23"/>
      <c r="R112" s="23"/>
      <c r="S112" s="23"/>
      <c r="T112" s="23"/>
      <c r="U112" s="4"/>
      <c r="V112" s="4"/>
      <c r="W112" s="4"/>
    </row>
    <row r="113" spans="1:23" x14ac:dyDescent="0.2">
      <c r="A113" s="774"/>
      <c r="B113" s="4"/>
      <c r="C113" s="23"/>
      <c r="D113" s="23"/>
      <c r="E113" s="23"/>
      <c r="F113" s="23"/>
      <c r="G113" s="23"/>
      <c r="H113" s="23"/>
      <c r="I113" s="23"/>
      <c r="J113" s="23"/>
      <c r="K113" s="23"/>
      <c r="L113" s="23"/>
      <c r="M113" s="23"/>
      <c r="N113" s="23"/>
      <c r="O113" s="23"/>
      <c r="P113" s="4"/>
      <c r="Q113" s="23"/>
      <c r="R113" s="23"/>
      <c r="S113" s="23"/>
      <c r="T113" s="23"/>
      <c r="U113" s="4"/>
      <c r="V113" s="4"/>
      <c r="W113" s="4"/>
    </row>
    <row r="114" spans="1:23" x14ac:dyDescent="0.2">
      <c r="A114" s="774"/>
      <c r="B114" s="4"/>
      <c r="C114" s="23"/>
      <c r="D114" s="23"/>
      <c r="E114" s="23"/>
      <c r="F114" s="23"/>
      <c r="G114" s="23"/>
      <c r="H114" s="23"/>
      <c r="I114" s="23"/>
      <c r="J114" s="23"/>
      <c r="K114" s="23"/>
      <c r="L114" s="23"/>
      <c r="M114" s="23"/>
      <c r="N114" s="23"/>
      <c r="O114" s="23"/>
      <c r="P114" s="4"/>
      <c r="Q114" s="23"/>
      <c r="R114" s="23"/>
      <c r="S114" s="23"/>
      <c r="T114" s="23"/>
      <c r="U114" s="4"/>
      <c r="V114" s="4"/>
      <c r="W114" s="4"/>
    </row>
    <row r="115" spans="1:23" x14ac:dyDescent="0.2">
      <c r="C115" s="212"/>
      <c r="D115" s="212"/>
      <c r="E115" s="212"/>
      <c r="F115" s="212"/>
      <c r="G115" s="212"/>
      <c r="H115" s="212"/>
      <c r="I115" s="212"/>
      <c r="J115" s="212"/>
      <c r="K115" s="212"/>
      <c r="L115" s="212"/>
      <c r="M115" s="212"/>
      <c r="N115" s="212"/>
      <c r="O115" s="212"/>
    </row>
    <row r="116" spans="1:23" x14ac:dyDescent="0.2">
      <c r="C116" s="212"/>
      <c r="D116" s="212"/>
      <c r="E116" s="212"/>
      <c r="F116" s="212"/>
      <c r="G116" s="212"/>
      <c r="H116" s="212"/>
      <c r="I116" s="212"/>
      <c r="J116" s="212"/>
      <c r="K116" s="212"/>
      <c r="L116" s="212"/>
      <c r="M116" s="212"/>
      <c r="N116" s="212"/>
      <c r="O116" s="212"/>
    </row>
    <row r="117" spans="1:23" x14ac:dyDescent="0.2">
      <c r="C117" s="212"/>
      <c r="D117" s="212"/>
      <c r="E117" s="212"/>
      <c r="F117" s="212"/>
      <c r="G117" s="212"/>
      <c r="H117" s="212"/>
      <c r="I117" s="212"/>
      <c r="J117" s="212"/>
      <c r="K117" s="212"/>
      <c r="L117" s="212"/>
      <c r="M117" s="212"/>
      <c r="N117" s="212"/>
      <c r="O117" s="212"/>
    </row>
    <row r="118" spans="1:23" x14ac:dyDescent="0.2">
      <c r="C118" s="212"/>
      <c r="D118" s="212"/>
      <c r="E118" s="212"/>
      <c r="F118" s="212"/>
      <c r="G118" s="212"/>
      <c r="H118" s="212"/>
      <c r="I118" s="212"/>
      <c r="J118" s="212"/>
      <c r="K118" s="212"/>
      <c r="L118" s="212"/>
      <c r="M118" s="212"/>
      <c r="N118" s="212"/>
      <c r="O118" s="212"/>
    </row>
    <row r="119" spans="1:23" x14ac:dyDescent="0.2">
      <c r="C119" s="212"/>
      <c r="D119" s="212"/>
      <c r="E119" s="212"/>
      <c r="F119" s="212"/>
      <c r="G119" s="212"/>
      <c r="H119" s="212"/>
      <c r="I119" s="212"/>
      <c r="J119" s="212"/>
      <c r="K119" s="212"/>
      <c r="L119" s="212"/>
      <c r="M119" s="212"/>
      <c r="N119" s="212"/>
      <c r="O119" s="212"/>
    </row>
    <row r="120" spans="1:23" x14ac:dyDescent="0.2">
      <c r="C120" s="212"/>
      <c r="D120" s="212"/>
      <c r="E120" s="212"/>
      <c r="F120" s="212"/>
      <c r="G120" s="212"/>
      <c r="H120" s="212"/>
      <c r="I120" s="212"/>
      <c r="J120" s="212"/>
      <c r="K120" s="212"/>
      <c r="L120" s="212"/>
      <c r="M120" s="212"/>
      <c r="N120" s="212"/>
      <c r="O120" s="212"/>
    </row>
    <row r="121" spans="1:23" x14ac:dyDescent="0.2">
      <c r="C121" s="212"/>
      <c r="D121" s="212"/>
      <c r="E121" s="212"/>
      <c r="F121" s="212"/>
      <c r="G121" s="212"/>
      <c r="H121" s="212"/>
      <c r="I121" s="212"/>
      <c r="J121" s="212"/>
      <c r="K121" s="212"/>
      <c r="L121" s="212"/>
      <c r="M121" s="212"/>
      <c r="N121" s="212"/>
      <c r="O121" s="212"/>
    </row>
    <row r="122" spans="1:23" x14ac:dyDescent="0.2">
      <c r="C122" s="212"/>
      <c r="D122" s="212"/>
      <c r="E122" s="212"/>
      <c r="F122" s="212"/>
      <c r="G122" s="212"/>
      <c r="H122" s="212"/>
      <c r="I122" s="212"/>
      <c r="J122" s="212"/>
      <c r="K122" s="212"/>
      <c r="L122" s="212"/>
      <c r="M122" s="212"/>
      <c r="N122" s="212"/>
      <c r="O122" s="212"/>
    </row>
    <row r="123" spans="1:23" x14ac:dyDescent="0.2">
      <c r="C123" s="212"/>
      <c r="D123" s="212"/>
      <c r="E123" s="212"/>
      <c r="F123" s="212"/>
      <c r="G123" s="212"/>
      <c r="H123" s="212"/>
      <c r="I123" s="212"/>
      <c r="J123" s="212"/>
      <c r="K123" s="212"/>
      <c r="L123" s="212"/>
      <c r="M123" s="212"/>
      <c r="N123" s="212"/>
      <c r="O123" s="212"/>
    </row>
    <row r="124" spans="1:23" x14ac:dyDescent="0.2">
      <c r="C124" s="212"/>
      <c r="D124" s="212"/>
      <c r="E124" s="212"/>
      <c r="F124" s="212"/>
      <c r="G124" s="212"/>
      <c r="H124" s="212"/>
      <c r="I124" s="212"/>
      <c r="J124" s="212"/>
      <c r="K124" s="212"/>
      <c r="L124" s="212"/>
      <c r="M124" s="212"/>
      <c r="N124" s="212"/>
      <c r="O124" s="212"/>
    </row>
    <row r="125" spans="1:23" x14ac:dyDescent="0.2">
      <c r="C125" s="212"/>
      <c r="D125" s="212"/>
      <c r="E125" s="212"/>
      <c r="F125" s="212"/>
      <c r="G125" s="212"/>
      <c r="H125" s="212"/>
      <c r="I125" s="212"/>
      <c r="J125" s="212"/>
      <c r="K125" s="212"/>
      <c r="L125" s="212"/>
      <c r="M125" s="212"/>
      <c r="N125" s="212"/>
      <c r="O125" s="212"/>
    </row>
    <row r="126" spans="1:23" x14ac:dyDescent="0.2">
      <c r="C126" s="212"/>
      <c r="D126" s="212"/>
      <c r="E126" s="212"/>
      <c r="F126" s="212"/>
      <c r="G126" s="212"/>
      <c r="H126" s="212"/>
      <c r="I126" s="212"/>
      <c r="J126" s="212"/>
      <c r="K126" s="212"/>
      <c r="L126" s="212"/>
      <c r="M126" s="212"/>
      <c r="N126" s="212"/>
      <c r="O126" s="212"/>
    </row>
    <row r="127" spans="1:23" x14ac:dyDescent="0.2">
      <c r="C127" s="212"/>
      <c r="D127" s="212"/>
      <c r="E127" s="212"/>
      <c r="F127" s="212"/>
      <c r="G127" s="212"/>
      <c r="H127" s="212"/>
      <c r="I127" s="212"/>
      <c r="J127" s="212"/>
      <c r="K127" s="212"/>
      <c r="L127" s="212"/>
      <c r="M127" s="212"/>
      <c r="N127" s="212"/>
      <c r="O127" s="212"/>
    </row>
    <row r="128" spans="1:23" x14ac:dyDescent="0.2">
      <c r="C128" s="212"/>
      <c r="D128" s="212"/>
      <c r="E128" s="212"/>
      <c r="F128" s="212"/>
      <c r="G128" s="212"/>
      <c r="H128" s="212"/>
      <c r="I128" s="212"/>
      <c r="J128" s="212"/>
      <c r="K128" s="212"/>
      <c r="L128" s="212"/>
      <c r="M128" s="212"/>
      <c r="N128" s="212"/>
      <c r="O128" s="212"/>
    </row>
    <row r="129" spans="3:15" x14ac:dyDescent="0.2">
      <c r="C129" s="212"/>
      <c r="D129" s="212"/>
      <c r="E129" s="212"/>
      <c r="F129" s="212"/>
      <c r="G129" s="212"/>
      <c r="H129" s="212"/>
      <c r="I129" s="212"/>
      <c r="J129" s="212"/>
      <c r="K129" s="212"/>
      <c r="L129" s="212"/>
      <c r="M129" s="212"/>
      <c r="N129" s="212"/>
      <c r="O129" s="212"/>
    </row>
    <row r="130" spans="3:15" x14ac:dyDescent="0.2">
      <c r="C130" s="212"/>
    </row>
    <row r="131" spans="3:15" x14ac:dyDescent="0.2">
      <c r="C131" s="212"/>
    </row>
    <row r="132" spans="3:15" x14ac:dyDescent="0.2">
      <c r="C132" s="212"/>
    </row>
    <row r="133" spans="3:15" x14ac:dyDescent="0.2">
      <c r="C133" s="212"/>
    </row>
    <row r="134" spans="3:15" x14ac:dyDescent="0.2">
      <c r="C134" s="212"/>
    </row>
    <row r="135" spans="3:15" x14ac:dyDescent="0.2">
      <c r="C135" s="212"/>
    </row>
    <row r="136" spans="3:15" x14ac:dyDescent="0.2">
      <c r="C136" s="212"/>
    </row>
    <row r="137" spans="3:15" x14ac:dyDescent="0.2">
      <c r="C137" s="212"/>
    </row>
    <row r="138" spans="3:15" x14ac:dyDescent="0.2">
      <c r="C138" s="212"/>
    </row>
    <row r="139" spans="3:15" x14ac:dyDescent="0.2">
      <c r="C139" s="212"/>
    </row>
    <row r="140" spans="3:15" x14ac:dyDescent="0.2">
      <c r="C140" s="212"/>
    </row>
    <row r="141" spans="3:15" x14ac:dyDescent="0.2">
      <c r="C141" s="212"/>
    </row>
    <row r="142" spans="3:15" x14ac:dyDescent="0.2">
      <c r="C142" s="212"/>
    </row>
    <row r="143" spans="3:15" x14ac:dyDescent="0.2">
      <c r="C143" s="212"/>
    </row>
    <row r="144" spans="3:15" x14ac:dyDescent="0.2">
      <c r="C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row r="160" spans="3:3" x14ac:dyDescent="0.2">
      <c r="C160" s="212"/>
    </row>
    <row r="161" spans="3:3" x14ac:dyDescent="0.2">
      <c r="C161" s="212"/>
    </row>
    <row r="162" spans="3:3" x14ac:dyDescent="0.2">
      <c r="C162" s="212"/>
    </row>
    <row r="163" spans="3:3" x14ac:dyDescent="0.2">
      <c r="C163" s="212"/>
    </row>
  </sheetData>
  <phoneticPr fontId="0" type="noConversion"/>
  <hyperlinks>
    <hyperlink ref="A1" location="'Working Budget with funding det'!A1" display="Main " xr:uid="{00000000-0004-0000-1500-000000000000}"/>
    <hyperlink ref="B1" location="'Table of Contents'!A1" display="TOC" xr:uid="{00000000-0004-0000-1500-000001000000}"/>
  </hyperlinks>
  <pageMargins left="0.75" right="0.75" top="1" bottom="1" header="0.5" footer="0.5"/>
  <pageSetup scale="90" fitToHeight="2" orientation="landscape" horizontalDpi="300" verticalDpi="300" r:id="rId1"/>
  <headerFooter alignWithMargins="0">
    <oddFooter>&amp;L&amp;D     &amp;T&amp;C&amp;F&amp;R&amp;A</oddFooter>
  </headerFooter>
  <rowBreaks count="1" manualBreakCount="1">
    <brk id="42" max="1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pageSetUpPr fitToPage="1"/>
  </sheetPr>
  <dimension ref="A1:W185"/>
  <sheetViews>
    <sheetView workbookViewId="0">
      <selection activeCell="P15" sqref="P15"/>
    </sheetView>
  </sheetViews>
  <sheetFormatPr defaultRowHeight="12.75" x14ac:dyDescent="0.2"/>
  <cols>
    <col min="1" max="1" width="8.83203125" style="783"/>
    <col min="2" max="2" width="36.6640625" customWidth="1"/>
    <col min="3" max="3" width="14.5" style="1" hidden="1" customWidth="1"/>
    <col min="4" max="12" width="14.5" style="106" hidden="1" customWidth="1"/>
    <col min="13" max="15" width="14.5" style="106" customWidth="1"/>
    <col min="16" max="16" width="14.5" customWidth="1"/>
    <col min="17" max="19" width="14.5" style="1" customWidth="1"/>
    <col min="20" max="22" width="14.5" customWidth="1"/>
    <col min="23" max="23" width="14.6640625" style="2" customWidth="1"/>
  </cols>
  <sheetData>
    <row r="1" spans="1:22" x14ac:dyDescent="0.2">
      <c r="A1" s="772" t="s">
        <v>847</v>
      </c>
      <c r="B1" s="308" t="s">
        <v>197</v>
      </c>
      <c r="D1" s="212"/>
      <c r="E1" s="212"/>
      <c r="F1" s="212"/>
      <c r="G1" s="212"/>
      <c r="H1" s="212"/>
      <c r="I1" s="212"/>
      <c r="J1" s="212"/>
      <c r="K1" s="212"/>
      <c r="L1" s="212"/>
      <c r="M1" s="212"/>
      <c r="N1" s="212"/>
      <c r="O1" s="212"/>
      <c r="S1"/>
    </row>
    <row r="2" spans="1:22" ht="15" x14ac:dyDescent="0.25">
      <c r="A2" s="773" t="s">
        <v>815</v>
      </c>
      <c r="B2" s="43"/>
      <c r="D2" s="212"/>
      <c r="E2" s="126"/>
      <c r="F2" s="212"/>
      <c r="G2" s="212"/>
      <c r="H2" s="212"/>
      <c r="I2" s="126" t="s">
        <v>816</v>
      </c>
      <c r="J2" s="126"/>
      <c r="K2" s="126"/>
      <c r="L2" s="126"/>
      <c r="M2" s="126"/>
      <c r="N2" s="126"/>
      <c r="O2" s="126"/>
      <c r="P2" s="58" t="s">
        <v>99</v>
      </c>
      <c r="S2" s="44" t="s">
        <v>1070</v>
      </c>
    </row>
    <row r="3" spans="1:22" ht="13.5" thickBot="1" x14ac:dyDescent="0.25">
      <c r="A3" s="774"/>
      <c r="B3" s="4"/>
      <c r="C3" s="23"/>
      <c r="D3" s="23"/>
      <c r="E3" s="23"/>
      <c r="F3" s="23"/>
      <c r="G3" s="23"/>
      <c r="H3" s="23"/>
      <c r="I3" s="23"/>
      <c r="J3" s="23"/>
      <c r="K3" s="23"/>
      <c r="L3" s="23"/>
      <c r="M3" s="23"/>
      <c r="N3" s="23"/>
      <c r="O3" s="23"/>
      <c r="P3" s="4"/>
      <c r="Q3" s="23"/>
      <c r="R3" s="23"/>
      <c r="S3" s="4"/>
      <c r="V3" s="4"/>
    </row>
    <row r="4" spans="1:22"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2"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2" x14ac:dyDescent="0.2">
      <c r="A6" s="776"/>
      <c r="B6" s="202"/>
      <c r="C6" s="113"/>
      <c r="D6" s="113"/>
      <c r="E6" s="113"/>
      <c r="F6" s="113"/>
      <c r="G6" s="113"/>
      <c r="H6" s="113"/>
      <c r="I6" s="83"/>
      <c r="J6" s="83"/>
      <c r="K6" s="83"/>
      <c r="L6" s="83"/>
      <c r="M6" s="83"/>
      <c r="N6" s="83"/>
      <c r="O6" s="83"/>
      <c r="P6" s="113"/>
      <c r="Q6" s="83" t="s">
        <v>823</v>
      </c>
      <c r="R6" s="83" t="s">
        <v>585</v>
      </c>
      <c r="S6" s="45" t="s">
        <v>824</v>
      </c>
    </row>
    <row r="7" spans="1:22"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2" ht="13.5" thickTop="1" x14ac:dyDescent="0.2">
      <c r="A8" s="819"/>
      <c r="B8" s="203"/>
      <c r="C8" s="601"/>
      <c r="D8" s="119"/>
      <c r="E8" s="119"/>
      <c r="F8" s="119"/>
      <c r="G8" s="119"/>
      <c r="H8" s="119"/>
      <c r="I8" s="107"/>
      <c r="J8" s="107"/>
      <c r="K8" s="107"/>
      <c r="L8" s="107"/>
      <c r="M8" s="107"/>
      <c r="N8" s="107"/>
      <c r="O8" s="107"/>
      <c r="P8" s="119"/>
      <c r="Q8" s="107"/>
      <c r="R8" s="107"/>
      <c r="S8" s="107"/>
    </row>
    <row r="9" spans="1:22" x14ac:dyDescent="0.2">
      <c r="A9" s="779">
        <v>5308</v>
      </c>
      <c r="B9" s="60" t="s">
        <v>1071</v>
      </c>
      <c r="C9" s="116"/>
      <c r="D9" s="13">
        <v>0</v>
      </c>
      <c r="E9" s="13"/>
      <c r="F9" s="13"/>
      <c r="G9" s="13"/>
      <c r="H9" s="13"/>
      <c r="I9" s="13"/>
      <c r="J9" s="13"/>
      <c r="K9" s="14">
        <v>300</v>
      </c>
      <c r="L9" s="13"/>
      <c r="M9" s="14">
        <v>300</v>
      </c>
      <c r="N9" s="13"/>
      <c r="O9" s="14">
        <v>300</v>
      </c>
      <c r="P9" s="13"/>
      <c r="Q9" s="14">
        <v>300</v>
      </c>
      <c r="R9" s="14"/>
      <c r="S9" s="14"/>
    </row>
    <row r="10" spans="1:22" x14ac:dyDescent="0.2">
      <c r="A10" s="779">
        <v>5314</v>
      </c>
      <c r="B10" s="60" t="s">
        <v>860</v>
      </c>
      <c r="C10" s="116"/>
      <c r="D10" s="13">
        <v>0</v>
      </c>
      <c r="E10" s="13">
        <v>40</v>
      </c>
      <c r="F10" s="13"/>
      <c r="G10" s="13"/>
      <c r="H10" s="13"/>
      <c r="I10" s="13"/>
      <c r="J10" s="13"/>
      <c r="K10" s="14">
        <v>100</v>
      </c>
      <c r="L10" s="13"/>
      <c r="M10" s="14">
        <v>100</v>
      </c>
      <c r="N10" s="13"/>
      <c r="O10" s="14">
        <v>100</v>
      </c>
      <c r="P10" s="13"/>
      <c r="Q10" s="14">
        <v>100</v>
      </c>
      <c r="R10" s="14"/>
      <c r="S10" s="14"/>
    </row>
    <row r="11" spans="1:22" x14ac:dyDescent="0.2">
      <c r="A11" s="779">
        <v>5344</v>
      </c>
      <c r="B11" s="60" t="s">
        <v>832</v>
      </c>
      <c r="C11" s="116">
        <v>318.62</v>
      </c>
      <c r="D11" s="13">
        <v>175.36</v>
      </c>
      <c r="E11" s="13">
        <v>215.24</v>
      </c>
      <c r="F11" s="13">
        <v>205.9</v>
      </c>
      <c r="G11" s="13">
        <v>198.64</v>
      </c>
      <c r="H11" s="13">
        <v>372.54</v>
      </c>
      <c r="I11" s="13">
        <v>173.23</v>
      </c>
      <c r="J11" s="13">
        <v>137.80000000000001</v>
      </c>
      <c r="K11" s="14">
        <v>350</v>
      </c>
      <c r="L11" s="13"/>
      <c r="M11" s="14">
        <v>150</v>
      </c>
      <c r="N11" s="13">
        <v>194.44</v>
      </c>
      <c r="O11" s="14">
        <v>150</v>
      </c>
      <c r="P11" s="128">
        <v>46.25</v>
      </c>
      <c r="Q11" s="14">
        <v>150</v>
      </c>
      <c r="R11" s="14"/>
      <c r="S11" s="14"/>
    </row>
    <row r="12" spans="1:22" x14ac:dyDescent="0.2">
      <c r="A12" s="779">
        <v>5345</v>
      </c>
      <c r="B12" s="60" t="s">
        <v>863</v>
      </c>
      <c r="C12" s="116">
        <v>3015</v>
      </c>
      <c r="D12" s="13">
        <v>884.56</v>
      </c>
      <c r="E12" s="13">
        <v>911.4</v>
      </c>
      <c r="F12" s="13">
        <v>1548.87</v>
      </c>
      <c r="G12" s="13">
        <v>1881.72</v>
      </c>
      <c r="H12" s="13">
        <v>2242.96</v>
      </c>
      <c r="I12" s="13">
        <v>269.26</v>
      </c>
      <c r="J12" s="13">
        <v>354.3</v>
      </c>
      <c r="K12" s="14"/>
      <c r="L12" s="13">
        <v>214.56</v>
      </c>
      <c r="M12" s="14"/>
      <c r="N12" s="13"/>
      <c r="O12" s="14"/>
      <c r="P12" s="13"/>
      <c r="Q12" s="14"/>
      <c r="R12" s="14"/>
      <c r="S12" s="14"/>
    </row>
    <row r="13" spans="1:22" x14ac:dyDescent="0.2">
      <c r="A13" s="779">
        <v>5420</v>
      </c>
      <c r="B13" s="60" t="s">
        <v>864</v>
      </c>
      <c r="C13" s="118">
        <v>103.4</v>
      </c>
      <c r="D13" s="18">
        <v>19.78</v>
      </c>
      <c r="E13" s="18">
        <v>71.92</v>
      </c>
      <c r="F13" s="18">
        <v>448.91</v>
      </c>
      <c r="G13" s="18">
        <v>6.5</v>
      </c>
      <c r="H13" s="18">
        <v>450</v>
      </c>
      <c r="I13" s="18">
        <v>168.99</v>
      </c>
      <c r="J13" s="18">
        <v>297.47000000000003</v>
      </c>
      <c r="K13" s="19">
        <v>450</v>
      </c>
      <c r="L13" s="18"/>
      <c r="M13" s="19">
        <v>150</v>
      </c>
      <c r="N13" s="18">
        <v>114.98</v>
      </c>
      <c r="O13" s="19">
        <v>150</v>
      </c>
      <c r="P13" s="18"/>
      <c r="Q13" s="19">
        <v>150</v>
      </c>
      <c r="R13" s="19"/>
      <c r="S13" s="19"/>
    </row>
    <row r="14" spans="1:22" ht="13.5" thickBot="1" x14ac:dyDescent="0.25">
      <c r="A14" s="779">
        <v>5730</v>
      </c>
      <c r="B14" s="60" t="s">
        <v>870</v>
      </c>
      <c r="C14" s="600"/>
      <c r="D14" s="37">
        <v>0</v>
      </c>
      <c r="E14" s="37"/>
      <c r="F14" s="37"/>
      <c r="G14" s="37"/>
      <c r="H14" s="37"/>
      <c r="I14" s="37"/>
      <c r="J14" s="37"/>
      <c r="K14" s="38"/>
      <c r="L14" s="37"/>
      <c r="M14" s="38"/>
      <c r="N14" s="37"/>
      <c r="O14" s="38"/>
      <c r="P14" s="37"/>
      <c r="Q14" s="38"/>
      <c r="R14" s="38"/>
      <c r="S14" s="38"/>
    </row>
    <row r="15" spans="1:22" x14ac:dyDescent="0.2">
      <c r="A15" s="779"/>
      <c r="B15" s="61" t="s">
        <v>838</v>
      </c>
      <c r="C15" s="118">
        <f t="shared" ref="C15:P15" si="0">SUM(C9:C14)</f>
        <v>3437.02</v>
      </c>
      <c r="D15" s="18">
        <f t="shared" si="0"/>
        <v>1079.7</v>
      </c>
      <c r="E15" s="18">
        <f t="shared" si="0"/>
        <v>1238.56</v>
      </c>
      <c r="F15" s="18">
        <f>SUM(F9:F14)</f>
        <v>2203.6799999999998</v>
      </c>
      <c r="G15" s="18">
        <f>SUM(G9:G14)</f>
        <v>2086.86</v>
      </c>
      <c r="H15" s="18">
        <f>SUM(H9:H14)</f>
        <v>3065.5</v>
      </c>
      <c r="I15" s="18">
        <f t="shared" si="0"/>
        <v>611.48</v>
      </c>
      <c r="J15" s="18">
        <f t="shared" ref="J15" si="1">SUM(J9:J14)</f>
        <v>789.57</v>
      </c>
      <c r="K15" s="19">
        <f>SUM(K9:K14)</f>
        <v>1200</v>
      </c>
      <c r="L15" s="112">
        <f t="shared" ref="L15:O15" si="2">SUM(L9:L14)</f>
        <v>214.56</v>
      </c>
      <c r="M15" s="19">
        <f t="shared" si="2"/>
        <v>700</v>
      </c>
      <c r="N15" s="112">
        <f t="shared" ref="N15" si="3">SUM(N9:N14)</f>
        <v>309.42</v>
      </c>
      <c r="O15" s="19">
        <f t="shared" si="2"/>
        <v>700</v>
      </c>
      <c r="P15" s="18">
        <f t="shared" si="0"/>
        <v>46.25</v>
      </c>
      <c r="Q15" s="19">
        <f>SUM(Q9:Q14)</f>
        <v>700</v>
      </c>
      <c r="R15" s="19"/>
      <c r="S15" s="19">
        <f>SUM(S9:S14)</f>
        <v>0</v>
      </c>
    </row>
    <row r="16" spans="1:22" x14ac:dyDescent="0.2">
      <c r="A16" s="779"/>
      <c r="B16" s="60"/>
      <c r="C16" s="116"/>
      <c r="D16" s="13"/>
      <c r="E16" s="13"/>
      <c r="F16" s="13"/>
      <c r="G16" s="13"/>
      <c r="H16" s="13"/>
      <c r="I16" s="13"/>
      <c r="J16" s="13"/>
      <c r="K16" s="40"/>
      <c r="L16" s="13"/>
      <c r="M16" s="40"/>
      <c r="N16" s="13"/>
      <c r="O16" s="40"/>
      <c r="P16" s="13"/>
      <c r="Q16" s="40"/>
      <c r="R16" s="40"/>
      <c r="S16" s="40"/>
    </row>
    <row r="17" spans="1:22" x14ac:dyDescent="0.2">
      <c r="A17" s="779"/>
      <c r="B17" s="60"/>
      <c r="C17" s="116"/>
      <c r="D17" s="13"/>
      <c r="E17" s="13"/>
      <c r="F17" s="13"/>
      <c r="G17" s="13"/>
      <c r="H17" s="13"/>
      <c r="I17" s="13"/>
      <c r="J17" s="13"/>
      <c r="K17" s="40"/>
      <c r="L17" s="13"/>
      <c r="M17" s="40"/>
      <c r="N17" s="13"/>
      <c r="O17" s="40"/>
      <c r="P17" s="13"/>
      <c r="Q17" s="40"/>
      <c r="R17" s="40"/>
      <c r="S17" s="40"/>
    </row>
    <row r="18" spans="1:22" ht="13.5" thickBot="1" x14ac:dyDescent="0.25">
      <c r="A18" s="780"/>
      <c r="B18" s="602" t="s">
        <v>1072</v>
      </c>
      <c r="C18" s="596">
        <f t="shared" ref="C18:Q18" si="4">+C15</f>
        <v>3437.02</v>
      </c>
      <c r="D18" s="21">
        <f t="shared" si="4"/>
        <v>1079.7</v>
      </c>
      <c r="E18" s="21">
        <f t="shared" si="4"/>
        <v>1238.56</v>
      </c>
      <c r="F18" s="21">
        <f>+F15</f>
        <v>2203.6799999999998</v>
      </c>
      <c r="G18" s="21">
        <f>+G15</f>
        <v>2086.86</v>
      </c>
      <c r="H18" s="21">
        <f>+H15</f>
        <v>3065.5</v>
      </c>
      <c r="I18" s="21">
        <f t="shared" si="4"/>
        <v>611.48</v>
      </c>
      <c r="J18" s="21">
        <f t="shared" ref="J18" si="5">+J15</f>
        <v>789.57</v>
      </c>
      <c r="K18" s="39">
        <f t="shared" ref="K18:O18" si="6">+K15</f>
        <v>1200</v>
      </c>
      <c r="L18" s="21">
        <f t="shared" si="6"/>
        <v>214.56</v>
      </c>
      <c r="M18" s="39">
        <f t="shared" si="6"/>
        <v>700</v>
      </c>
      <c r="N18" s="21">
        <f t="shared" ref="N18" si="7">+N15</f>
        <v>309.42</v>
      </c>
      <c r="O18" s="39">
        <f t="shared" si="6"/>
        <v>700</v>
      </c>
      <c r="P18" s="21">
        <f t="shared" si="4"/>
        <v>46.25</v>
      </c>
      <c r="Q18" s="39">
        <f t="shared" si="4"/>
        <v>700</v>
      </c>
      <c r="R18" s="39">
        <f>+Q18</f>
        <v>700</v>
      </c>
      <c r="S18" s="39">
        <f>+Q18</f>
        <v>700</v>
      </c>
    </row>
    <row r="19" spans="1:22" ht="13.5" thickTop="1" x14ac:dyDescent="0.2">
      <c r="A19" s="774"/>
      <c r="B19" s="4"/>
      <c r="C19" s="24"/>
      <c r="D19" s="24"/>
      <c r="E19" s="24"/>
      <c r="F19" s="24"/>
      <c r="G19" s="24"/>
      <c r="H19" s="24"/>
      <c r="I19" s="24"/>
      <c r="J19" s="24"/>
      <c r="K19" s="24"/>
      <c r="L19" s="24"/>
      <c r="M19" s="24"/>
      <c r="N19" s="24"/>
      <c r="O19" s="24"/>
      <c r="P19" s="199" t="s">
        <v>843</v>
      </c>
      <c r="Q19" s="1116">
        <f>+Q18-O18</f>
        <v>0</v>
      </c>
      <c r="R19" s="1117">
        <f>ROUND((+Q19/O18),4)</f>
        <v>0</v>
      </c>
      <c r="S19" s="23"/>
      <c r="T19" s="25"/>
      <c r="U19" s="25"/>
      <c r="V19" s="25"/>
    </row>
    <row r="20" spans="1:22" ht="13.5" thickBot="1" x14ac:dyDescent="0.25">
      <c r="A20" s="774"/>
      <c r="B20" s="4"/>
      <c r="C20" s="23"/>
      <c r="D20" s="23"/>
      <c r="E20" s="23"/>
      <c r="F20" s="23"/>
      <c r="G20" s="23"/>
      <c r="H20" s="23"/>
      <c r="I20" s="23"/>
      <c r="J20" s="23"/>
      <c r="K20" s="23"/>
      <c r="L20" s="23"/>
      <c r="M20" s="23"/>
      <c r="N20" s="23"/>
      <c r="O20" s="23"/>
      <c r="P20" s="25"/>
      <c r="Q20" s="23"/>
      <c r="R20" s="23"/>
      <c r="S20" s="25"/>
      <c r="T20" s="25"/>
      <c r="U20" s="25"/>
      <c r="V20" s="25"/>
    </row>
    <row r="21" spans="1:22" ht="13.5" thickTop="1" x14ac:dyDescent="0.2">
      <c r="A21" s="789"/>
      <c r="B21" s="367"/>
      <c r="C21" s="368" t="s">
        <v>280</v>
      </c>
      <c r="D21" s="369" t="s">
        <v>280</v>
      </c>
      <c r="E21" s="369" t="s">
        <v>280</v>
      </c>
      <c r="F21" s="212"/>
      <c r="G21" s="212"/>
      <c r="H21" s="212"/>
      <c r="I21" s="212"/>
      <c r="J21" s="212"/>
      <c r="K21" s="212"/>
      <c r="L21" s="212"/>
      <c r="M21" s="370" t="s">
        <v>279</v>
      </c>
      <c r="N21" s="371" t="s">
        <v>826</v>
      </c>
      <c r="O21" s="372" t="s">
        <v>840</v>
      </c>
      <c r="P21" s="371" t="s">
        <v>841</v>
      </c>
      <c r="Q21" s="373"/>
      <c r="R21" s="569"/>
      <c r="S21" s="372"/>
      <c r="T21" s="25"/>
      <c r="U21" s="25"/>
      <c r="V21" s="25"/>
    </row>
    <row r="22" spans="1:22" ht="13.5" thickBot="1" x14ac:dyDescent="0.25">
      <c r="A22" s="790" t="s">
        <v>825</v>
      </c>
      <c r="B22" s="374"/>
      <c r="C22" s="375" t="s">
        <v>267</v>
      </c>
      <c r="D22" s="375" t="s">
        <v>268</v>
      </c>
      <c r="E22" s="376" t="s">
        <v>269</v>
      </c>
      <c r="F22" s="212"/>
      <c r="G22" s="212"/>
      <c r="H22" s="212"/>
      <c r="I22" s="212"/>
      <c r="J22" s="212"/>
      <c r="K22" s="212"/>
      <c r="L22" s="212"/>
      <c r="M22" s="377" t="s">
        <v>277</v>
      </c>
      <c r="N22" s="377" t="s">
        <v>571</v>
      </c>
      <c r="O22" s="376" t="s">
        <v>843</v>
      </c>
      <c r="P22" s="378" t="s">
        <v>843</v>
      </c>
      <c r="Q22" s="379" t="s">
        <v>844</v>
      </c>
      <c r="R22" s="570"/>
      <c r="S22" s="377"/>
      <c r="T22" s="25"/>
      <c r="U22" s="25"/>
      <c r="V22" s="25"/>
    </row>
    <row r="23" spans="1:22" ht="13.5" thickTop="1" x14ac:dyDescent="0.2">
      <c r="A23" s="820"/>
      <c r="B23" s="407"/>
      <c r="C23" s="405"/>
      <c r="D23" s="405"/>
      <c r="E23" s="405"/>
      <c r="F23" s="212"/>
      <c r="G23" s="212"/>
      <c r="H23" s="212"/>
      <c r="I23" s="212"/>
      <c r="J23" s="212"/>
      <c r="K23" s="212"/>
      <c r="L23" s="212"/>
      <c r="M23" s="408"/>
      <c r="N23" s="546"/>
      <c r="O23" s="386"/>
      <c r="P23" s="392"/>
      <c r="Q23" s="385"/>
      <c r="R23" s="572"/>
      <c r="S23" s="386"/>
      <c r="T23" s="25"/>
      <c r="U23" s="25"/>
      <c r="V23" s="25"/>
    </row>
    <row r="24" spans="1:22" x14ac:dyDescent="0.2">
      <c r="A24" s="795">
        <v>5308</v>
      </c>
      <c r="B24" s="387" t="s">
        <v>1071</v>
      </c>
      <c r="C24" s="391"/>
      <c r="D24" s="391">
        <v>0</v>
      </c>
      <c r="E24" s="391"/>
      <c r="F24" s="212"/>
      <c r="G24" s="212"/>
      <c r="H24" s="212"/>
      <c r="I24" s="212"/>
      <c r="J24" s="212"/>
      <c r="K24" s="212"/>
      <c r="L24" s="212"/>
      <c r="M24" s="390">
        <f t="shared" ref="M24:M29" si="8">O9</f>
        <v>300</v>
      </c>
      <c r="N24" s="411">
        <f t="shared" ref="N24:N29" si="9">+Q9</f>
        <v>300</v>
      </c>
      <c r="O24" s="386">
        <f t="shared" ref="O24:O29" si="10">+N24-M24</f>
        <v>0</v>
      </c>
      <c r="P24" s="392" t="str">
        <f t="shared" ref="P24:P29" si="11">IF(M24+N24&lt;&gt;0,IF(M24&lt;&gt;0,IF(O24&lt;&gt;0,ROUND((+O24/M24),4),""),1),"")</f>
        <v/>
      </c>
      <c r="Q24" s="385"/>
      <c r="R24" s="572"/>
      <c r="S24" s="386"/>
      <c r="T24" s="25"/>
      <c r="U24" s="25"/>
      <c r="V24" s="25"/>
    </row>
    <row r="25" spans="1:22" x14ac:dyDescent="0.2">
      <c r="A25" s="795">
        <v>5314</v>
      </c>
      <c r="B25" s="387" t="s">
        <v>860</v>
      </c>
      <c r="C25" s="391"/>
      <c r="D25" s="391">
        <v>0</v>
      </c>
      <c r="E25" s="391">
        <v>40</v>
      </c>
      <c r="F25" s="212"/>
      <c r="G25" s="212"/>
      <c r="H25" s="212"/>
      <c r="I25" s="212"/>
      <c r="J25" s="212"/>
      <c r="K25" s="212"/>
      <c r="L25" s="212"/>
      <c r="M25" s="390">
        <f t="shared" si="8"/>
        <v>100</v>
      </c>
      <c r="N25" s="411">
        <f t="shared" si="9"/>
        <v>100</v>
      </c>
      <c r="O25" s="386">
        <f t="shared" si="10"/>
        <v>0</v>
      </c>
      <c r="P25" s="392" t="str">
        <f t="shared" si="11"/>
        <v/>
      </c>
      <c r="Q25" s="385"/>
      <c r="R25" s="572"/>
      <c r="S25" s="386"/>
      <c r="T25" s="25"/>
      <c r="U25" s="25"/>
      <c r="V25" s="25"/>
    </row>
    <row r="26" spans="1:22" x14ac:dyDescent="0.2">
      <c r="A26" s="795">
        <v>5344</v>
      </c>
      <c r="B26" s="387" t="s">
        <v>832</v>
      </c>
      <c r="C26" s="391">
        <v>318.62</v>
      </c>
      <c r="D26" s="391">
        <v>175.36</v>
      </c>
      <c r="E26" s="391">
        <v>215.24</v>
      </c>
      <c r="F26" s="212"/>
      <c r="G26" s="212"/>
      <c r="H26" s="212"/>
      <c r="I26" s="212"/>
      <c r="J26" s="212"/>
      <c r="K26" s="212"/>
      <c r="L26" s="212"/>
      <c r="M26" s="390">
        <f t="shared" si="8"/>
        <v>150</v>
      </c>
      <c r="N26" s="411">
        <f t="shared" si="9"/>
        <v>150</v>
      </c>
      <c r="O26" s="386">
        <f t="shared" si="10"/>
        <v>0</v>
      </c>
      <c r="P26" s="392" t="str">
        <f t="shared" si="11"/>
        <v/>
      </c>
      <c r="Q26" s="385"/>
      <c r="R26" s="572"/>
      <c r="S26" s="386"/>
      <c r="T26" s="25"/>
      <c r="U26" s="25"/>
      <c r="V26" s="25"/>
    </row>
    <row r="27" spans="1:22" x14ac:dyDescent="0.2">
      <c r="A27" s="795">
        <v>5345</v>
      </c>
      <c r="B27" s="387" t="s">
        <v>863</v>
      </c>
      <c r="C27" s="391">
        <v>3015</v>
      </c>
      <c r="D27" s="391">
        <v>884.56</v>
      </c>
      <c r="E27" s="391">
        <v>911.4</v>
      </c>
      <c r="F27" s="212"/>
      <c r="G27" s="212"/>
      <c r="H27" s="212"/>
      <c r="I27" s="212"/>
      <c r="J27" s="212"/>
      <c r="K27" s="212"/>
      <c r="L27" s="212"/>
      <c r="M27" s="390">
        <f t="shared" si="8"/>
        <v>0</v>
      </c>
      <c r="N27" s="411">
        <f t="shared" si="9"/>
        <v>0</v>
      </c>
      <c r="O27" s="386">
        <f t="shared" si="10"/>
        <v>0</v>
      </c>
      <c r="P27" s="392" t="str">
        <f t="shared" si="11"/>
        <v/>
      </c>
      <c r="Q27" s="385"/>
      <c r="R27" s="572"/>
      <c r="S27" s="386"/>
      <c r="T27" s="25"/>
      <c r="U27" s="25"/>
      <c r="V27" s="25"/>
    </row>
    <row r="28" spans="1:22" x14ac:dyDescent="0.2">
      <c r="A28" s="795">
        <v>5420</v>
      </c>
      <c r="B28" s="387" t="s">
        <v>864</v>
      </c>
      <c r="C28" s="383">
        <v>103.4</v>
      </c>
      <c r="D28" s="383">
        <v>19.78</v>
      </c>
      <c r="E28" s="383">
        <v>71.92</v>
      </c>
      <c r="F28" s="212"/>
      <c r="G28" s="212"/>
      <c r="H28" s="212"/>
      <c r="I28" s="212"/>
      <c r="J28" s="212"/>
      <c r="K28" s="212"/>
      <c r="L28" s="212"/>
      <c r="M28" s="390">
        <f t="shared" si="8"/>
        <v>150</v>
      </c>
      <c r="N28" s="411">
        <f t="shared" si="9"/>
        <v>150</v>
      </c>
      <c r="O28" s="386">
        <f t="shared" si="10"/>
        <v>0</v>
      </c>
      <c r="P28" s="392" t="str">
        <f t="shared" si="11"/>
        <v/>
      </c>
      <c r="Q28" s="385"/>
      <c r="R28" s="572"/>
      <c r="S28" s="386"/>
      <c r="T28" s="25"/>
      <c r="U28" s="25"/>
      <c r="V28" s="25"/>
    </row>
    <row r="29" spans="1:22" ht="13.5" thickBot="1" x14ac:dyDescent="0.25">
      <c r="A29" s="795">
        <v>5730</v>
      </c>
      <c r="B29" s="387" t="s">
        <v>870</v>
      </c>
      <c r="C29" s="409"/>
      <c r="D29" s="409">
        <v>0</v>
      </c>
      <c r="E29" s="409"/>
      <c r="F29" s="212"/>
      <c r="G29" s="212"/>
      <c r="H29" s="212"/>
      <c r="I29" s="212"/>
      <c r="J29" s="212"/>
      <c r="K29" s="212"/>
      <c r="L29" s="212"/>
      <c r="M29" s="390">
        <f t="shared" si="8"/>
        <v>0</v>
      </c>
      <c r="N29" s="411">
        <f t="shared" si="9"/>
        <v>0</v>
      </c>
      <c r="O29" s="386">
        <f t="shared" si="10"/>
        <v>0</v>
      </c>
      <c r="P29" s="392" t="str">
        <f t="shared" si="11"/>
        <v/>
      </c>
      <c r="Q29" s="385"/>
      <c r="R29" s="572"/>
      <c r="S29" s="386"/>
      <c r="T29" s="25"/>
      <c r="U29" s="25"/>
      <c r="V29" s="25"/>
    </row>
    <row r="30" spans="1:22" x14ac:dyDescent="0.2">
      <c r="A30" s="774"/>
      <c r="B30" s="4"/>
      <c r="C30" s="23"/>
      <c r="D30" s="23"/>
      <c r="E30" s="23"/>
      <c r="F30" s="23"/>
      <c r="G30" s="23"/>
      <c r="H30" s="212"/>
      <c r="I30" s="212"/>
      <c r="J30" s="212"/>
      <c r="K30" s="212"/>
      <c r="L30" s="212"/>
      <c r="M30" s="23"/>
      <c r="N30" s="23"/>
      <c r="O30" s="23"/>
      <c r="P30" s="25"/>
      <c r="Q30" s="23"/>
      <c r="R30" s="23"/>
      <c r="S30" s="23"/>
      <c r="T30" s="25"/>
      <c r="U30" s="25"/>
      <c r="V30" s="25"/>
    </row>
    <row r="31" spans="1:22" x14ac:dyDescent="0.2">
      <c r="A31" s="774"/>
      <c r="B31" s="4" t="s">
        <v>846</v>
      </c>
      <c r="C31" s="23"/>
      <c r="D31" s="23"/>
      <c r="E31" s="23"/>
      <c r="F31" s="23"/>
      <c r="G31" s="23"/>
      <c r="H31" s="212"/>
      <c r="I31" s="212"/>
      <c r="J31" s="212"/>
      <c r="K31" s="212"/>
      <c r="L31" s="212"/>
      <c r="M31" s="616">
        <f>SUM(M24:M30)</f>
        <v>700</v>
      </c>
      <c r="N31" s="616">
        <f>SUM(N24:N30)</f>
        <v>700</v>
      </c>
      <c r="O31" s="25">
        <f>+N31-M31</f>
        <v>0</v>
      </c>
      <c r="P31" s="617" t="str">
        <f>IF(M31+N31&lt;&gt;0,IF(M31&lt;&gt;0,IF(O31&lt;&gt;0,ROUND((+O31/M31),4),""),1),"")</f>
        <v/>
      </c>
      <c r="Q31" s="23"/>
      <c r="R31" s="23"/>
      <c r="S31" s="23"/>
      <c r="T31" s="25"/>
      <c r="U31" s="25"/>
      <c r="V31" s="25"/>
    </row>
    <row r="32" spans="1:22" x14ac:dyDescent="0.2">
      <c r="A32" s="774"/>
      <c r="B32" s="4"/>
      <c r="C32" s="23"/>
      <c r="D32" s="23"/>
      <c r="E32" s="23"/>
      <c r="F32" s="23"/>
      <c r="G32" s="23"/>
      <c r="H32" s="23"/>
      <c r="I32" s="23"/>
      <c r="J32" s="23"/>
      <c r="K32" s="23"/>
      <c r="L32" s="23"/>
      <c r="M32" s="23"/>
      <c r="N32" s="23"/>
      <c r="O32" s="23"/>
      <c r="P32" s="25"/>
      <c r="Q32" s="23"/>
      <c r="R32" s="23"/>
      <c r="S32" s="23"/>
      <c r="T32" s="25"/>
      <c r="U32" s="25"/>
      <c r="V32" s="25"/>
    </row>
    <row r="33" spans="1:22" x14ac:dyDescent="0.2">
      <c r="A33" s="774"/>
      <c r="B33" s="4"/>
      <c r="C33" s="23"/>
      <c r="D33" s="23"/>
      <c r="E33" s="23"/>
      <c r="F33" s="23"/>
      <c r="G33" s="23"/>
      <c r="H33" s="23"/>
      <c r="I33" s="23"/>
      <c r="J33" s="23"/>
      <c r="K33" s="23"/>
      <c r="L33" s="23"/>
      <c r="M33" s="23"/>
      <c r="N33" s="23"/>
      <c r="O33" s="23"/>
      <c r="P33" s="25"/>
      <c r="Q33" s="23"/>
      <c r="R33" s="23"/>
      <c r="S33" s="23"/>
      <c r="T33" s="25"/>
      <c r="U33" s="25"/>
      <c r="V33" s="25"/>
    </row>
    <row r="34" spans="1:22" x14ac:dyDescent="0.2">
      <c r="A34" s="774"/>
      <c r="B34" s="4"/>
      <c r="C34" s="23"/>
      <c r="D34" s="23"/>
      <c r="E34" s="23"/>
      <c r="F34" s="23"/>
      <c r="G34" s="23"/>
      <c r="H34" s="23"/>
      <c r="I34" s="23"/>
      <c r="J34" s="23"/>
      <c r="K34" s="23"/>
      <c r="L34" s="23"/>
      <c r="M34" s="23"/>
      <c r="N34" s="23"/>
      <c r="O34" s="23"/>
      <c r="P34" s="25"/>
      <c r="Q34" s="23"/>
      <c r="R34" s="23"/>
      <c r="S34" s="23"/>
      <c r="T34" s="25"/>
      <c r="U34" s="25"/>
      <c r="V34" s="25"/>
    </row>
    <row r="35" spans="1:22" x14ac:dyDescent="0.2">
      <c r="A35" s="774"/>
      <c r="B35" s="4"/>
      <c r="C35" s="23"/>
      <c r="D35" s="23"/>
      <c r="E35" s="23"/>
      <c r="F35" s="23"/>
      <c r="G35" s="23"/>
      <c r="H35" s="23"/>
      <c r="I35" s="23"/>
      <c r="J35" s="23"/>
      <c r="K35" s="23"/>
      <c r="L35" s="23"/>
      <c r="M35" s="23"/>
      <c r="N35" s="23"/>
      <c r="O35" s="23"/>
      <c r="P35" s="25"/>
      <c r="Q35" s="23"/>
      <c r="R35" s="23"/>
      <c r="S35" s="23"/>
      <c r="T35" s="25"/>
      <c r="U35" s="25"/>
      <c r="V35" s="25"/>
    </row>
    <row r="36" spans="1:22" x14ac:dyDescent="0.2">
      <c r="A36" s="774"/>
      <c r="B36" s="4"/>
      <c r="C36" s="23"/>
      <c r="D36" s="23"/>
      <c r="E36" s="23"/>
      <c r="F36" s="23"/>
      <c r="G36" s="23"/>
      <c r="H36" s="23"/>
      <c r="I36" s="23"/>
      <c r="J36" s="23"/>
      <c r="K36" s="23"/>
      <c r="L36" s="23"/>
      <c r="M36" s="23"/>
      <c r="N36" s="23"/>
      <c r="O36" s="23"/>
      <c r="P36" s="25"/>
      <c r="Q36" s="23"/>
      <c r="R36" s="23"/>
      <c r="S36" s="23"/>
      <c r="T36" s="25"/>
      <c r="U36" s="25"/>
      <c r="V36" s="25"/>
    </row>
    <row r="37" spans="1:22" x14ac:dyDescent="0.2">
      <c r="A37" s="774"/>
      <c r="B37" s="4"/>
      <c r="C37" s="23"/>
      <c r="D37" s="23"/>
      <c r="E37" s="23"/>
      <c r="F37" s="23"/>
      <c r="G37" s="23"/>
      <c r="H37" s="23"/>
      <c r="I37" s="23"/>
      <c r="J37" s="23"/>
      <c r="K37" s="23"/>
      <c r="L37" s="23"/>
      <c r="M37" s="23"/>
      <c r="N37" s="23"/>
      <c r="O37" s="23"/>
      <c r="P37" s="25"/>
      <c r="Q37" s="23"/>
      <c r="R37" s="23"/>
      <c r="S37" s="23"/>
      <c r="T37" s="25"/>
      <c r="U37" s="25"/>
      <c r="V37" s="25"/>
    </row>
    <row r="38" spans="1:22" x14ac:dyDescent="0.2">
      <c r="A38" s="774"/>
      <c r="B38" s="4"/>
      <c r="C38" s="23"/>
      <c r="D38" s="23"/>
      <c r="E38" s="23"/>
      <c r="F38" s="23"/>
      <c r="G38" s="23"/>
      <c r="H38" s="23"/>
      <c r="I38" s="23"/>
      <c r="J38" s="23"/>
      <c r="K38" s="23"/>
      <c r="L38" s="23"/>
      <c r="M38" s="23"/>
      <c r="N38" s="23"/>
      <c r="O38" s="23"/>
      <c r="P38" s="25"/>
      <c r="Q38" s="23"/>
      <c r="R38" s="23"/>
      <c r="S38" s="23"/>
      <c r="T38" s="25"/>
      <c r="U38" s="25"/>
      <c r="V38" s="25"/>
    </row>
    <row r="39" spans="1:22" x14ac:dyDescent="0.2">
      <c r="A39" s="774"/>
      <c r="B39" s="4"/>
      <c r="C39" s="23"/>
      <c r="D39" s="23"/>
      <c r="E39" s="23"/>
      <c r="F39" s="23"/>
      <c r="G39" s="23"/>
      <c r="H39" s="23"/>
      <c r="I39" s="23"/>
      <c r="J39" s="23"/>
      <c r="K39" s="23"/>
      <c r="L39" s="23"/>
      <c r="M39" s="23"/>
      <c r="N39" s="23"/>
      <c r="O39" s="23"/>
      <c r="P39" s="25"/>
      <c r="Q39" s="23"/>
      <c r="R39" s="23"/>
      <c r="S39" s="23"/>
      <c r="T39" s="25"/>
      <c r="U39" s="25"/>
      <c r="V39" s="25"/>
    </row>
    <row r="40" spans="1:22" x14ac:dyDescent="0.2">
      <c r="A40" s="774"/>
      <c r="B40" s="4"/>
      <c r="C40" s="23"/>
      <c r="D40" s="23"/>
      <c r="E40" s="23"/>
      <c r="F40" s="23"/>
      <c r="G40" s="23"/>
      <c r="H40" s="23"/>
      <c r="I40" s="23"/>
      <c r="J40" s="23"/>
      <c r="K40" s="23"/>
      <c r="L40" s="23"/>
      <c r="M40" s="23"/>
      <c r="N40" s="23"/>
      <c r="O40" s="23"/>
      <c r="P40" s="25"/>
      <c r="Q40" s="23"/>
      <c r="R40" s="23"/>
      <c r="S40" s="23"/>
      <c r="T40" s="25"/>
      <c r="U40" s="25"/>
      <c r="V40" s="25"/>
    </row>
    <row r="41" spans="1:22" x14ac:dyDescent="0.2">
      <c r="A41" s="774"/>
      <c r="B41" s="4"/>
      <c r="C41" s="23"/>
      <c r="D41" s="23"/>
      <c r="E41" s="23"/>
      <c r="F41" s="23"/>
      <c r="G41" s="23"/>
      <c r="H41" s="23"/>
      <c r="I41" s="23"/>
      <c r="J41" s="23"/>
      <c r="K41" s="23"/>
      <c r="L41" s="23"/>
      <c r="M41" s="23"/>
      <c r="N41" s="23"/>
      <c r="O41" s="23"/>
      <c r="P41" s="25"/>
      <c r="Q41" s="23"/>
      <c r="R41" s="23"/>
      <c r="S41" s="23"/>
      <c r="T41" s="25"/>
      <c r="U41" s="25"/>
      <c r="V41" s="25"/>
    </row>
    <row r="42" spans="1:22" x14ac:dyDescent="0.2">
      <c r="A42" s="774"/>
      <c r="B42" s="4"/>
      <c r="C42" s="23"/>
      <c r="D42" s="23"/>
      <c r="E42" s="23"/>
      <c r="F42" s="23"/>
      <c r="G42" s="23"/>
      <c r="H42" s="23"/>
      <c r="I42" s="23"/>
      <c r="J42" s="23"/>
      <c r="K42" s="23"/>
      <c r="L42" s="23"/>
      <c r="M42" s="23"/>
      <c r="N42" s="23"/>
      <c r="O42" s="23"/>
      <c r="P42" s="25"/>
      <c r="Q42" s="23"/>
      <c r="R42" s="23"/>
      <c r="S42" s="23"/>
      <c r="T42" s="25"/>
      <c r="U42" s="25"/>
      <c r="V42" s="25"/>
    </row>
    <row r="43" spans="1:22" x14ac:dyDescent="0.2">
      <c r="A43" s="774"/>
      <c r="B43" s="4"/>
      <c r="C43" s="23"/>
      <c r="D43" s="23"/>
      <c r="E43" s="23"/>
      <c r="F43" s="23"/>
      <c r="G43" s="23"/>
      <c r="H43" s="23"/>
      <c r="I43" s="23"/>
      <c r="J43" s="23"/>
      <c r="K43" s="23"/>
      <c r="L43" s="23"/>
      <c r="M43" s="23"/>
      <c r="N43" s="23"/>
      <c r="O43" s="23"/>
      <c r="P43" s="25"/>
      <c r="Q43" s="23"/>
      <c r="R43" s="23"/>
      <c r="S43" s="23"/>
      <c r="T43" s="25"/>
      <c r="U43" s="25"/>
      <c r="V43" s="25"/>
    </row>
    <row r="44" spans="1:22" x14ac:dyDescent="0.2">
      <c r="A44" s="774"/>
      <c r="B44" s="4"/>
      <c r="C44" s="23"/>
      <c r="D44" s="23"/>
      <c r="E44" s="23"/>
      <c r="F44" s="23"/>
      <c r="G44" s="23"/>
      <c r="H44" s="23"/>
      <c r="I44" s="23"/>
      <c r="J44" s="23"/>
      <c r="K44" s="23"/>
      <c r="L44" s="23"/>
      <c r="M44" s="23"/>
      <c r="N44" s="23"/>
      <c r="O44" s="23"/>
      <c r="P44" s="25"/>
      <c r="Q44" s="23"/>
      <c r="R44" s="23"/>
      <c r="S44" s="23"/>
      <c r="T44" s="25"/>
      <c r="U44" s="25"/>
      <c r="V44" s="25"/>
    </row>
    <row r="45" spans="1:22" x14ac:dyDescent="0.2">
      <c r="A45" s="774"/>
      <c r="B45" s="4"/>
      <c r="C45" s="23"/>
      <c r="D45" s="23"/>
      <c r="E45" s="23"/>
      <c r="F45" s="23"/>
      <c r="G45" s="23"/>
      <c r="H45" s="23"/>
      <c r="I45" s="23"/>
      <c r="J45" s="23"/>
      <c r="K45" s="23"/>
      <c r="L45" s="23"/>
      <c r="M45" s="23"/>
      <c r="N45" s="23"/>
      <c r="O45" s="23"/>
      <c r="P45" s="25"/>
      <c r="Q45" s="23"/>
      <c r="R45" s="23"/>
      <c r="S45" s="23"/>
      <c r="T45" s="25"/>
      <c r="U45" s="25"/>
      <c r="V45" s="25"/>
    </row>
    <row r="46" spans="1:22" x14ac:dyDescent="0.2">
      <c r="A46" s="774"/>
      <c r="B46" s="4"/>
      <c r="C46" s="23"/>
      <c r="D46" s="23"/>
      <c r="E46" s="23"/>
      <c r="F46" s="23"/>
      <c r="G46" s="23"/>
      <c r="H46" s="23"/>
      <c r="I46" s="23"/>
      <c r="J46" s="23"/>
      <c r="K46" s="23"/>
      <c r="L46" s="23"/>
      <c r="M46" s="23"/>
      <c r="N46" s="23"/>
      <c r="O46" s="23"/>
      <c r="P46" s="25"/>
      <c r="Q46" s="23"/>
      <c r="R46" s="23"/>
      <c r="S46" s="23"/>
      <c r="T46" s="25"/>
      <c r="U46" s="25"/>
      <c r="V46" s="25"/>
    </row>
    <row r="47" spans="1:22" x14ac:dyDescent="0.2">
      <c r="A47" s="774"/>
      <c r="B47" s="4"/>
      <c r="C47" s="23"/>
      <c r="D47" s="23"/>
      <c r="E47" s="23"/>
      <c r="F47" s="23"/>
      <c r="G47" s="23"/>
      <c r="H47" s="23"/>
      <c r="I47" s="23"/>
      <c r="J47" s="23"/>
      <c r="K47" s="23"/>
      <c r="L47" s="23"/>
      <c r="M47" s="23"/>
      <c r="N47" s="23"/>
      <c r="O47" s="23"/>
      <c r="P47" s="25"/>
      <c r="Q47" s="23"/>
      <c r="R47" s="23"/>
      <c r="S47" s="23"/>
      <c r="T47" s="25"/>
      <c r="U47" s="25"/>
      <c r="V47" s="25"/>
    </row>
    <row r="48" spans="1:22" x14ac:dyDescent="0.2">
      <c r="A48" s="774"/>
      <c r="B48" s="4"/>
      <c r="C48" s="23"/>
      <c r="D48" s="23"/>
      <c r="E48" s="23"/>
      <c r="F48" s="23"/>
      <c r="G48" s="23"/>
      <c r="H48" s="23"/>
      <c r="I48" s="23"/>
      <c r="J48" s="23"/>
      <c r="K48" s="23"/>
      <c r="L48" s="23"/>
      <c r="M48" s="23"/>
      <c r="N48" s="23"/>
      <c r="O48" s="23"/>
      <c r="P48" s="25"/>
      <c r="Q48" s="23"/>
      <c r="R48" s="23"/>
      <c r="S48" s="23"/>
      <c r="T48" s="25"/>
      <c r="U48" s="25"/>
      <c r="V48" s="25"/>
    </row>
    <row r="49" spans="1:22" x14ac:dyDescent="0.2">
      <c r="A49" s="774"/>
      <c r="B49" s="4"/>
      <c r="C49" s="23"/>
      <c r="D49" s="23"/>
      <c r="E49" s="23"/>
      <c r="F49" s="23"/>
      <c r="G49" s="23"/>
      <c r="H49" s="23"/>
      <c r="I49" s="23"/>
      <c r="J49" s="23"/>
      <c r="K49" s="23"/>
      <c r="L49" s="23"/>
      <c r="M49" s="23"/>
      <c r="N49" s="23"/>
      <c r="O49" s="23"/>
      <c r="P49" s="25"/>
      <c r="Q49" s="23"/>
      <c r="R49" s="23"/>
      <c r="S49" s="23"/>
      <c r="T49" s="25"/>
      <c r="U49" s="25"/>
      <c r="V49" s="25"/>
    </row>
    <row r="50" spans="1:22" x14ac:dyDescent="0.2">
      <c r="A50" s="774"/>
      <c r="B50" s="4"/>
      <c r="C50" s="23"/>
      <c r="D50" s="23"/>
      <c r="E50" s="23"/>
      <c r="F50" s="23"/>
      <c r="G50" s="23"/>
      <c r="H50" s="23"/>
      <c r="I50" s="23"/>
      <c r="J50" s="23"/>
      <c r="K50" s="23"/>
      <c r="L50" s="23"/>
      <c r="M50" s="23"/>
      <c r="N50" s="23"/>
      <c r="O50" s="23"/>
      <c r="P50" s="25"/>
      <c r="Q50" s="23"/>
      <c r="R50" s="23"/>
      <c r="S50" s="23"/>
      <c r="T50" s="25"/>
      <c r="U50" s="25"/>
      <c r="V50" s="25"/>
    </row>
    <row r="51" spans="1:22" x14ac:dyDescent="0.2">
      <c r="A51" s="774"/>
      <c r="B51" s="4"/>
      <c r="C51" s="23"/>
      <c r="D51" s="23"/>
      <c r="E51" s="23"/>
      <c r="F51" s="23"/>
      <c r="G51" s="23"/>
      <c r="H51" s="23"/>
      <c r="I51" s="23"/>
      <c r="J51" s="23"/>
      <c r="K51" s="23"/>
      <c r="L51" s="23"/>
      <c r="M51" s="23"/>
      <c r="N51" s="23"/>
      <c r="O51" s="23"/>
      <c r="P51" s="25"/>
      <c r="Q51" s="23"/>
      <c r="R51" s="23"/>
      <c r="S51" s="23"/>
      <c r="T51" s="25"/>
      <c r="U51" s="25"/>
      <c r="V51" s="25"/>
    </row>
    <row r="52" spans="1:22" x14ac:dyDescent="0.2">
      <c r="A52" s="774"/>
      <c r="B52" s="4"/>
      <c r="C52" s="23"/>
      <c r="D52" s="23"/>
      <c r="E52" s="23"/>
      <c r="F52" s="23"/>
      <c r="G52" s="23"/>
      <c r="H52" s="23"/>
      <c r="I52" s="23"/>
      <c r="J52" s="23"/>
      <c r="K52" s="23"/>
      <c r="L52" s="23"/>
      <c r="M52" s="23"/>
      <c r="N52" s="23"/>
      <c r="O52" s="23"/>
      <c r="P52" s="25"/>
      <c r="Q52" s="23"/>
      <c r="R52" s="23"/>
      <c r="S52" s="23"/>
      <c r="T52" s="25"/>
      <c r="U52" s="25"/>
      <c r="V52" s="25"/>
    </row>
    <row r="53" spans="1:22" x14ac:dyDescent="0.2">
      <c r="A53" s="774"/>
      <c r="B53" s="4"/>
      <c r="C53" s="23"/>
      <c r="D53" s="23"/>
      <c r="E53" s="23"/>
      <c r="F53" s="23"/>
      <c r="G53" s="23"/>
      <c r="H53" s="23"/>
      <c r="I53" s="23"/>
      <c r="J53" s="23"/>
      <c r="K53" s="23"/>
      <c r="L53" s="23"/>
      <c r="M53" s="23"/>
      <c r="N53" s="23"/>
      <c r="O53" s="23"/>
      <c r="P53" s="25"/>
      <c r="Q53" s="23"/>
      <c r="R53" s="23"/>
      <c r="S53" s="23"/>
      <c r="T53" s="25"/>
      <c r="U53" s="25"/>
      <c r="V53" s="25"/>
    </row>
    <row r="54" spans="1:22" x14ac:dyDescent="0.2">
      <c r="A54" s="774"/>
      <c r="B54" s="4"/>
      <c r="C54" s="23"/>
      <c r="D54" s="23"/>
      <c r="E54" s="23"/>
      <c r="F54" s="23"/>
      <c r="G54" s="23"/>
      <c r="H54" s="23"/>
      <c r="I54" s="23"/>
      <c r="J54" s="23"/>
      <c r="K54" s="23"/>
      <c r="L54" s="23"/>
      <c r="M54" s="23"/>
      <c r="N54" s="23"/>
      <c r="O54" s="23"/>
      <c r="P54" s="25"/>
      <c r="Q54" s="23"/>
      <c r="R54" s="23"/>
      <c r="S54" s="23"/>
      <c r="T54" s="25"/>
      <c r="U54" s="25"/>
      <c r="V54" s="25"/>
    </row>
    <row r="55" spans="1:22" x14ac:dyDescent="0.2">
      <c r="A55" s="774"/>
      <c r="B55" s="4"/>
      <c r="C55" s="23"/>
      <c r="D55" s="23"/>
      <c r="E55" s="23"/>
      <c r="F55" s="23"/>
      <c r="G55" s="23"/>
      <c r="H55" s="23"/>
      <c r="I55" s="23"/>
      <c r="J55" s="23"/>
      <c r="K55" s="23"/>
      <c r="L55" s="23"/>
      <c r="M55" s="23"/>
      <c r="N55" s="23"/>
      <c r="O55" s="23"/>
      <c r="P55" s="25"/>
      <c r="Q55" s="23"/>
      <c r="R55" s="23"/>
      <c r="S55" s="23"/>
      <c r="T55" s="25"/>
      <c r="U55" s="25"/>
      <c r="V55" s="25"/>
    </row>
    <row r="56" spans="1:22" x14ac:dyDescent="0.2">
      <c r="A56" s="774"/>
      <c r="B56" s="4"/>
      <c r="C56" s="23"/>
      <c r="D56" s="23"/>
      <c r="E56" s="23"/>
      <c r="F56" s="23"/>
      <c r="G56" s="23"/>
      <c r="H56" s="23"/>
      <c r="I56" s="23"/>
      <c r="J56" s="23"/>
      <c r="K56" s="23"/>
      <c r="L56" s="23"/>
      <c r="M56" s="23"/>
      <c r="N56" s="23"/>
      <c r="O56" s="23"/>
      <c r="P56" s="25"/>
      <c r="Q56" s="23"/>
      <c r="R56" s="23"/>
      <c r="S56" s="23"/>
      <c r="T56" s="25"/>
      <c r="U56" s="25"/>
      <c r="V56" s="25"/>
    </row>
    <row r="57" spans="1:22" x14ac:dyDescent="0.2">
      <c r="A57" s="774"/>
      <c r="B57" s="4"/>
      <c r="C57" s="23"/>
      <c r="D57" s="23"/>
      <c r="E57" s="23"/>
      <c r="F57" s="23"/>
      <c r="G57" s="23"/>
      <c r="H57" s="23"/>
      <c r="I57" s="23"/>
      <c r="J57" s="23"/>
      <c r="K57" s="23"/>
      <c r="L57" s="23"/>
      <c r="M57" s="23"/>
      <c r="N57" s="23"/>
      <c r="O57" s="23"/>
      <c r="P57" s="25"/>
      <c r="Q57" s="23"/>
      <c r="R57" s="23"/>
      <c r="S57" s="23"/>
      <c r="T57" s="25"/>
      <c r="U57" s="25"/>
      <c r="V57" s="25"/>
    </row>
    <row r="58" spans="1:22" x14ac:dyDescent="0.2">
      <c r="A58" s="774"/>
      <c r="B58" s="4"/>
      <c r="C58" s="23"/>
      <c r="D58" s="23"/>
      <c r="E58" s="23"/>
      <c r="F58" s="23"/>
      <c r="G58" s="23"/>
      <c r="H58" s="23"/>
      <c r="I58" s="23"/>
      <c r="J58" s="23"/>
      <c r="K58" s="23"/>
      <c r="L58" s="23"/>
      <c r="M58" s="23"/>
      <c r="N58" s="23"/>
      <c r="O58" s="23"/>
      <c r="P58" s="25"/>
      <c r="Q58" s="23"/>
      <c r="R58" s="23"/>
      <c r="S58" s="23"/>
      <c r="T58" s="25"/>
      <c r="U58" s="25"/>
      <c r="V58" s="25"/>
    </row>
    <row r="59" spans="1:22" x14ac:dyDescent="0.2">
      <c r="A59" s="774"/>
      <c r="B59" s="4"/>
      <c r="C59" s="23"/>
      <c r="D59" s="23"/>
      <c r="E59" s="23"/>
      <c r="F59" s="23"/>
      <c r="G59" s="23"/>
      <c r="H59" s="23"/>
      <c r="I59" s="23"/>
      <c r="J59" s="23"/>
      <c r="K59" s="23"/>
      <c r="L59" s="23"/>
      <c r="M59" s="23"/>
      <c r="N59" s="23"/>
      <c r="O59" s="23"/>
      <c r="P59" s="25"/>
      <c r="Q59" s="23"/>
      <c r="R59" s="23"/>
      <c r="S59" s="23"/>
      <c r="T59" s="25"/>
      <c r="U59" s="25"/>
      <c r="V59" s="25"/>
    </row>
    <row r="60" spans="1:22" x14ac:dyDescent="0.2">
      <c r="A60" s="774"/>
      <c r="B60" s="4"/>
      <c r="C60" s="23"/>
      <c r="D60" s="23"/>
      <c r="E60" s="23"/>
      <c r="F60" s="23"/>
      <c r="G60" s="23"/>
      <c r="H60" s="23"/>
      <c r="I60" s="23"/>
      <c r="J60" s="23"/>
      <c r="K60" s="23"/>
      <c r="L60" s="23"/>
      <c r="M60" s="23"/>
      <c r="N60" s="23"/>
      <c r="O60" s="23"/>
      <c r="P60" s="25"/>
      <c r="Q60" s="23"/>
      <c r="R60" s="23"/>
      <c r="S60" s="23"/>
      <c r="T60" s="25"/>
      <c r="U60" s="25"/>
      <c r="V60" s="25"/>
    </row>
    <row r="61" spans="1:22" x14ac:dyDescent="0.2">
      <c r="A61" s="774"/>
      <c r="B61" s="4"/>
      <c r="C61" s="23"/>
      <c r="D61" s="23"/>
      <c r="E61" s="23"/>
      <c r="F61" s="23"/>
      <c r="G61" s="23"/>
      <c r="H61" s="23"/>
      <c r="I61" s="23"/>
      <c r="J61" s="23"/>
      <c r="K61" s="23"/>
      <c r="L61" s="23"/>
      <c r="M61" s="23"/>
      <c r="N61" s="23"/>
      <c r="O61" s="23"/>
      <c r="P61" s="25"/>
      <c r="Q61" s="23"/>
      <c r="R61" s="23"/>
      <c r="S61" s="23"/>
      <c r="T61" s="25"/>
      <c r="U61" s="25"/>
      <c r="V61" s="25"/>
    </row>
    <row r="62" spans="1:22" x14ac:dyDescent="0.2">
      <c r="A62" s="774"/>
      <c r="B62" s="4"/>
      <c r="C62" s="23"/>
      <c r="D62" s="23"/>
      <c r="E62" s="23"/>
      <c r="F62" s="23"/>
      <c r="G62" s="23"/>
      <c r="H62" s="23"/>
      <c r="I62" s="23"/>
      <c r="J62" s="23"/>
      <c r="K62" s="23"/>
      <c r="L62" s="23"/>
      <c r="M62" s="23"/>
      <c r="N62" s="23"/>
      <c r="O62" s="23"/>
      <c r="P62" s="25"/>
      <c r="Q62" s="23"/>
      <c r="R62" s="23"/>
      <c r="S62" s="23"/>
      <c r="T62" s="25"/>
      <c r="U62" s="25"/>
      <c r="V62" s="25"/>
    </row>
    <row r="63" spans="1:22" x14ac:dyDescent="0.2">
      <c r="A63" s="774"/>
      <c r="B63" s="4"/>
      <c r="C63" s="23"/>
      <c r="D63" s="23"/>
      <c r="E63" s="23"/>
      <c r="F63" s="23"/>
      <c r="G63" s="23"/>
      <c r="H63" s="23"/>
      <c r="I63" s="23"/>
      <c r="J63" s="23"/>
      <c r="K63" s="23"/>
      <c r="L63" s="23"/>
      <c r="M63" s="23"/>
      <c r="N63" s="23"/>
      <c r="O63" s="23"/>
      <c r="P63" s="25"/>
      <c r="Q63" s="23"/>
      <c r="R63" s="23"/>
      <c r="S63" s="23"/>
      <c r="T63" s="25"/>
      <c r="U63" s="25"/>
      <c r="V63" s="25"/>
    </row>
    <row r="64" spans="1:22" x14ac:dyDescent="0.2">
      <c r="A64" s="774"/>
      <c r="B64" s="4"/>
      <c r="C64" s="23"/>
      <c r="D64" s="23"/>
      <c r="E64" s="23"/>
      <c r="F64" s="23"/>
      <c r="G64" s="23"/>
      <c r="H64" s="23"/>
      <c r="I64" s="23"/>
      <c r="J64" s="23"/>
      <c r="K64" s="23"/>
      <c r="L64" s="23"/>
      <c r="M64" s="23"/>
      <c r="N64" s="23"/>
      <c r="O64" s="23"/>
      <c r="P64" s="25"/>
      <c r="Q64" s="23"/>
      <c r="R64" s="23"/>
      <c r="S64" s="23"/>
      <c r="T64" s="25"/>
      <c r="U64" s="25"/>
      <c r="V64" s="25"/>
    </row>
    <row r="65" spans="1:22" x14ac:dyDescent="0.2">
      <c r="A65" s="774"/>
      <c r="B65" s="4"/>
      <c r="C65" s="23"/>
      <c r="D65" s="23"/>
      <c r="E65" s="23"/>
      <c r="F65" s="23"/>
      <c r="G65" s="23"/>
      <c r="H65" s="23"/>
      <c r="I65" s="23"/>
      <c r="J65" s="23"/>
      <c r="K65" s="23"/>
      <c r="L65" s="23"/>
      <c r="M65" s="23"/>
      <c r="N65" s="23"/>
      <c r="O65" s="23"/>
      <c r="P65" s="25"/>
      <c r="Q65" s="23"/>
      <c r="R65" s="23"/>
      <c r="S65" s="23"/>
      <c r="T65" s="25"/>
      <c r="U65" s="25"/>
      <c r="V65" s="25"/>
    </row>
    <row r="66" spans="1:22" x14ac:dyDescent="0.2">
      <c r="A66" s="774"/>
      <c r="B66" s="4"/>
      <c r="C66" s="23"/>
      <c r="D66" s="23"/>
      <c r="E66" s="23"/>
      <c r="F66" s="23"/>
      <c r="G66" s="23"/>
      <c r="H66" s="23"/>
      <c r="I66" s="23"/>
      <c r="J66" s="23"/>
      <c r="K66" s="23"/>
      <c r="L66" s="23"/>
      <c r="M66" s="23"/>
      <c r="N66" s="23"/>
      <c r="O66" s="23"/>
      <c r="P66" s="25"/>
      <c r="Q66" s="23"/>
      <c r="R66" s="23"/>
      <c r="S66" s="23"/>
      <c r="T66" s="25"/>
      <c r="U66" s="25"/>
      <c r="V66" s="25"/>
    </row>
    <row r="67" spans="1:22" x14ac:dyDescent="0.2">
      <c r="A67" s="774"/>
      <c r="B67" s="4"/>
      <c r="C67" s="23"/>
      <c r="D67" s="23"/>
      <c r="E67" s="23"/>
      <c r="F67" s="23"/>
      <c r="G67" s="23"/>
      <c r="H67" s="23"/>
      <c r="I67" s="23"/>
      <c r="J67" s="23"/>
      <c r="K67" s="23"/>
      <c r="L67" s="23"/>
      <c r="M67" s="23"/>
      <c r="N67" s="23"/>
      <c r="O67" s="23"/>
      <c r="P67" s="4"/>
      <c r="Q67" s="23"/>
      <c r="R67" s="23"/>
      <c r="S67" s="23"/>
      <c r="T67" s="4"/>
      <c r="U67" s="4"/>
      <c r="V67" s="4"/>
    </row>
    <row r="68" spans="1:22" x14ac:dyDescent="0.2">
      <c r="A68" s="774"/>
      <c r="B68" s="4"/>
      <c r="C68" s="23"/>
      <c r="D68" s="23"/>
      <c r="E68" s="23"/>
      <c r="F68" s="23"/>
      <c r="G68" s="23"/>
      <c r="H68" s="23"/>
      <c r="I68" s="23"/>
      <c r="J68" s="23"/>
      <c r="K68" s="23"/>
      <c r="L68" s="23"/>
      <c r="M68" s="23"/>
      <c r="N68" s="23"/>
      <c r="O68" s="23"/>
      <c r="P68" s="4"/>
      <c r="Q68" s="23"/>
      <c r="R68" s="23"/>
      <c r="S68" s="23"/>
      <c r="T68" s="4"/>
      <c r="U68" s="4"/>
      <c r="V68" s="4"/>
    </row>
    <row r="69" spans="1:22" x14ac:dyDescent="0.2">
      <c r="A69" s="774"/>
      <c r="B69" s="4"/>
      <c r="C69" s="23"/>
      <c r="D69" s="23"/>
      <c r="E69" s="23"/>
      <c r="F69" s="23"/>
      <c r="G69" s="23"/>
      <c r="H69" s="23"/>
      <c r="I69" s="23"/>
      <c r="J69" s="23"/>
      <c r="K69" s="23"/>
      <c r="L69" s="23"/>
      <c r="M69" s="23"/>
      <c r="N69" s="23"/>
      <c r="O69" s="23"/>
      <c r="P69" s="4"/>
      <c r="Q69" s="23"/>
      <c r="R69" s="23"/>
      <c r="S69" s="23"/>
      <c r="T69" s="4"/>
      <c r="U69" s="4"/>
      <c r="V69" s="4"/>
    </row>
    <row r="70" spans="1:22" x14ac:dyDescent="0.2">
      <c r="A70" s="774"/>
      <c r="B70" s="4"/>
      <c r="C70" s="23"/>
      <c r="D70" s="23"/>
      <c r="E70" s="23"/>
      <c r="F70" s="23"/>
      <c r="G70" s="23"/>
      <c r="H70" s="23"/>
      <c r="I70" s="23"/>
      <c r="J70" s="23"/>
      <c r="K70" s="23"/>
      <c r="L70" s="23"/>
      <c r="M70" s="23"/>
      <c r="N70" s="23"/>
      <c r="O70" s="23"/>
      <c r="P70" s="4"/>
      <c r="Q70" s="23"/>
      <c r="R70" s="23"/>
      <c r="S70" s="23"/>
      <c r="T70" s="4"/>
      <c r="U70" s="4"/>
      <c r="V70" s="4"/>
    </row>
    <row r="71" spans="1:22" x14ac:dyDescent="0.2">
      <c r="A71" s="774"/>
      <c r="B71" s="4"/>
      <c r="C71" s="23"/>
      <c r="D71" s="23"/>
      <c r="E71" s="23"/>
      <c r="F71" s="23"/>
      <c r="G71" s="23"/>
      <c r="H71" s="23"/>
      <c r="I71" s="23"/>
      <c r="J71" s="23"/>
      <c r="K71" s="23"/>
      <c r="L71" s="23"/>
      <c r="M71" s="23"/>
      <c r="N71" s="23"/>
      <c r="O71" s="23"/>
      <c r="P71" s="4"/>
      <c r="Q71" s="23"/>
      <c r="R71" s="23"/>
      <c r="S71" s="23"/>
      <c r="T71" s="4"/>
      <c r="U71" s="4"/>
      <c r="V71" s="4"/>
    </row>
    <row r="72" spans="1:22" x14ac:dyDescent="0.2">
      <c r="A72" s="774"/>
      <c r="B72" s="4"/>
      <c r="C72" s="23"/>
      <c r="D72" s="23"/>
      <c r="E72" s="23"/>
      <c r="F72" s="23"/>
      <c r="G72" s="23"/>
      <c r="H72" s="23"/>
      <c r="I72" s="23"/>
      <c r="J72" s="23"/>
      <c r="K72" s="23"/>
      <c r="L72" s="23"/>
      <c r="M72" s="23"/>
      <c r="N72" s="23"/>
      <c r="O72" s="23"/>
      <c r="P72" s="4"/>
      <c r="Q72" s="23"/>
      <c r="R72" s="23"/>
      <c r="S72" s="23"/>
      <c r="T72" s="4"/>
      <c r="U72" s="4"/>
      <c r="V72" s="4"/>
    </row>
    <row r="73" spans="1:22" x14ac:dyDescent="0.2">
      <c r="A73" s="774"/>
      <c r="B73" s="4"/>
      <c r="C73" s="23"/>
      <c r="D73" s="23"/>
      <c r="E73" s="23"/>
      <c r="F73" s="23"/>
      <c r="G73" s="23"/>
      <c r="H73" s="23"/>
      <c r="I73" s="23"/>
      <c r="J73" s="23"/>
      <c r="K73" s="23"/>
      <c r="L73" s="23"/>
      <c r="M73" s="23"/>
      <c r="N73" s="23"/>
      <c r="O73" s="23"/>
      <c r="P73" s="4"/>
      <c r="Q73" s="23"/>
      <c r="R73" s="23"/>
      <c r="S73" s="23"/>
      <c r="T73" s="4"/>
      <c r="U73" s="4"/>
      <c r="V73" s="4"/>
    </row>
    <row r="74" spans="1:22" x14ac:dyDescent="0.2">
      <c r="A74" s="774"/>
      <c r="B74" s="4"/>
      <c r="C74" s="23"/>
      <c r="D74" s="23"/>
      <c r="E74" s="23"/>
      <c r="F74" s="23"/>
      <c r="G74" s="23"/>
      <c r="H74" s="23"/>
      <c r="I74" s="23"/>
      <c r="J74" s="23"/>
      <c r="K74" s="23"/>
      <c r="L74" s="23"/>
      <c r="M74" s="23"/>
      <c r="N74" s="23"/>
      <c r="O74" s="23"/>
      <c r="P74" s="4"/>
      <c r="Q74" s="23"/>
      <c r="R74" s="23"/>
      <c r="S74" s="23"/>
      <c r="T74" s="4"/>
      <c r="U74" s="4"/>
      <c r="V74" s="4"/>
    </row>
    <row r="75" spans="1:22" x14ac:dyDescent="0.2">
      <c r="A75" s="774"/>
      <c r="B75" s="4"/>
      <c r="C75" s="23"/>
      <c r="D75" s="23"/>
      <c r="E75" s="23"/>
      <c r="F75" s="23"/>
      <c r="G75" s="23"/>
      <c r="H75" s="23"/>
      <c r="I75" s="23"/>
      <c r="J75" s="23"/>
      <c r="K75" s="23"/>
      <c r="L75" s="23"/>
      <c r="M75" s="23"/>
      <c r="N75" s="23"/>
      <c r="O75" s="23"/>
      <c r="P75" s="4"/>
      <c r="Q75" s="23"/>
      <c r="R75" s="23"/>
      <c r="S75" s="23"/>
      <c r="T75" s="4"/>
      <c r="U75" s="4"/>
      <c r="V75" s="4"/>
    </row>
    <row r="76" spans="1:22" x14ac:dyDescent="0.2">
      <c r="A76" s="774"/>
      <c r="B76" s="4"/>
      <c r="C76" s="23"/>
      <c r="D76" s="23"/>
      <c r="E76" s="23"/>
      <c r="F76" s="23"/>
      <c r="G76" s="23"/>
      <c r="H76" s="23"/>
      <c r="I76" s="23"/>
      <c r="J76" s="23"/>
      <c r="K76" s="23"/>
      <c r="L76" s="23"/>
      <c r="M76" s="23"/>
      <c r="N76" s="23"/>
      <c r="O76" s="23"/>
      <c r="P76" s="4"/>
      <c r="Q76" s="23"/>
      <c r="R76" s="23"/>
      <c r="S76" s="23"/>
      <c r="T76" s="4"/>
      <c r="U76" s="4"/>
      <c r="V76" s="4"/>
    </row>
    <row r="77" spans="1:22" x14ac:dyDescent="0.2">
      <c r="A77" s="774"/>
      <c r="B77" s="4"/>
      <c r="C77" s="23"/>
      <c r="D77" s="23"/>
      <c r="E77" s="23"/>
      <c r="F77" s="23"/>
      <c r="G77" s="23"/>
      <c r="H77" s="23"/>
      <c r="I77" s="23"/>
      <c r="J77" s="23"/>
      <c r="K77" s="23"/>
      <c r="L77" s="23"/>
      <c r="M77" s="23"/>
      <c r="N77" s="23"/>
      <c r="O77" s="23"/>
      <c r="P77" s="4"/>
      <c r="Q77" s="23"/>
      <c r="R77" s="23"/>
      <c r="S77" s="23"/>
      <c r="T77" s="4"/>
      <c r="U77" s="4"/>
      <c r="V77" s="4"/>
    </row>
    <row r="78" spans="1:22" x14ac:dyDescent="0.2">
      <c r="A78" s="774"/>
      <c r="B78" s="4"/>
      <c r="C78" s="23"/>
      <c r="D78" s="23"/>
      <c r="E78" s="23"/>
      <c r="F78" s="23"/>
      <c r="G78" s="23"/>
      <c r="H78" s="23"/>
      <c r="I78" s="23"/>
      <c r="J78" s="23"/>
      <c r="K78" s="23"/>
      <c r="L78" s="23"/>
      <c r="M78" s="23"/>
      <c r="N78" s="23"/>
      <c r="O78" s="23"/>
      <c r="P78" s="4"/>
      <c r="Q78" s="23"/>
      <c r="R78" s="23"/>
      <c r="S78" s="23"/>
      <c r="T78" s="4"/>
      <c r="U78" s="4"/>
      <c r="V78" s="4"/>
    </row>
    <row r="79" spans="1:22" x14ac:dyDescent="0.2">
      <c r="A79" s="774"/>
      <c r="B79" s="4"/>
      <c r="C79" s="23"/>
      <c r="D79" s="23"/>
      <c r="E79" s="23"/>
      <c r="F79" s="23"/>
      <c r="G79" s="23"/>
      <c r="H79" s="23"/>
      <c r="I79" s="23"/>
      <c r="J79" s="23"/>
      <c r="K79" s="23"/>
      <c r="L79" s="23"/>
      <c r="M79" s="23"/>
      <c r="N79" s="23"/>
      <c r="O79" s="23"/>
      <c r="P79" s="4"/>
      <c r="Q79" s="23"/>
      <c r="R79" s="23"/>
      <c r="S79" s="23"/>
      <c r="T79" s="4"/>
      <c r="U79" s="4"/>
      <c r="V79" s="4"/>
    </row>
    <row r="80" spans="1:22" x14ac:dyDescent="0.2">
      <c r="A80" s="774"/>
      <c r="B80" s="4"/>
      <c r="C80" s="23"/>
      <c r="D80" s="23"/>
      <c r="E80" s="23"/>
      <c r="F80" s="23"/>
      <c r="G80" s="23"/>
      <c r="H80" s="23"/>
      <c r="I80" s="23"/>
      <c r="J80" s="23"/>
      <c r="K80" s="23"/>
      <c r="L80" s="23"/>
      <c r="M80" s="23"/>
      <c r="N80" s="23"/>
      <c r="O80" s="23"/>
      <c r="P80" s="4"/>
      <c r="Q80" s="23"/>
      <c r="R80" s="23"/>
      <c r="S80" s="23"/>
      <c r="T80" s="4"/>
      <c r="U80" s="4"/>
      <c r="V80" s="4"/>
    </row>
    <row r="81" spans="1:22" x14ac:dyDescent="0.2">
      <c r="A81" s="774"/>
      <c r="B81" s="4"/>
      <c r="C81" s="23"/>
      <c r="D81" s="23"/>
      <c r="E81" s="23"/>
      <c r="F81" s="23"/>
      <c r="G81" s="23"/>
      <c r="H81" s="23"/>
      <c r="I81" s="23"/>
      <c r="J81" s="23"/>
      <c r="K81" s="23"/>
      <c r="L81" s="23"/>
      <c r="M81" s="23"/>
      <c r="N81" s="23"/>
      <c r="O81" s="23"/>
      <c r="P81" s="4"/>
      <c r="Q81" s="23"/>
      <c r="R81" s="23"/>
      <c r="S81" s="23"/>
      <c r="T81" s="4"/>
      <c r="U81" s="4"/>
      <c r="V81" s="4"/>
    </row>
    <row r="82" spans="1:22" x14ac:dyDescent="0.2">
      <c r="A82" s="774"/>
      <c r="B82" s="4"/>
      <c r="C82" s="23"/>
      <c r="D82" s="23"/>
      <c r="E82" s="23"/>
      <c r="F82" s="23"/>
      <c r="G82" s="23"/>
      <c r="H82" s="23"/>
      <c r="I82" s="23"/>
      <c r="J82" s="23"/>
      <c r="K82" s="23"/>
      <c r="L82" s="23"/>
      <c r="M82" s="23"/>
      <c r="N82" s="23"/>
      <c r="O82" s="23"/>
      <c r="P82" s="4"/>
      <c r="Q82" s="23"/>
      <c r="R82" s="23"/>
      <c r="S82" s="23"/>
      <c r="T82" s="4"/>
      <c r="U82" s="4"/>
      <c r="V82" s="4"/>
    </row>
    <row r="83" spans="1:22" x14ac:dyDescent="0.2">
      <c r="A83" s="774"/>
      <c r="B83" s="4"/>
      <c r="C83" s="23"/>
      <c r="D83" s="23"/>
      <c r="E83" s="23"/>
      <c r="F83" s="23"/>
      <c r="G83" s="23"/>
      <c r="H83" s="23"/>
      <c r="I83" s="23"/>
      <c r="J83" s="23"/>
      <c r="K83" s="23"/>
      <c r="L83" s="23"/>
      <c r="M83" s="23"/>
      <c r="N83" s="23"/>
      <c r="O83" s="23"/>
      <c r="P83" s="4"/>
      <c r="Q83" s="23"/>
      <c r="R83" s="23"/>
      <c r="S83" s="23"/>
      <c r="T83" s="4"/>
      <c r="U83" s="4"/>
      <c r="V83" s="4"/>
    </row>
    <row r="84" spans="1:22" x14ac:dyDescent="0.2">
      <c r="A84" s="774"/>
      <c r="B84" s="4"/>
      <c r="C84" s="23"/>
      <c r="D84" s="23"/>
      <c r="E84" s="23"/>
      <c r="F84" s="23"/>
      <c r="G84" s="23"/>
      <c r="H84" s="23"/>
      <c r="I84" s="23"/>
      <c r="J84" s="23"/>
      <c r="K84" s="23"/>
      <c r="L84" s="23"/>
      <c r="M84" s="23"/>
      <c r="N84" s="23"/>
      <c r="O84" s="23"/>
      <c r="P84" s="4"/>
      <c r="Q84" s="23"/>
      <c r="R84" s="23"/>
      <c r="S84" s="23"/>
      <c r="T84" s="4"/>
      <c r="U84" s="4"/>
      <c r="V84" s="4"/>
    </row>
    <row r="85" spans="1:22" x14ac:dyDescent="0.2">
      <c r="A85" s="774"/>
      <c r="B85" s="4"/>
      <c r="C85" s="23"/>
      <c r="D85" s="23"/>
      <c r="E85" s="23"/>
      <c r="F85" s="23"/>
      <c r="G85" s="23"/>
      <c r="H85" s="23"/>
      <c r="I85" s="23"/>
      <c r="J85" s="23"/>
      <c r="K85" s="23"/>
      <c r="L85" s="23"/>
      <c r="M85" s="23"/>
      <c r="N85" s="23"/>
      <c r="O85" s="23"/>
      <c r="P85" s="4"/>
      <c r="Q85" s="23"/>
      <c r="R85" s="23"/>
      <c r="S85" s="23"/>
      <c r="T85" s="4"/>
      <c r="U85" s="4"/>
      <c r="V85" s="4"/>
    </row>
    <row r="86" spans="1:22" x14ac:dyDescent="0.2">
      <c r="A86" s="774"/>
      <c r="B86" s="4"/>
      <c r="C86" s="23"/>
      <c r="D86" s="23"/>
      <c r="E86" s="23"/>
      <c r="F86" s="23"/>
      <c r="G86" s="23"/>
      <c r="H86" s="23"/>
      <c r="I86" s="23"/>
      <c r="J86" s="23"/>
      <c r="K86" s="23"/>
      <c r="L86" s="23"/>
      <c r="M86" s="23"/>
      <c r="N86" s="23"/>
      <c r="O86" s="23"/>
      <c r="P86" s="4"/>
      <c r="Q86" s="23"/>
      <c r="R86" s="23"/>
      <c r="S86" s="23"/>
      <c r="T86" s="4"/>
      <c r="U86" s="4"/>
      <c r="V86" s="4"/>
    </row>
    <row r="87" spans="1:22" x14ac:dyDescent="0.2">
      <c r="A87" s="774"/>
      <c r="B87" s="4"/>
      <c r="C87" s="23"/>
      <c r="D87" s="23"/>
      <c r="E87" s="23"/>
      <c r="F87" s="23"/>
      <c r="G87" s="23"/>
      <c r="H87" s="23"/>
      <c r="I87" s="23"/>
      <c r="J87" s="23"/>
      <c r="K87" s="23"/>
      <c r="L87" s="23"/>
      <c r="M87" s="23"/>
      <c r="N87" s="23"/>
      <c r="O87" s="23"/>
      <c r="P87" s="4"/>
      <c r="Q87" s="23"/>
      <c r="R87" s="23"/>
      <c r="S87" s="23"/>
      <c r="T87" s="4"/>
      <c r="U87" s="4"/>
      <c r="V87" s="4"/>
    </row>
    <row r="88" spans="1:22" x14ac:dyDescent="0.2">
      <c r="A88" s="774"/>
      <c r="B88" s="4"/>
      <c r="C88" s="23"/>
      <c r="D88" s="23"/>
      <c r="E88" s="23"/>
      <c r="F88" s="23"/>
      <c r="G88" s="23"/>
      <c r="H88" s="23"/>
      <c r="I88" s="23"/>
      <c r="J88" s="23"/>
      <c r="K88" s="23"/>
      <c r="L88" s="23"/>
      <c r="M88" s="23"/>
      <c r="N88" s="23"/>
      <c r="O88" s="23"/>
      <c r="P88" s="4"/>
      <c r="Q88" s="23"/>
      <c r="R88" s="23"/>
      <c r="S88" s="23"/>
      <c r="T88" s="4"/>
      <c r="U88" s="4"/>
      <c r="V88" s="4"/>
    </row>
    <row r="89" spans="1:22" x14ac:dyDescent="0.2">
      <c r="A89" s="774"/>
      <c r="B89" s="4"/>
      <c r="C89" s="23"/>
      <c r="D89" s="23"/>
      <c r="E89" s="23"/>
      <c r="F89" s="23"/>
      <c r="G89" s="23"/>
      <c r="H89" s="23"/>
      <c r="I89" s="23"/>
      <c r="J89" s="23"/>
      <c r="K89" s="23"/>
      <c r="L89" s="23"/>
      <c r="M89" s="23"/>
      <c r="N89" s="23"/>
      <c r="O89" s="23"/>
      <c r="P89" s="4"/>
      <c r="Q89" s="23"/>
      <c r="R89" s="23"/>
      <c r="S89" s="23"/>
      <c r="T89" s="4"/>
      <c r="U89" s="4"/>
      <c r="V89" s="4"/>
    </row>
    <row r="90" spans="1:22" x14ac:dyDescent="0.2">
      <c r="A90" s="774"/>
      <c r="B90" s="4"/>
      <c r="C90" s="23"/>
      <c r="D90" s="23"/>
      <c r="E90" s="23"/>
      <c r="F90" s="23"/>
      <c r="G90" s="23"/>
      <c r="H90" s="23"/>
      <c r="I90" s="23"/>
      <c r="J90" s="23"/>
      <c r="K90" s="23"/>
      <c r="L90" s="23"/>
      <c r="M90" s="23"/>
      <c r="N90" s="23"/>
      <c r="O90" s="23"/>
      <c r="P90" s="4"/>
      <c r="Q90" s="23"/>
      <c r="R90" s="23"/>
      <c r="S90" s="23"/>
      <c r="T90" s="4"/>
      <c r="U90" s="4"/>
      <c r="V90" s="4"/>
    </row>
    <row r="91" spans="1:22" x14ac:dyDescent="0.2">
      <c r="A91" s="774"/>
      <c r="B91" s="4"/>
      <c r="C91" s="23"/>
      <c r="D91" s="23"/>
      <c r="E91" s="23"/>
      <c r="F91" s="23"/>
      <c r="G91" s="23"/>
      <c r="H91" s="23"/>
      <c r="I91" s="23"/>
      <c r="J91" s="23"/>
      <c r="K91" s="23"/>
      <c r="L91" s="23"/>
      <c r="M91" s="23"/>
      <c r="N91" s="23"/>
      <c r="O91" s="23"/>
      <c r="P91" s="4"/>
      <c r="Q91" s="23"/>
      <c r="R91" s="23"/>
      <c r="S91" s="23"/>
      <c r="T91" s="4"/>
      <c r="U91" s="4"/>
      <c r="V91" s="4"/>
    </row>
    <row r="92" spans="1:22" x14ac:dyDescent="0.2">
      <c r="A92" s="774"/>
      <c r="B92" s="4"/>
      <c r="C92" s="23"/>
      <c r="D92" s="23"/>
      <c r="E92" s="23"/>
      <c r="F92" s="23"/>
      <c r="G92" s="23"/>
      <c r="H92" s="23"/>
      <c r="I92" s="23"/>
      <c r="J92" s="23"/>
      <c r="K92" s="23"/>
      <c r="L92" s="23"/>
      <c r="M92" s="23"/>
      <c r="N92" s="23"/>
      <c r="O92" s="23"/>
      <c r="P92" s="4"/>
      <c r="Q92" s="23"/>
      <c r="R92" s="23"/>
      <c r="S92" s="23"/>
      <c r="T92" s="4"/>
      <c r="U92" s="4"/>
      <c r="V92" s="4"/>
    </row>
    <row r="93" spans="1:22" x14ac:dyDescent="0.2">
      <c r="A93" s="774"/>
      <c r="B93" s="4"/>
      <c r="C93" s="23"/>
      <c r="D93" s="23"/>
      <c r="E93" s="23"/>
      <c r="F93" s="23"/>
      <c r="G93" s="23"/>
      <c r="H93" s="23"/>
      <c r="I93" s="23"/>
      <c r="J93" s="23"/>
      <c r="K93" s="23"/>
      <c r="L93" s="23"/>
      <c r="M93" s="23"/>
      <c r="N93" s="23"/>
      <c r="O93" s="23"/>
      <c r="P93" s="4"/>
      <c r="Q93" s="23"/>
      <c r="R93" s="23"/>
      <c r="S93" s="23"/>
      <c r="T93" s="4"/>
      <c r="U93" s="4"/>
      <c r="V93" s="4"/>
    </row>
    <row r="94" spans="1:22" x14ac:dyDescent="0.2">
      <c r="A94" s="774"/>
      <c r="B94" s="4"/>
      <c r="C94" s="23"/>
      <c r="D94" s="23"/>
      <c r="E94" s="23"/>
      <c r="F94" s="23"/>
      <c r="G94" s="23"/>
      <c r="H94" s="23"/>
      <c r="I94" s="23"/>
      <c r="J94" s="23"/>
      <c r="K94" s="23"/>
      <c r="L94" s="23"/>
      <c r="M94" s="23"/>
      <c r="N94" s="23"/>
      <c r="O94" s="23"/>
      <c r="P94" s="4"/>
      <c r="Q94" s="23"/>
      <c r="R94" s="23"/>
      <c r="S94" s="23"/>
      <c r="T94" s="4"/>
      <c r="U94" s="4"/>
      <c r="V94" s="4"/>
    </row>
    <row r="95" spans="1:22" x14ac:dyDescent="0.2">
      <c r="A95" s="774"/>
      <c r="B95" s="4"/>
      <c r="C95" s="23"/>
      <c r="D95" s="23"/>
      <c r="E95" s="23"/>
      <c r="F95" s="23"/>
      <c r="G95" s="23"/>
      <c r="H95" s="23"/>
      <c r="I95" s="23"/>
      <c r="J95" s="23"/>
      <c r="K95" s="23"/>
      <c r="L95" s="23"/>
      <c r="M95" s="23"/>
      <c r="N95" s="23"/>
      <c r="O95" s="23"/>
      <c r="P95" s="4"/>
      <c r="Q95" s="23"/>
      <c r="R95" s="23"/>
      <c r="S95" s="23"/>
      <c r="T95" s="4"/>
      <c r="U95" s="4"/>
      <c r="V95" s="4"/>
    </row>
    <row r="96" spans="1:22" x14ac:dyDescent="0.2">
      <c r="A96" s="774"/>
      <c r="B96" s="4"/>
      <c r="C96" s="23"/>
      <c r="D96" s="23"/>
      <c r="E96" s="23"/>
      <c r="F96" s="23"/>
      <c r="G96" s="23"/>
      <c r="H96" s="23"/>
      <c r="I96" s="23"/>
      <c r="J96" s="23"/>
      <c r="K96" s="23"/>
      <c r="L96" s="23"/>
      <c r="M96" s="23"/>
      <c r="N96" s="23"/>
      <c r="O96" s="23"/>
      <c r="P96" s="4"/>
      <c r="Q96" s="23"/>
      <c r="R96" s="23"/>
      <c r="S96" s="23"/>
      <c r="T96" s="4"/>
      <c r="U96" s="4"/>
      <c r="V96" s="4"/>
    </row>
    <row r="97" spans="1:22" x14ac:dyDescent="0.2">
      <c r="A97" s="774"/>
      <c r="B97" s="4"/>
      <c r="C97" s="23"/>
      <c r="D97" s="23"/>
      <c r="E97" s="23"/>
      <c r="F97" s="23"/>
      <c r="G97" s="23"/>
      <c r="H97" s="23"/>
      <c r="I97" s="23"/>
      <c r="J97" s="23"/>
      <c r="K97" s="23"/>
      <c r="L97" s="23"/>
      <c r="M97" s="23"/>
      <c r="N97" s="23"/>
      <c r="O97" s="23"/>
      <c r="P97" s="4"/>
      <c r="Q97" s="23"/>
      <c r="R97" s="23"/>
      <c r="S97" s="23"/>
      <c r="T97" s="4"/>
      <c r="U97" s="4"/>
      <c r="V97" s="4"/>
    </row>
    <row r="98" spans="1:22" x14ac:dyDescent="0.2">
      <c r="A98" s="774"/>
      <c r="B98" s="4"/>
      <c r="C98" s="23"/>
      <c r="D98" s="23"/>
      <c r="E98" s="23"/>
      <c r="F98" s="23"/>
      <c r="G98" s="23"/>
      <c r="H98" s="23"/>
      <c r="I98" s="23"/>
      <c r="J98" s="23"/>
      <c r="K98" s="23"/>
      <c r="L98" s="23"/>
      <c r="M98" s="23"/>
      <c r="N98" s="23"/>
      <c r="O98" s="23"/>
      <c r="P98" s="4"/>
      <c r="Q98" s="23"/>
      <c r="R98" s="23"/>
      <c r="S98" s="23"/>
      <c r="T98" s="4"/>
      <c r="U98" s="4"/>
      <c r="V98" s="4"/>
    </row>
    <row r="99" spans="1:22" x14ac:dyDescent="0.2">
      <c r="A99" s="774"/>
      <c r="B99" s="4"/>
      <c r="C99" s="23"/>
      <c r="D99" s="23"/>
      <c r="E99" s="23"/>
      <c r="F99" s="23"/>
      <c r="G99" s="23"/>
      <c r="H99" s="23"/>
      <c r="I99" s="23"/>
      <c r="J99" s="23"/>
      <c r="K99" s="23"/>
      <c r="L99" s="23"/>
      <c r="M99" s="23"/>
      <c r="N99" s="23"/>
      <c r="O99" s="23"/>
      <c r="P99" s="4"/>
      <c r="Q99" s="23"/>
      <c r="R99" s="23"/>
      <c r="S99" s="23"/>
      <c r="T99" s="4"/>
      <c r="U99" s="4"/>
      <c r="V99" s="4"/>
    </row>
    <row r="100" spans="1:22" x14ac:dyDescent="0.2">
      <c r="A100" s="774"/>
      <c r="B100" s="4"/>
      <c r="C100" s="23"/>
      <c r="D100" s="23"/>
      <c r="E100" s="23"/>
      <c r="F100" s="23"/>
      <c r="G100" s="23"/>
      <c r="H100" s="23"/>
      <c r="I100" s="23"/>
      <c r="J100" s="23"/>
      <c r="K100" s="23"/>
      <c r="L100" s="23"/>
      <c r="M100" s="23"/>
      <c r="N100" s="23"/>
      <c r="O100" s="23"/>
      <c r="P100" s="4"/>
      <c r="Q100" s="23"/>
      <c r="R100" s="23"/>
      <c r="S100" s="23"/>
      <c r="T100" s="4"/>
      <c r="U100" s="4"/>
      <c r="V100" s="4"/>
    </row>
    <row r="101" spans="1:22" x14ac:dyDescent="0.2">
      <c r="A101" s="774"/>
      <c r="B101" s="4"/>
      <c r="C101" s="23"/>
      <c r="D101" s="23"/>
      <c r="E101" s="23"/>
      <c r="F101" s="23"/>
      <c r="G101" s="23"/>
      <c r="H101" s="23"/>
      <c r="I101" s="23"/>
      <c r="J101" s="23"/>
      <c r="K101" s="23"/>
      <c r="L101" s="23"/>
      <c r="M101" s="23"/>
      <c r="N101" s="23"/>
      <c r="O101" s="23"/>
      <c r="P101" s="4"/>
      <c r="Q101" s="23"/>
      <c r="R101" s="23"/>
      <c r="S101" s="23"/>
      <c r="T101" s="4"/>
      <c r="U101" s="4"/>
      <c r="V101" s="4"/>
    </row>
    <row r="102" spans="1:22" x14ac:dyDescent="0.2">
      <c r="A102" s="774"/>
      <c r="B102" s="4"/>
      <c r="C102" s="23"/>
      <c r="D102" s="23"/>
      <c r="E102" s="23"/>
      <c r="F102" s="23"/>
      <c r="G102" s="23"/>
      <c r="H102" s="23"/>
      <c r="I102" s="23"/>
      <c r="J102" s="23"/>
      <c r="K102" s="23"/>
      <c r="L102" s="23"/>
      <c r="M102" s="23"/>
      <c r="N102" s="23"/>
      <c r="O102" s="23"/>
      <c r="P102" s="4"/>
      <c r="Q102" s="23"/>
      <c r="R102" s="23"/>
      <c r="S102" s="23"/>
      <c r="T102" s="4"/>
      <c r="U102" s="4"/>
      <c r="V102" s="4"/>
    </row>
    <row r="103" spans="1:22" x14ac:dyDescent="0.2">
      <c r="A103" s="774"/>
      <c r="B103" s="4"/>
      <c r="C103" s="23"/>
      <c r="D103" s="23"/>
      <c r="E103" s="23"/>
      <c r="F103" s="23"/>
      <c r="G103" s="23"/>
      <c r="H103" s="23"/>
      <c r="I103" s="23"/>
      <c r="J103" s="23"/>
      <c r="K103" s="23"/>
      <c r="L103" s="23"/>
      <c r="M103" s="23"/>
      <c r="N103" s="23"/>
      <c r="O103" s="23"/>
      <c r="P103" s="4"/>
      <c r="Q103" s="23"/>
      <c r="R103" s="23"/>
      <c r="S103" s="23"/>
      <c r="T103" s="4"/>
      <c r="U103" s="4"/>
      <c r="V103" s="4"/>
    </row>
    <row r="104" spans="1:22" x14ac:dyDescent="0.2">
      <c r="A104" s="774"/>
      <c r="B104" s="4"/>
      <c r="C104" s="23"/>
      <c r="D104" s="23"/>
      <c r="E104" s="23"/>
      <c r="F104" s="23"/>
      <c r="G104" s="23"/>
      <c r="H104" s="23"/>
      <c r="I104" s="23"/>
      <c r="J104" s="23"/>
      <c r="K104" s="23"/>
      <c r="L104" s="23"/>
      <c r="M104" s="23"/>
      <c r="N104" s="23"/>
      <c r="O104" s="23"/>
      <c r="P104" s="4"/>
      <c r="Q104" s="23"/>
      <c r="R104" s="23"/>
      <c r="S104" s="23"/>
      <c r="T104" s="4"/>
      <c r="U104" s="4"/>
      <c r="V104" s="4"/>
    </row>
    <row r="105" spans="1:22" x14ac:dyDescent="0.2">
      <c r="A105" s="774"/>
      <c r="B105" s="4"/>
      <c r="C105" s="23"/>
      <c r="D105" s="23"/>
      <c r="E105" s="23"/>
      <c r="F105" s="23"/>
      <c r="G105" s="23"/>
      <c r="H105" s="23"/>
      <c r="I105" s="23"/>
      <c r="J105" s="23"/>
      <c r="K105" s="23"/>
      <c r="L105" s="23"/>
      <c r="M105" s="23"/>
      <c r="N105" s="23"/>
      <c r="O105" s="23"/>
      <c r="P105" s="4"/>
      <c r="Q105" s="23"/>
      <c r="R105" s="23"/>
      <c r="S105" s="23"/>
      <c r="T105" s="4"/>
      <c r="U105" s="4"/>
      <c r="V105" s="4"/>
    </row>
    <row r="106" spans="1:22" x14ac:dyDescent="0.2">
      <c r="A106" s="774"/>
      <c r="B106" s="4"/>
      <c r="C106" s="23"/>
      <c r="D106" s="23"/>
      <c r="E106" s="23"/>
      <c r="F106" s="23"/>
      <c r="G106" s="23"/>
      <c r="H106" s="23"/>
      <c r="I106" s="23"/>
      <c r="J106" s="23"/>
      <c r="K106" s="23"/>
      <c r="L106" s="23"/>
      <c r="M106" s="23"/>
      <c r="N106" s="23"/>
      <c r="O106" s="23"/>
      <c r="P106" s="4"/>
      <c r="Q106" s="23"/>
      <c r="R106" s="23"/>
      <c r="S106" s="23"/>
      <c r="T106" s="4"/>
      <c r="U106" s="4"/>
      <c r="V106" s="4"/>
    </row>
    <row r="107" spans="1:22" x14ac:dyDescent="0.2">
      <c r="A107" s="774"/>
      <c r="B107" s="4"/>
      <c r="C107" s="23"/>
      <c r="D107" s="23"/>
      <c r="E107" s="23"/>
      <c r="F107" s="23"/>
      <c r="G107" s="23"/>
      <c r="H107" s="23"/>
      <c r="I107" s="23"/>
      <c r="J107" s="23"/>
      <c r="K107" s="23"/>
      <c r="L107" s="23"/>
      <c r="M107" s="23"/>
      <c r="N107" s="23"/>
      <c r="O107" s="23"/>
      <c r="P107" s="4"/>
      <c r="Q107" s="23"/>
      <c r="R107" s="23"/>
      <c r="S107" s="23"/>
      <c r="T107" s="4"/>
      <c r="U107" s="4"/>
      <c r="V107" s="4"/>
    </row>
    <row r="108" spans="1:22" x14ac:dyDescent="0.2">
      <c r="A108" s="774"/>
      <c r="B108" s="4"/>
      <c r="C108" s="23"/>
      <c r="D108" s="23"/>
      <c r="E108" s="23"/>
      <c r="F108" s="23"/>
      <c r="G108" s="23"/>
      <c r="H108" s="23"/>
      <c r="I108" s="23"/>
      <c r="J108" s="23"/>
      <c r="K108" s="23"/>
      <c r="L108" s="23"/>
      <c r="M108" s="23"/>
      <c r="N108" s="23"/>
      <c r="O108" s="23"/>
      <c r="P108" s="4"/>
      <c r="Q108" s="23"/>
      <c r="R108" s="23"/>
      <c r="S108" s="23"/>
      <c r="T108" s="4"/>
      <c r="U108" s="4"/>
      <c r="V108" s="4"/>
    </row>
    <row r="109" spans="1:22" x14ac:dyDescent="0.2">
      <c r="A109" s="774"/>
      <c r="B109" s="4"/>
      <c r="C109" s="23"/>
      <c r="D109" s="23"/>
      <c r="E109" s="23"/>
      <c r="F109" s="23"/>
      <c r="G109" s="23"/>
      <c r="H109" s="23"/>
      <c r="I109" s="23"/>
      <c r="J109" s="23"/>
      <c r="K109" s="23"/>
      <c r="L109" s="23"/>
      <c r="M109" s="23"/>
      <c r="N109" s="23"/>
      <c r="O109" s="23"/>
      <c r="P109" s="4"/>
      <c r="Q109" s="23"/>
      <c r="R109" s="23"/>
      <c r="S109" s="23"/>
      <c r="T109" s="4"/>
      <c r="U109" s="4"/>
      <c r="V109" s="4"/>
    </row>
    <row r="110" spans="1:22" x14ac:dyDescent="0.2">
      <c r="A110" s="774"/>
      <c r="B110" s="4"/>
      <c r="C110" s="23"/>
      <c r="D110" s="23"/>
      <c r="E110" s="23"/>
      <c r="F110" s="23"/>
      <c r="G110" s="23"/>
      <c r="H110" s="23"/>
      <c r="I110" s="23"/>
      <c r="J110" s="23"/>
      <c r="K110" s="23"/>
      <c r="L110" s="23"/>
      <c r="M110" s="23"/>
      <c r="N110" s="23"/>
      <c r="O110" s="23"/>
      <c r="P110" s="4"/>
      <c r="Q110" s="23"/>
      <c r="R110" s="23"/>
      <c r="S110" s="23"/>
      <c r="T110" s="4"/>
      <c r="U110" s="4"/>
      <c r="V110" s="4"/>
    </row>
    <row r="111" spans="1:22" x14ac:dyDescent="0.2">
      <c r="A111" s="774"/>
      <c r="B111" s="4"/>
      <c r="C111" s="23"/>
      <c r="D111" s="23"/>
      <c r="E111" s="23"/>
      <c r="F111" s="23"/>
      <c r="G111" s="23"/>
      <c r="H111" s="23"/>
      <c r="I111" s="23"/>
      <c r="J111" s="23"/>
      <c r="K111" s="23"/>
      <c r="L111" s="23"/>
      <c r="M111" s="23"/>
      <c r="N111" s="23"/>
      <c r="O111" s="23"/>
      <c r="P111" s="4"/>
      <c r="Q111" s="23"/>
      <c r="R111" s="23"/>
      <c r="S111" s="23"/>
      <c r="T111" s="4"/>
      <c r="U111" s="4"/>
      <c r="V111" s="4"/>
    </row>
    <row r="112" spans="1:22" x14ac:dyDescent="0.2">
      <c r="A112" s="774"/>
      <c r="B112" s="4"/>
      <c r="C112" s="23"/>
      <c r="D112" s="23"/>
      <c r="E112" s="23"/>
      <c r="F112" s="23"/>
      <c r="G112" s="23"/>
      <c r="H112" s="23"/>
      <c r="I112" s="23"/>
      <c r="J112" s="23"/>
      <c r="K112" s="23"/>
      <c r="L112" s="23"/>
      <c r="M112" s="23"/>
      <c r="N112" s="23"/>
      <c r="O112" s="23"/>
      <c r="P112" s="4"/>
      <c r="Q112" s="23"/>
      <c r="R112" s="23"/>
      <c r="S112" s="23"/>
      <c r="T112" s="4"/>
      <c r="U112" s="4"/>
      <c r="V112" s="4"/>
    </row>
    <row r="113" spans="1:22" x14ac:dyDescent="0.2">
      <c r="A113" s="774"/>
      <c r="B113" s="4"/>
      <c r="C113" s="23"/>
      <c r="D113" s="23"/>
      <c r="E113" s="23"/>
      <c r="F113" s="23"/>
      <c r="G113" s="23"/>
      <c r="H113" s="23"/>
      <c r="I113" s="23"/>
      <c r="J113" s="23"/>
      <c r="K113" s="23"/>
      <c r="L113" s="23"/>
      <c r="M113" s="23"/>
      <c r="N113" s="23"/>
      <c r="O113" s="23"/>
      <c r="P113" s="4"/>
      <c r="Q113" s="23"/>
      <c r="R113" s="23"/>
      <c r="S113" s="23"/>
      <c r="T113" s="4"/>
      <c r="U113" s="4"/>
      <c r="V113" s="4"/>
    </row>
    <row r="114" spans="1:22" x14ac:dyDescent="0.2">
      <c r="A114" s="774"/>
      <c r="B114" s="4"/>
      <c r="C114" s="23"/>
      <c r="D114" s="23"/>
      <c r="E114" s="23"/>
      <c r="F114" s="23"/>
      <c r="G114" s="23"/>
      <c r="H114" s="23"/>
      <c r="I114" s="23"/>
      <c r="J114" s="23"/>
      <c r="K114" s="23"/>
      <c r="L114" s="23"/>
      <c r="M114" s="23"/>
      <c r="N114" s="23"/>
      <c r="O114" s="23"/>
      <c r="P114" s="4"/>
      <c r="Q114" s="23"/>
      <c r="R114" s="23"/>
      <c r="S114" s="23"/>
      <c r="T114" s="4"/>
      <c r="U114" s="4"/>
      <c r="V114" s="4"/>
    </row>
    <row r="115" spans="1:22" x14ac:dyDescent="0.2">
      <c r="A115" s="774"/>
      <c r="B115" s="4"/>
      <c r="C115" s="23"/>
      <c r="D115" s="23"/>
      <c r="E115" s="23"/>
      <c r="F115" s="23"/>
      <c r="G115" s="23"/>
      <c r="H115" s="23"/>
      <c r="I115" s="23"/>
      <c r="J115" s="23"/>
      <c r="K115" s="23"/>
      <c r="L115" s="23"/>
      <c r="M115" s="23"/>
      <c r="N115" s="23"/>
      <c r="O115" s="23"/>
      <c r="P115" s="4"/>
      <c r="Q115" s="23"/>
      <c r="R115" s="23"/>
      <c r="S115" s="23"/>
      <c r="T115" s="4"/>
      <c r="U115" s="4"/>
      <c r="V115" s="4"/>
    </row>
    <row r="116" spans="1:22" x14ac:dyDescent="0.2">
      <c r="A116" s="774"/>
      <c r="B116" s="4"/>
      <c r="C116" s="23"/>
      <c r="D116" s="23"/>
      <c r="E116" s="23"/>
      <c r="F116" s="23"/>
      <c r="G116" s="23"/>
      <c r="H116" s="23"/>
      <c r="I116" s="23"/>
      <c r="J116" s="23"/>
      <c r="K116" s="23"/>
      <c r="L116" s="23"/>
      <c r="M116" s="23"/>
      <c r="N116" s="23"/>
      <c r="O116" s="23"/>
      <c r="P116" s="4"/>
      <c r="Q116" s="23"/>
      <c r="R116" s="23"/>
      <c r="S116" s="23"/>
      <c r="T116" s="4"/>
      <c r="U116" s="4"/>
      <c r="V116" s="4"/>
    </row>
    <row r="117" spans="1:22" x14ac:dyDescent="0.2">
      <c r="A117" s="774"/>
      <c r="B117" s="4"/>
      <c r="C117" s="23"/>
      <c r="D117" s="23"/>
      <c r="E117" s="23"/>
      <c r="F117" s="23"/>
      <c r="G117" s="23"/>
      <c r="H117" s="23"/>
      <c r="I117" s="23"/>
      <c r="J117" s="23"/>
      <c r="K117" s="23"/>
      <c r="L117" s="23"/>
      <c r="M117" s="23"/>
      <c r="N117" s="23"/>
      <c r="O117" s="23"/>
      <c r="P117" s="4"/>
      <c r="Q117" s="23"/>
      <c r="R117" s="23"/>
      <c r="S117" s="23"/>
      <c r="T117" s="4"/>
      <c r="U117" s="4"/>
      <c r="V117" s="4"/>
    </row>
    <row r="118" spans="1:22" x14ac:dyDescent="0.2">
      <c r="A118" s="774"/>
      <c r="B118" s="4"/>
      <c r="C118" s="23"/>
      <c r="D118" s="23"/>
      <c r="E118" s="23"/>
      <c r="F118" s="23"/>
      <c r="G118" s="23"/>
      <c r="H118" s="23"/>
      <c r="I118" s="23"/>
      <c r="J118" s="23"/>
      <c r="K118" s="23"/>
      <c r="L118" s="23"/>
      <c r="M118" s="23"/>
      <c r="N118" s="23"/>
      <c r="O118" s="23"/>
      <c r="P118" s="4"/>
      <c r="Q118" s="23"/>
      <c r="R118" s="23"/>
      <c r="S118" s="23"/>
      <c r="T118" s="4"/>
      <c r="U118" s="4"/>
      <c r="V118" s="4"/>
    </row>
    <row r="119" spans="1:22" x14ac:dyDescent="0.2">
      <c r="A119" s="774"/>
      <c r="B119" s="4"/>
      <c r="C119" s="23"/>
      <c r="D119" s="23"/>
      <c r="E119" s="23"/>
      <c r="F119" s="23"/>
      <c r="G119" s="23"/>
      <c r="H119" s="23"/>
      <c r="I119" s="23"/>
      <c r="J119" s="23"/>
      <c r="K119" s="23"/>
      <c r="L119" s="23"/>
      <c r="M119" s="23"/>
      <c r="N119" s="23"/>
      <c r="O119" s="23"/>
      <c r="P119" s="4"/>
      <c r="Q119" s="23"/>
      <c r="R119" s="23"/>
      <c r="S119" s="23"/>
      <c r="T119" s="4"/>
      <c r="U119" s="4"/>
      <c r="V119" s="4"/>
    </row>
    <row r="120" spans="1:22" x14ac:dyDescent="0.2">
      <c r="A120" s="774"/>
      <c r="B120" s="4"/>
      <c r="C120" s="23"/>
      <c r="D120" s="23"/>
      <c r="E120" s="23"/>
      <c r="F120" s="23"/>
      <c r="G120" s="23"/>
      <c r="H120" s="23"/>
      <c r="I120" s="23"/>
      <c r="J120" s="23"/>
      <c r="K120" s="23"/>
      <c r="L120" s="23"/>
      <c r="M120" s="23"/>
      <c r="N120" s="23"/>
      <c r="O120" s="23"/>
      <c r="P120" s="4"/>
      <c r="Q120" s="23"/>
      <c r="R120" s="23"/>
      <c r="S120" s="23"/>
      <c r="T120" s="4"/>
      <c r="U120" s="4"/>
      <c r="V120" s="4"/>
    </row>
    <row r="121" spans="1:22" x14ac:dyDescent="0.2">
      <c r="A121" s="774"/>
      <c r="B121" s="4"/>
      <c r="C121" s="23"/>
      <c r="D121" s="23"/>
      <c r="E121" s="23"/>
      <c r="F121" s="23"/>
      <c r="G121" s="23"/>
      <c r="H121" s="23"/>
      <c r="I121" s="23"/>
      <c r="J121" s="23"/>
      <c r="K121" s="23"/>
      <c r="L121" s="23"/>
      <c r="M121" s="23"/>
      <c r="N121" s="23"/>
      <c r="O121" s="23"/>
      <c r="P121" s="4"/>
      <c r="Q121" s="23"/>
      <c r="R121" s="23"/>
      <c r="S121" s="23"/>
      <c r="T121" s="4"/>
      <c r="U121" s="4"/>
      <c r="V121" s="4"/>
    </row>
    <row r="122" spans="1:22" x14ac:dyDescent="0.2">
      <c r="A122" s="774"/>
      <c r="B122" s="4"/>
      <c r="C122" s="23"/>
      <c r="D122" s="23"/>
      <c r="E122" s="23"/>
      <c r="F122" s="23"/>
      <c r="G122" s="23"/>
      <c r="H122" s="23"/>
      <c r="I122" s="23"/>
      <c r="J122" s="23"/>
      <c r="K122" s="23"/>
      <c r="L122" s="23"/>
      <c r="M122" s="23"/>
      <c r="N122" s="23"/>
      <c r="O122" s="23"/>
      <c r="P122" s="4"/>
      <c r="Q122" s="23"/>
      <c r="R122" s="23"/>
      <c r="S122" s="23"/>
      <c r="T122" s="4"/>
      <c r="U122" s="4"/>
      <c r="V122" s="4"/>
    </row>
    <row r="123" spans="1:22" x14ac:dyDescent="0.2">
      <c r="A123" s="774"/>
      <c r="B123" s="4"/>
      <c r="C123" s="23"/>
      <c r="D123" s="23"/>
      <c r="E123" s="23"/>
      <c r="F123" s="23"/>
      <c r="G123" s="23"/>
      <c r="H123" s="23"/>
      <c r="I123" s="23"/>
      <c r="J123" s="23"/>
      <c r="K123" s="23"/>
      <c r="L123" s="23"/>
      <c r="M123" s="23"/>
      <c r="N123" s="23"/>
      <c r="O123" s="23"/>
      <c r="P123" s="4"/>
      <c r="Q123" s="23"/>
      <c r="R123" s="23"/>
      <c r="S123" s="23"/>
      <c r="T123" s="4"/>
      <c r="U123" s="4"/>
      <c r="V123" s="4"/>
    </row>
    <row r="124" spans="1:22" x14ac:dyDescent="0.2">
      <c r="A124" s="774"/>
      <c r="B124" s="4"/>
      <c r="C124" s="23"/>
      <c r="D124" s="23"/>
      <c r="E124" s="23"/>
      <c r="F124" s="23"/>
      <c r="G124" s="23"/>
      <c r="H124" s="23"/>
      <c r="I124" s="23"/>
      <c r="J124" s="23"/>
      <c r="K124" s="23"/>
      <c r="L124" s="23"/>
      <c r="M124" s="23"/>
      <c r="N124" s="23"/>
      <c r="O124" s="23"/>
      <c r="P124" s="4"/>
      <c r="Q124" s="23"/>
      <c r="R124" s="23"/>
      <c r="S124" s="23"/>
      <c r="T124" s="4"/>
      <c r="U124" s="4"/>
      <c r="V124" s="4"/>
    </row>
    <row r="125" spans="1:22" x14ac:dyDescent="0.2">
      <c r="A125" s="774"/>
      <c r="B125" s="4"/>
      <c r="C125" s="23"/>
      <c r="D125" s="23"/>
      <c r="E125" s="23"/>
      <c r="F125" s="23"/>
      <c r="G125" s="23"/>
      <c r="H125" s="23"/>
      <c r="I125" s="23"/>
      <c r="J125" s="23"/>
      <c r="K125" s="23"/>
      <c r="L125" s="23"/>
      <c r="M125" s="23"/>
      <c r="N125" s="23"/>
      <c r="O125" s="23"/>
      <c r="P125" s="4"/>
      <c r="Q125" s="23"/>
      <c r="R125" s="23"/>
      <c r="S125" s="23"/>
      <c r="T125" s="4"/>
      <c r="U125" s="4"/>
      <c r="V125" s="4"/>
    </row>
    <row r="126" spans="1:22" x14ac:dyDescent="0.2">
      <c r="A126" s="774"/>
      <c r="B126" s="4"/>
      <c r="C126" s="23"/>
      <c r="D126" s="23"/>
      <c r="E126" s="23"/>
      <c r="F126" s="23"/>
      <c r="G126" s="23"/>
      <c r="H126" s="23"/>
      <c r="I126" s="23"/>
      <c r="J126" s="23"/>
      <c r="K126" s="23"/>
      <c r="L126" s="23"/>
      <c r="M126" s="23"/>
      <c r="N126" s="23"/>
      <c r="O126" s="23"/>
      <c r="P126" s="4"/>
      <c r="Q126" s="23"/>
      <c r="R126" s="23"/>
      <c r="S126" s="23"/>
      <c r="T126" s="4"/>
      <c r="U126" s="4"/>
      <c r="V126" s="4"/>
    </row>
    <row r="127" spans="1:22" x14ac:dyDescent="0.2">
      <c r="A127" s="774"/>
      <c r="B127" s="4"/>
      <c r="C127" s="23"/>
      <c r="D127" s="23"/>
      <c r="E127" s="23"/>
      <c r="F127" s="23"/>
      <c r="G127" s="23"/>
      <c r="H127" s="23"/>
      <c r="I127" s="23"/>
      <c r="J127" s="23"/>
      <c r="K127" s="23"/>
      <c r="L127" s="23"/>
      <c r="M127" s="23"/>
      <c r="N127" s="23"/>
      <c r="O127" s="23"/>
      <c r="P127" s="4"/>
      <c r="Q127" s="23"/>
      <c r="R127" s="23"/>
      <c r="S127" s="23"/>
      <c r="T127" s="4"/>
      <c r="U127" s="4"/>
      <c r="V127" s="4"/>
    </row>
    <row r="128" spans="1:22" x14ac:dyDescent="0.2">
      <c r="A128" s="774"/>
      <c r="B128" s="4"/>
      <c r="C128" s="23"/>
      <c r="D128" s="23"/>
      <c r="E128" s="23"/>
      <c r="F128" s="23"/>
      <c r="G128" s="23"/>
      <c r="H128" s="23"/>
      <c r="I128" s="23"/>
      <c r="J128" s="23"/>
      <c r="K128" s="23"/>
      <c r="L128" s="23"/>
      <c r="M128" s="23"/>
      <c r="N128" s="23"/>
      <c r="O128" s="23"/>
      <c r="P128" s="4"/>
      <c r="Q128" s="23"/>
      <c r="R128" s="23"/>
      <c r="S128" s="23"/>
      <c r="T128" s="4"/>
      <c r="U128" s="4"/>
      <c r="V128" s="4"/>
    </row>
    <row r="129" spans="1:22" x14ac:dyDescent="0.2">
      <c r="A129" s="774"/>
      <c r="B129" s="4"/>
      <c r="C129" s="23"/>
      <c r="D129" s="23"/>
      <c r="E129" s="23"/>
      <c r="F129" s="23"/>
      <c r="G129" s="23"/>
      <c r="H129" s="23"/>
      <c r="I129" s="23"/>
      <c r="J129" s="23"/>
      <c r="K129" s="23"/>
      <c r="L129" s="23"/>
      <c r="M129" s="23"/>
      <c r="N129" s="23"/>
      <c r="O129" s="23"/>
      <c r="P129" s="4"/>
      <c r="Q129" s="23"/>
      <c r="R129" s="23"/>
      <c r="S129" s="23"/>
      <c r="T129" s="4"/>
      <c r="U129" s="4"/>
      <c r="V129" s="4"/>
    </row>
    <row r="130" spans="1:22" x14ac:dyDescent="0.2">
      <c r="A130" s="774"/>
      <c r="B130" s="4"/>
      <c r="C130" s="23"/>
      <c r="D130" s="23"/>
      <c r="E130" s="23"/>
      <c r="F130" s="23"/>
      <c r="G130" s="23"/>
      <c r="H130" s="23"/>
      <c r="I130" s="23"/>
      <c r="J130" s="23"/>
      <c r="K130" s="23"/>
      <c r="L130" s="23"/>
      <c r="M130" s="23"/>
      <c r="N130" s="23"/>
      <c r="O130" s="23"/>
      <c r="P130" s="4"/>
      <c r="Q130" s="23"/>
      <c r="R130" s="23"/>
      <c r="S130" s="23"/>
      <c r="T130" s="4"/>
      <c r="U130" s="4"/>
      <c r="V130" s="4"/>
    </row>
    <row r="131" spans="1:22" x14ac:dyDescent="0.2">
      <c r="A131" s="774"/>
      <c r="B131" s="4"/>
      <c r="C131" s="23"/>
      <c r="D131" s="23"/>
      <c r="E131" s="23"/>
      <c r="F131" s="23"/>
      <c r="G131" s="23"/>
      <c r="H131" s="23"/>
      <c r="I131" s="23"/>
      <c r="J131" s="23"/>
      <c r="K131" s="23"/>
      <c r="L131" s="23"/>
      <c r="M131" s="23"/>
      <c r="N131" s="23"/>
      <c r="O131" s="23"/>
      <c r="P131" s="4"/>
      <c r="Q131" s="23"/>
      <c r="R131" s="23"/>
      <c r="S131" s="23"/>
      <c r="T131" s="4"/>
      <c r="U131" s="4"/>
      <c r="V131" s="4"/>
    </row>
    <row r="132" spans="1:22" x14ac:dyDescent="0.2">
      <c r="A132" s="774"/>
      <c r="B132" s="4"/>
      <c r="C132" s="23"/>
      <c r="D132" s="23"/>
      <c r="E132" s="23"/>
      <c r="F132" s="23"/>
      <c r="G132" s="23"/>
      <c r="H132" s="23"/>
      <c r="I132" s="23"/>
      <c r="J132" s="23"/>
      <c r="K132" s="23"/>
      <c r="L132" s="23"/>
      <c r="M132" s="23"/>
      <c r="N132" s="23"/>
      <c r="O132" s="23"/>
      <c r="P132" s="4"/>
      <c r="Q132" s="23"/>
      <c r="R132" s="23"/>
      <c r="S132" s="23"/>
      <c r="T132" s="4"/>
      <c r="U132" s="4"/>
      <c r="V132" s="4"/>
    </row>
    <row r="133" spans="1:22" x14ac:dyDescent="0.2">
      <c r="A133" s="774"/>
      <c r="B133" s="4"/>
      <c r="C133" s="23"/>
      <c r="D133" s="23"/>
      <c r="E133" s="23"/>
      <c r="F133" s="23"/>
      <c r="G133" s="23"/>
      <c r="H133" s="23"/>
      <c r="I133" s="23"/>
      <c r="J133" s="23"/>
      <c r="K133" s="23"/>
      <c r="L133" s="23"/>
      <c r="M133" s="23"/>
      <c r="N133" s="23"/>
      <c r="O133" s="23"/>
      <c r="P133" s="4"/>
      <c r="Q133" s="23"/>
      <c r="R133" s="23"/>
      <c r="S133" s="23"/>
      <c r="T133" s="4"/>
      <c r="U133" s="4"/>
      <c r="V133" s="4"/>
    </row>
    <row r="134" spans="1:22" x14ac:dyDescent="0.2">
      <c r="A134" s="774"/>
      <c r="B134" s="4"/>
      <c r="C134" s="23"/>
      <c r="D134" s="23"/>
      <c r="E134" s="23"/>
      <c r="F134" s="23"/>
      <c r="G134" s="23"/>
      <c r="H134" s="23"/>
      <c r="I134" s="23"/>
      <c r="J134" s="23"/>
      <c r="K134" s="23"/>
      <c r="L134" s="23"/>
      <c r="M134" s="23"/>
      <c r="N134" s="23"/>
      <c r="O134" s="23"/>
      <c r="P134" s="4"/>
      <c r="Q134" s="23"/>
      <c r="R134" s="23"/>
      <c r="S134" s="23"/>
      <c r="T134" s="4"/>
      <c r="U134" s="4"/>
      <c r="V134" s="4"/>
    </row>
    <row r="135" spans="1:22" x14ac:dyDescent="0.2">
      <c r="C135" s="212"/>
      <c r="D135" s="212"/>
      <c r="E135" s="212"/>
      <c r="F135" s="212"/>
      <c r="G135" s="212"/>
      <c r="H135" s="212"/>
      <c r="I135" s="212"/>
      <c r="J135" s="212"/>
      <c r="K135" s="212"/>
      <c r="L135" s="212"/>
      <c r="M135" s="212"/>
      <c r="N135" s="212"/>
      <c r="O135" s="212"/>
    </row>
    <row r="136" spans="1:22" x14ac:dyDescent="0.2">
      <c r="C136" s="212"/>
      <c r="D136" s="212"/>
      <c r="E136" s="212"/>
      <c r="F136" s="212"/>
      <c r="G136" s="212"/>
      <c r="H136" s="212"/>
      <c r="I136" s="212"/>
      <c r="J136" s="212"/>
      <c r="K136" s="212"/>
      <c r="L136" s="212"/>
      <c r="M136" s="212"/>
      <c r="N136" s="212"/>
      <c r="O136" s="212"/>
    </row>
    <row r="137" spans="1:22" x14ac:dyDescent="0.2">
      <c r="C137" s="212"/>
      <c r="D137" s="212"/>
      <c r="E137" s="212"/>
      <c r="F137" s="212"/>
      <c r="G137" s="212"/>
      <c r="H137" s="212"/>
      <c r="I137" s="212"/>
      <c r="J137" s="212"/>
      <c r="K137" s="212"/>
      <c r="L137" s="212"/>
      <c r="M137" s="212"/>
      <c r="N137" s="212"/>
      <c r="O137" s="212"/>
    </row>
    <row r="138" spans="1:22" x14ac:dyDescent="0.2">
      <c r="C138" s="212"/>
      <c r="D138" s="212"/>
      <c r="E138" s="212"/>
      <c r="F138" s="212"/>
      <c r="G138" s="212"/>
      <c r="H138" s="212"/>
      <c r="I138" s="212"/>
      <c r="J138" s="212"/>
      <c r="K138" s="212"/>
      <c r="L138" s="212"/>
      <c r="M138" s="212"/>
      <c r="N138" s="212"/>
      <c r="O138" s="212"/>
    </row>
    <row r="139" spans="1:22" x14ac:dyDescent="0.2">
      <c r="C139" s="212"/>
      <c r="D139" s="212"/>
      <c r="E139" s="212"/>
      <c r="F139" s="212"/>
      <c r="G139" s="212"/>
      <c r="H139" s="212"/>
      <c r="I139" s="212"/>
      <c r="J139" s="212"/>
      <c r="K139" s="212"/>
      <c r="L139" s="212"/>
      <c r="M139" s="212"/>
      <c r="N139" s="212"/>
      <c r="O139" s="212"/>
    </row>
    <row r="140" spans="1:22" x14ac:dyDescent="0.2">
      <c r="C140" s="212"/>
      <c r="D140" s="212"/>
      <c r="E140" s="212"/>
      <c r="F140" s="212"/>
      <c r="G140" s="212"/>
      <c r="H140" s="212"/>
      <c r="I140" s="212"/>
      <c r="J140" s="212"/>
      <c r="K140" s="212"/>
      <c r="L140" s="212"/>
      <c r="M140" s="212"/>
      <c r="N140" s="212"/>
      <c r="O140" s="212"/>
    </row>
    <row r="141" spans="1:22" x14ac:dyDescent="0.2">
      <c r="C141" s="212"/>
      <c r="D141" s="212"/>
      <c r="E141" s="212"/>
      <c r="F141" s="212"/>
      <c r="G141" s="212"/>
      <c r="H141" s="212"/>
      <c r="I141" s="212"/>
      <c r="J141" s="212"/>
      <c r="K141" s="212"/>
      <c r="L141" s="212"/>
      <c r="M141" s="212"/>
      <c r="N141" s="212"/>
      <c r="O141" s="212"/>
    </row>
    <row r="142" spans="1:22" x14ac:dyDescent="0.2">
      <c r="C142" s="212"/>
      <c r="D142" s="212"/>
      <c r="E142" s="212"/>
      <c r="F142" s="212"/>
      <c r="G142" s="212"/>
      <c r="H142" s="212"/>
      <c r="I142" s="212"/>
      <c r="J142" s="212"/>
      <c r="K142" s="212"/>
      <c r="L142" s="212"/>
      <c r="M142" s="212"/>
      <c r="N142" s="212"/>
      <c r="O142" s="212"/>
    </row>
    <row r="143" spans="1:22" x14ac:dyDescent="0.2">
      <c r="C143" s="212"/>
      <c r="D143" s="212"/>
      <c r="E143" s="212"/>
      <c r="F143" s="212"/>
      <c r="G143" s="212"/>
      <c r="H143" s="212"/>
      <c r="I143" s="212"/>
      <c r="J143" s="212"/>
      <c r="K143" s="212"/>
      <c r="L143" s="212"/>
      <c r="M143" s="212"/>
      <c r="N143" s="212"/>
      <c r="O143" s="212"/>
    </row>
    <row r="144" spans="1:22" x14ac:dyDescent="0.2">
      <c r="C144" s="212"/>
      <c r="D144" s="212"/>
      <c r="E144" s="212"/>
      <c r="F144" s="212"/>
      <c r="G144" s="212"/>
      <c r="H144" s="212"/>
      <c r="I144" s="212"/>
      <c r="J144" s="212"/>
      <c r="K144" s="212"/>
      <c r="L144" s="212"/>
      <c r="M144" s="212"/>
      <c r="N144" s="212"/>
      <c r="O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row r="160" spans="3:3" x14ac:dyDescent="0.2">
      <c r="C160" s="212"/>
    </row>
    <row r="161" spans="3:3" x14ac:dyDescent="0.2">
      <c r="C161" s="212"/>
    </row>
    <row r="162" spans="3:3" x14ac:dyDescent="0.2">
      <c r="C162" s="212"/>
    </row>
    <row r="163" spans="3:3" x14ac:dyDescent="0.2">
      <c r="C163" s="212"/>
    </row>
    <row r="164" spans="3:3" x14ac:dyDescent="0.2">
      <c r="C164" s="212"/>
    </row>
    <row r="165" spans="3:3" x14ac:dyDescent="0.2">
      <c r="C165" s="212"/>
    </row>
    <row r="166" spans="3:3" x14ac:dyDescent="0.2">
      <c r="C166" s="212"/>
    </row>
    <row r="167" spans="3:3" x14ac:dyDescent="0.2">
      <c r="C167" s="212"/>
    </row>
    <row r="168" spans="3:3" x14ac:dyDescent="0.2">
      <c r="C168" s="212"/>
    </row>
    <row r="169" spans="3:3" x14ac:dyDescent="0.2">
      <c r="C169" s="212"/>
    </row>
    <row r="170" spans="3:3" x14ac:dyDescent="0.2">
      <c r="C170" s="212"/>
    </row>
    <row r="171" spans="3:3" x14ac:dyDescent="0.2">
      <c r="C171" s="212"/>
    </row>
    <row r="172" spans="3:3" x14ac:dyDescent="0.2">
      <c r="C172" s="212"/>
    </row>
    <row r="173" spans="3:3" x14ac:dyDescent="0.2">
      <c r="C173" s="212"/>
    </row>
    <row r="174" spans="3:3" x14ac:dyDescent="0.2">
      <c r="C174" s="212"/>
    </row>
    <row r="175" spans="3:3" x14ac:dyDescent="0.2">
      <c r="C175" s="212"/>
    </row>
    <row r="176" spans="3:3" x14ac:dyDescent="0.2">
      <c r="C176" s="212"/>
    </row>
    <row r="177" spans="3:3" x14ac:dyDescent="0.2">
      <c r="C177" s="212"/>
    </row>
    <row r="178" spans="3:3" x14ac:dyDescent="0.2">
      <c r="C178" s="212"/>
    </row>
    <row r="179" spans="3:3" x14ac:dyDescent="0.2">
      <c r="C179" s="212"/>
    </row>
    <row r="180" spans="3:3" x14ac:dyDescent="0.2">
      <c r="C180" s="212"/>
    </row>
    <row r="181" spans="3:3" x14ac:dyDescent="0.2">
      <c r="C181" s="212"/>
    </row>
    <row r="182" spans="3:3" x14ac:dyDescent="0.2">
      <c r="C182" s="212"/>
    </row>
    <row r="183" spans="3:3" x14ac:dyDescent="0.2">
      <c r="C183" s="212"/>
    </row>
    <row r="184" spans="3:3" x14ac:dyDescent="0.2">
      <c r="C184" s="212"/>
    </row>
    <row r="185" spans="3:3" x14ac:dyDescent="0.2">
      <c r="C185" s="212"/>
    </row>
  </sheetData>
  <phoneticPr fontId="0" type="noConversion"/>
  <hyperlinks>
    <hyperlink ref="A1" location="'Working Budget with funding det'!A1" display="Main " xr:uid="{00000000-0004-0000-1600-000000000000}"/>
    <hyperlink ref="B1" location="'Table of Contents'!A1" display="TOC" xr:uid="{00000000-0004-0000-1600-000001000000}"/>
  </hyperlinks>
  <pageMargins left="0.75" right="0.75" top="1" bottom="1" header="0.5" footer="0.5"/>
  <pageSetup scale="92" orientation="landscape" horizontalDpi="300" verticalDpi="300" r:id="rId1"/>
  <headerFooter alignWithMargins="0">
    <oddFooter>&amp;L&amp;D     &amp;T&amp;C&amp;F&amp;R&amp;A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33468-E0E1-4564-8136-836F4587678A}">
  <sheetPr>
    <tabColor rgb="FF00B050"/>
  </sheetPr>
  <dimension ref="A1:S33"/>
  <sheetViews>
    <sheetView workbookViewId="0">
      <selection activeCell="P15" sqref="P15"/>
    </sheetView>
  </sheetViews>
  <sheetFormatPr defaultRowHeight="12.75" x14ac:dyDescent="0.2"/>
  <cols>
    <col min="2" max="2" width="22.33203125" customWidth="1"/>
    <col min="3" max="12" width="10.5" hidden="1" customWidth="1"/>
    <col min="13" max="19" width="10.5" customWidth="1"/>
  </cols>
  <sheetData>
    <row r="1" spans="1:19" x14ac:dyDescent="0.2">
      <c r="A1" s="772" t="s">
        <v>847</v>
      </c>
      <c r="B1" s="308" t="s">
        <v>197</v>
      </c>
      <c r="C1" s="1"/>
      <c r="D1" s="212"/>
      <c r="E1" s="212"/>
      <c r="F1" s="212"/>
      <c r="G1" s="212"/>
      <c r="H1" s="212"/>
      <c r="I1" s="212"/>
      <c r="J1" s="212"/>
      <c r="K1" s="212"/>
      <c r="L1" s="212"/>
      <c r="M1" s="212"/>
      <c r="N1" s="212"/>
      <c r="O1" s="212"/>
      <c r="Q1" s="1"/>
      <c r="R1" s="1"/>
    </row>
    <row r="2" spans="1:19" ht="15" x14ac:dyDescent="0.25">
      <c r="A2" s="773" t="s">
        <v>1073</v>
      </c>
      <c r="B2" s="43"/>
      <c r="C2" s="1"/>
      <c r="D2" s="1"/>
      <c r="E2" s="126"/>
      <c r="F2" s="1"/>
      <c r="G2" s="1"/>
      <c r="H2" s="1"/>
      <c r="I2" s="126" t="s">
        <v>816</v>
      </c>
      <c r="J2" s="126"/>
      <c r="K2" s="126"/>
      <c r="L2" s="126"/>
      <c r="M2" s="126"/>
      <c r="N2" s="126"/>
      <c r="O2" s="126"/>
      <c r="P2" s="58" t="s">
        <v>100</v>
      </c>
      <c r="Q2" s="1"/>
      <c r="R2" s="1"/>
      <c r="S2" s="44" t="s">
        <v>1074</v>
      </c>
    </row>
    <row r="3" spans="1:19" ht="13.5" thickBot="1" x14ac:dyDescent="0.25">
      <c r="A3" s="774"/>
      <c r="B3" s="4"/>
      <c r="C3" s="23"/>
      <c r="D3" s="23"/>
      <c r="E3" s="23"/>
      <c r="F3" s="23"/>
      <c r="G3" s="23"/>
      <c r="H3" s="23"/>
      <c r="I3" s="23"/>
      <c r="J3" s="23"/>
      <c r="K3" s="23"/>
      <c r="L3" s="23"/>
      <c r="M3" s="23"/>
      <c r="N3" s="23"/>
      <c r="O3" s="23"/>
      <c r="P3" s="4"/>
      <c r="Q3" s="23"/>
      <c r="R3" s="23"/>
      <c r="S3" s="4"/>
    </row>
    <row r="4" spans="1:19"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19"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19" x14ac:dyDescent="0.2">
      <c r="A6" s="776"/>
      <c r="B6" s="202"/>
      <c r="C6" s="113"/>
      <c r="D6" s="113"/>
      <c r="E6" s="113"/>
      <c r="F6" s="113"/>
      <c r="G6" s="113"/>
      <c r="H6" s="113"/>
      <c r="I6" s="83"/>
      <c r="J6" s="83"/>
      <c r="K6" s="83"/>
      <c r="L6" s="83"/>
      <c r="M6" s="83"/>
      <c r="N6" s="83"/>
      <c r="O6" s="83"/>
      <c r="P6" s="113"/>
      <c r="Q6" s="83" t="s">
        <v>823</v>
      </c>
      <c r="R6" s="83" t="s">
        <v>585</v>
      </c>
      <c r="S6" s="45" t="s">
        <v>824</v>
      </c>
    </row>
    <row r="7" spans="1:19"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19" ht="13.5" thickTop="1" x14ac:dyDescent="0.2">
      <c r="A8" s="796"/>
      <c r="B8" s="203"/>
      <c r="C8" s="118"/>
      <c r="D8" s="18"/>
      <c r="E8" s="18"/>
      <c r="F8" s="18"/>
      <c r="G8" s="18"/>
      <c r="H8" s="18"/>
      <c r="I8" s="19"/>
      <c r="J8" s="19"/>
      <c r="K8" s="19"/>
      <c r="L8" s="18"/>
      <c r="M8" s="18"/>
      <c r="N8" s="18"/>
      <c r="O8" s="19"/>
      <c r="P8" s="18"/>
      <c r="Q8" s="19"/>
      <c r="R8" s="19"/>
      <c r="S8" s="19"/>
    </row>
    <row r="9" spans="1:19" ht="13.5" thickBot="1" x14ac:dyDescent="0.25">
      <c r="A9" s="796">
        <v>5113</v>
      </c>
      <c r="B9" s="60" t="s">
        <v>1075</v>
      </c>
      <c r="C9" s="118"/>
      <c r="D9" s="18"/>
      <c r="E9" s="18"/>
      <c r="F9" s="18"/>
      <c r="G9" s="18"/>
      <c r="H9" s="15"/>
      <c r="I9" s="16"/>
      <c r="J9" s="16"/>
      <c r="K9" s="16">
        <v>4000</v>
      </c>
      <c r="L9" s="15">
        <v>4000</v>
      </c>
      <c r="M9" s="16">
        <v>4000</v>
      </c>
      <c r="N9" s="15">
        <v>4000</v>
      </c>
      <c r="O9" s="16">
        <f>-3077+4000</f>
        <v>923</v>
      </c>
      <c r="P9" s="15">
        <v>1000</v>
      </c>
      <c r="Q9" s="16"/>
      <c r="R9" s="16"/>
      <c r="S9" s="16"/>
    </row>
    <row r="10" spans="1:19" x14ac:dyDescent="0.2">
      <c r="A10" s="796"/>
      <c r="B10" s="61" t="s">
        <v>1003</v>
      </c>
      <c r="C10" s="118"/>
      <c r="D10" s="18"/>
      <c r="E10" s="18"/>
      <c r="F10" s="18"/>
      <c r="G10" s="18"/>
      <c r="H10" s="18"/>
      <c r="I10" s="19"/>
      <c r="J10" s="19"/>
      <c r="K10" s="19">
        <f>+K9</f>
        <v>4000</v>
      </c>
      <c r="L10" s="18">
        <f t="shared" ref="L10:P10" si="0">+L9</f>
        <v>4000</v>
      </c>
      <c r="M10" s="19">
        <f t="shared" si="0"/>
        <v>4000</v>
      </c>
      <c r="N10" s="18">
        <f t="shared" si="0"/>
        <v>4000</v>
      </c>
      <c r="O10" s="19">
        <f t="shared" si="0"/>
        <v>923</v>
      </c>
      <c r="P10" s="19">
        <f t="shared" si="0"/>
        <v>1000</v>
      </c>
      <c r="Q10" s="19">
        <f>+Q9</f>
        <v>0</v>
      </c>
      <c r="R10" s="19"/>
      <c r="S10" s="19"/>
    </row>
    <row r="11" spans="1:19" x14ac:dyDescent="0.2">
      <c r="A11" s="796"/>
      <c r="B11" s="60"/>
      <c r="C11" s="118"/>
      <c r="D11" s="18"/>
      <c r="E11" s="18"/>
      <c r="F11" s="18"/>
      <c r="G11" s="18"/>
      <c r="H11" s="18"/>
      <c r="I11" s="19"/>
      <c r="J11" s="19"/>
      <c r="K11" s="19"/>
      <c r="L11" s="18"/>
      <c r="M11" s="19"/>
      <c r="N11" s="18"/>
      <c r="O11" s="19"/>
      <c r="P11" s="18"/>
      <c r="Q11" s="19"/>
      <c r="R11" s="19"/>
      <c r="S11" s="19"/>
    </row>
    <row r="12" spans="1:19" x14ac:dyDescent="0.2">
      <c r="A12" s="796"/>
      <c r="B12" s="102"/>
      <c r="C12" s="118"/>
      <c r="D12" s="18"/>
      <c r="E12" s="18"/>
      <c r="F12" s="18"/>
      <c r="G12" s="18"/>
      <c r="H12" s="18"/>
      <c r="I12" s="19"/>
      <c r="J12" s="19"/>
      <c r="K12" s="19"/>
      <c r="L12" s="18"/>
      <c r="M12" s="19"/>
      <c r="N12" s="18"/>
      <c r="O12" s="19"/>
      <c r="P12" s="18"/>
      <c r="Q12" s="19"/>
      <c r="R12" s="19"/>
      <c r="S12" s="19"/>
    </row>
    <row r="13" spans="1:19" ht="13.5" thickBot="1" x14ac:dyDescent="0.25">
      <c r="A13" s="779">
        <v>5740</v>
      </c>
      <c r="B13" s="603" t="s">
        <v>1076</v>
      </c>
      <c r="C13" s="117">
        <v>1485</v>
      </c>
      <c r="D13" s="15">
        <v>0</v>
      </c>
      <c r="E13" s="15">
        <v>676</v>
      </c>
      <c r="F13" s="15">
        <v>776</v>
      </c>
      <c r="G13" s="15">
        <v>984</v>
      </c>
      <c r="H13" s="15">
        <v>884</v>
      </c>
      <c r="I13" s="15">
        <v>882.6</v>
      </c>
      <c r="J13" s="15">
        <v>930</v>
      </c>
      <c r="K13" s="16">
        <v>1000</v>
      </c>
      <c r="L13" s="15">
        <v>815</v>
      </c>
      <c r="M13" s="16">
        <v>1000</v>
      </c>
      <c r="N13" s="15">
        <v>884</v>
      </c>
      <c r="O13" s="16">
        <v>1000</v>
      </c>
      <c r="P13" s="15"/>
      <c r="Q13" s="16"/>
      <c r="R13" s="16"/>
      <c r="S13" s="16"/>
    </row>
    <row r="14" spans="1:19" x14ac:dyDescent="0.2">
      <c r="A14" s="779"/>
      <c r="B14" s="61" t="s">
        <v>838</v>
      </c>
      <c r="C14" s="118">
        <f t="shared" ref="C14:Q14" si="1">SUM(C13:C13)</f>
        <v>1485</v>
      </c>
      <c r="D14" s="18">
        <f t="shared" si="1"/>
        <v>0</v>
      </c>
      <c r="E14" s="18">
        <f t="shared" si="1"/>
        <v>676</v>
      </c>
      <c r="F14" s="18">
        <f>+F13</f>
        <v>776</v>
      </c>
      <c r="G14" s="18">
        <f>+G13</f>
        <v>984</v>
      </c>
      <c r="H14" s="18">
        <f>+H13</f>
        <v>884</v>
      </c>
      <c r="I14" s="18">
        <f t="shared" si="1"/>
        <v>882.6</v>
      </c>
      <c r="J14" s="18">
        <f t="shared" si="1"/>
        <v>930</v>
      </c>
      <c r="K14" s="34">
        <f t="shared" si="1"/>
        <v>1000</v>
      </c>
      <c r="L14" s="18">
        <f t="shared" si="1"/>
        <v>815</v>
      </c>
      <c r="M14" s="34">
        <f t="shared" si="1"/>
        <v>1000</v>
      </c>
      <c r="N14" s="18">
        <f t="shared" si="1"/>
        <v>884</v>
      </c>
      <c r="O14" s="34">
        <f t="shared" si="1"/>
        <v>1000</v>
      </c>
      <c r="P14" s="18">
        <f t="shared" si="1"/>
        <v>0</v>
      </c>
      <c r="Q14" s="34">
        <f t="shared" si="1"/>
        <v>0</v>
      </c>
      <c r="R14" s="34"/>
      <c r="S14" s="34">
        <f>SUM(S13:S13)</f>
        <v>0</v>
      </c>
    </row>
    <row r="15" spans="1:19" x14ac:dyDescent="0.2">
      <c r="A15" s="779"/>
      <c r="B15" s="60"/>
      <c r="C15" s="116"/>
      <c r="D15" s="13"/>
      <c r="E15" s="13"/>
      <c r="F15" s="13"/>
      <c r="G15" s="13"/>
      <c r="H15" s="13"/>
      <c r="I15" s="13"/>
      <c r="J15" s="13"/>
      <c r="K15" s="14"/>
      <c r="L15" s="13"/>
      <c r="M15" s="14"/>
      <c r="N15" s="13"/>
      <c r="O15" s="14"/>
      <c r="P15" s="13"/>
      <c r="Q15" s="14"/>
      <c r="R15" s="14"/>
      <c r="S15" s="14"/>
    </row>
    <row r="16" spans="1:19" x14ac:dyDescent="0.2">
      <c r="A16" s="779"/>
      <c r="B16" s="60"/>
      <c r="C16" s="116"/>
      <c r="D16" s="13"/>
      <c r="E16" s="13"/>
      <c r="F16" s="13"/>
      <c r="G16" s="13"/>
      <c r="H16" s="13"/>
      <c r="I16" s="13"/>
      <c r="J16" s="13"/>
      <c r="K16" s="14"/>
      <c r="L16" s="13"/>
      <c r="M16" s="14"/>
      <c r="N16" s="13"/>
      <c r="O16" s="14"/>
      <c r="P16" s="13"/>
      <c r="Q16" s="14"/>
      <c r="R16" s="14"/>
      <c r="S16" s="14"/>
    </row>
    <row r="17" spans="1:19" ht="13.5" thickBot="1" x14ac:dyDescent="0.25">
      <c r="A17" s="780"/>
      <c r="B17" s="602" t="s">
        <v>1077</v>
      </c>
      <c r="C17" s="596">
        <f t="shared" ref="C17:P17" si="2">+C14</f>
        <v>1485</v>
      </c>
      <c r="D17" s="21">
        <f t="shared" si="2"/>
        <v>0</v>
      </c>
      <c r="E17" s="21">
        <f>+E14</f>
        <v>676</v>
      </c>
      <c r="F17" s="21">
        <f>+F14</f>
        <v>776</v>
      </c>
      <c r="G17" s="21">
        <f>+G14</f>
        <v>984</v>
      </c>
      <c r="H17" s="21">
        <f>+H14</f>
        <v>884</v>
      </c>
      <c r="I17" s="21">
        <f t="shared" si="2"/>
        <v>882.6</v>
      </c>
      <c r="J17" s="21">
        <f t="shared" si="2"/>
        <v>930</v>
      </c>
      <c r="K17" s="39">
        <f>+K14+K10</f>
        <v>5000</v>
      </c>
      <c r="L17" s="21">
        <f t="shared" ref="L17:O17" si="3">+L14+L10</f>
        <v>4815</v>
      </c>
      <c r="M17" s="39">
        <f t="shared" si="3"/>
        <v>5000</v>
      </c>
      <c r="N17" s="21">
        <f t="shared" si="3"/>
        <v>4884</v>
      </c>
      <c r="O17" s="39">
        <f t="shared" si="3"/>
        <v>1923</v>
      </c>
      <c r="P17" s="21">
        <f t="shared" si="2"/>
        <v>0</v>
      </c>
      <c r="Q17" s="39">
        <f>+Q14+Q10</f>
        <v>0</v>
      </c>
      <c r="R17" s="39">
        <f>+Q17</f>
        <v>0</v>
      </c>
      <c r="S17" s="39">
        <f>+Q17</f>
        <v>0</v>
      </c>
    </row>
    <row r="18" spans="1:19" ht="13.5" thickTop="1" x14ac:dyDescent="0.2">
      <c r="A18" s="774"/>
      <c r="B18" s="603"/>
      <c r="C18" s="24"/>
      <c r="D18" s="24"/>
      <c r="E18" s="24"/>
      <c r="F18" s="24"/>
      <c r="G18" s="24"/>
      <c r="H18" s="24"/>
      <c r="I18" s="24"/>
      <c r="J18" s="24"/>
      <c r="K18" s="24"/>
      <c r="L18" s="24"/>
      <c r="M18" s="24"/>
      <c r="N18" s="24"/>
      <c r="O18" s="24"/>
      <c r="P18" s="25"/>
      <c r="Q18" s="24"/>
      <c r="R18" s="24"/>
      <c r="S18" s="23"/>
    </row>
    <row r="19" spans="1:19" x14ac:dyDescent="0.2">
      <c r="A19" s="783"/>
      <c r="B19" s="231"/>
      <c r="C19" s="1"/>
      <c r="D19" s="1"/>
      <c r="E19" s="1"/>
      <c r="F19" s="1"/>
      <c r="G19" s="1"/>
      <c r="H19" s="1"/>
    </row>
    <row r="20" spans="1:19" x14ac:dyDescent="0.2">
      <c r="A20" s="783"/>
      <c r="B20" s="231"/>
      <c r="C20" s="1"/>
      <c r="D20" s="1"/>
      <c r="E20" s="1"/>
      <c r="F20" s="1"/>
      <c r="G20" s="1"/>
      <c r="H20" s="1"/>
    </row>
    <row r="21" spans="1:19" x14ac:dyDescent="0.2">
      <c r="A21" s="783"/>
      <c r="B21" s="286"/>
      <c r="C21" s="1"/>
      <c r="D21" s="1"/>
      <c r="E21" s="1"/>
      <c r="F21" s="1"/>
      <c r="G21" s="1"/>
      <c r="H21" s="1"/>
    </row>
    <row r="22" spans="1:19" ht="13.5" thickBot="1" x14ac:dyDescent="0.25">
      <c r="A22" s="783"/>
      <c r="B22" s="231"/>
      <c r="C22" s="1"/>
      <c r="D22" s="1"/>
      <c r="E22" s="1"/>
      <c r="F22" s="1"/>
      <c r="G22" s="1"/>
      <c r="H22" s="1"/>
    </row>
    <row r="23" spans="1:19" ht="13.5" thickTop="1" x14ac:dyDescent="0.2">
      <c r="A23" s="789"/>
      <c r="B23" s="367"/>
      <c r="C23" s="368" t="s">
        <v>280</v>
      </c>
      <c r="D23" s="369" t="s">
        <v>280</v>
      </c>
      <c r="E23" s="369" t="s">
        <v>280</v>
      </c>
      <c r="F23" s="1"/>
      <c r="G23" s="1"/>
      <c r="H23" s="1"/>
      <c r="K23" s="370" t="s">
        <v>279</v>
      </c>
      <c r="L23" s="371" t="s">
        <v>826</v>
      </c>
      <c r="M23" s="370" t="s">
        <v>279</v>
      </c>
      <c r="N23" s="371" t="s">
        <v>826</v>
      </c>
      <c r="O23" s="372" t="s">
        <v>840</v>
      </c>
      <c r="P23" s="371" t="s">
        <v>841</v>
      </c>
      <c r="Q23" s="373"/>
      <c r="R23" s="569"/>
      <c r="S23" s="372"/>
    </row>
    <row r="24" spans="1:19" ht="13.5" thickBot="1" x14ac:dyDescent="0.25">
      <c r="A24" s="790" t="s">
        <v>825</v>
      </c>
      <c r="B24" s="374"/>
      <c r="C24" s="375" t="s">
        <v>267</v>
      </c>
      <c r="D24" s="375" t="s">
        <v>268</v>
      </c>
      <c r="E24" s="376" t="s">
        <v>269</v>
      </c>
      <c r="F24" s="1"/>
      <c r="G24" s="1"/>
      <c r="H24" s="1"/>
      <c r="K24" s="377" t="s">
        <v>277</v>
      </c>
      <c r="L24" s="377" t="s">
        <v>571</v>
      </c>
      <c r="M24" s="377" t="s">
        <v>276</v>
      </c>
      <c r="N24" s="377" t="s">
        <v>277</v>
      </c>
      <c r="O24" s="376" t="s">
        <v>843</v>
      </c>
      <c r="P24" s="378" t="s">
        <v>843</v>
      </c>
      <c r="Q24" s="379" t="s">
        <v>844</v>
      </c>
      <c r="R24" s="570"/>
      <c r="S24" s="377"/>
    </row>
    <row r="25" spans="1:19" ht="13.5" thickTop="1" x14ac:dyDescent="0.2">
      <c r="A25" s="797"/>
      <c r="B25" s="394"/>
      <c r="C25" s="383"/>
      <c r="D25" s="383"/>
      <c r="E25" s="383"/>
      <c r="F25" s="1"/>
      <c r="G25" s="1"/>
      <c r="H25" s="1"/>
      <c r="K25" s="384"/>
      <c r="L25" s="383"/>
      <c r="M25" s="384"/>
      <c r="N25" s="383"/>
      <c r="O25" s="386"/>
      <c r="P25" s="392"/>
      <c r="Q25" s="385"/>
      <c r="R25" s="572"/>
      <c r="S25" s="386"/>
    </row>
    <row r="26" spans="1:19" x14ac:dyDescent="0.2">
      <c r="A26" s="797">
        <v>5100</v>
      </c>
      <c r="B26" s="394" t="s">
        <v>1075</v>
      </c>
      <c r="C26" s="383"/>
      <c r="D26" s="383"/>
      <c r="E26" s="383"/>
      <c r="F26" s="615"/>
      <c r="G26" s="615"/>
      <c r="H26" s="1"/>
      <c r="K26" s="384">
        <f>+O9</f>
        <v>923</v>
      </c>
      <c r="L26" s="383">
        <f>+Q9</f>
        <v>0</v>
      </c>
      <c r="M26" s="384">
        <f>+Q9</f>
        <v>0</v>
      </c>
      <c r="N26" s="383">
        <f>+S9</f>
        <v>0</v>
      </c>
      <c r="O26" s="386">
        <f>+L26-K26</f>
        <v>-923</v>
      </c>
      <c r="P26" s="392">
        <f>IF(K26+L26&lt;&gt;0,IF(K26&lt;&gt;0,IF(O26&lt;&gt;0,ROUND((+O26/K26),4),""),1),"")</f>
        <v>-1</v>
      </c>
      <c r="Q26" s="385" t="s">
        <v>2271</v>
      </c>
      <c r="R26" s="572"/>
      <c r="S26" s="386"/>
    </row>
    <row r="27" spans="1:19" x14ac:dyDescent="0.2">
      <c r="A27" s="797"/>
      <c r="B27" s="415"/>
      <c r="C27" s="395"/>
      <c r="D27" s="395"/>
      <c r="E27" s="395"/>
      <c r="F27" s="1"/>
      <c r="G27" s="1"/>
      <c r="H27" s="1"/>
      <c r="K27" s="614"/>
      <c r="L27" s="395"/>
      <c r="M27" s="614"/>
      <c r="N27" s="395"/>
      <c r="O27" s="386"/>
      <c r="P27" s="392"/>
      <c r="Q27" s="385"/>
      <c r="R27" s="572"/>
      <c r="S27" s="386"/>
    </row>
    <row r="28" spans="1:19" ht="13.5" thickBot="1" x14ac:dyDescent="0.25">
      <c r="A28" s="795">
        <v>5740</v>
      </c>
      <c r="B28" s="406" t="s">
        <v>1076</v>
      </c>
      <c r="C28" s="389">
        <v>1485</v>
      </c>
      <c r="D28" s="389">
        <v>0</v>
      </c>
      <c r="E28" s="389">
        <v>676</v>
      </c>
      <c r="F28" s="1"/>
      <c r="G28" s="1"/>
      <c r="H28" s="1"/>
      <c r="K28" s="399">
        <f>+O13</f>
        <v>1000</v>
      </c>
      <c r="L28" s="544">
        <f>+Q13</f>
        <v>0</v>
      </c>
      <c r="M28" s="399">
        <f>+Q13</f>
        <v>0</v>
      </c>
      <c r="N28" s="544">
        <f>+S13</f>
        <v>0</v>
      </c>
      <c r="O28" s="386">
        <f>+L28-K28</f>
        <v>-1000</v>
      </c>
      <c r="P28" s="392">
        <f>IF(K28+L28&lt;&gt;0,IF(K28&lt;&gt;0,IF(O28&lt;&gt;0,ROUND((+O28/K28),4),""),1),"")</f>
        <v>-1</v>
      </c>
      <c r="Q28" s="385" t="s">
        <v>2272</v>
      </c>
      <c r="R28" s="572"/>
      <c r="S28" s="386"/>
    </row>
    <row r="29" spans="1:19" x14ac:dyDescent="0.2">
      <c r="A29" s="783"/>
      <c r="C29" s="1"/>
      <c r="D29" s="1"/>
      <c r="E29" s="1"/>
      <c r="F29" s="1"/>
      <c r="G29" s="1"/>
      <c r="H29" s="1"/>
      <c r="K29" s="1"/>
      <c r="M29" s="1"/>
    </row>
    <row r="30" spans="1:19" x14ac:dyDescent="0.2">
      <c r="A30" s="783"/>
      <c r="B30" s="4" t="s">
        <v>846</v>
      </c>
      <c r="C30" s="23"/>
      <c r="D30" s="23"/>
      <c r="E30" s="23"/>
      <c r="F30" s="23"/>
      <c r="G30" s="23"/>
      <c r="H30" s="1"/>
      <c r="K30" s="616">
        <f>SUM(K26:K28)</f>
        <v>1923</v>
      </c>
      <c r="L30" s="616">
        <f>SUM(L26:L28)</f>
        <v>0</v>
      </c>
      <c r="M30" s="616">
        <f>SUM(M26:M28)</f>
        <v>0</v>
      </c>
      <c r="N30" s="616">
        <f>SUM(N26:N28)</f>
        <v>0</v>
      </c>
      <c r="O30" s="25">
        <f>+L30-K30</f>
        <v>-1923</v>
      </c>
      <c r="P30" s="617">
        <f>IF(K30+L30&lt;&gt;0,IF(K30&lt;&gt;0,IF(O30&lt;&gt;0,ROUND((+O30/K30),4),""),1),"")</f>
        <v>-1</v>
      </c>
    </row>
    <row r="31" spans="1:19" x14ac:dyDescent="0.2">
      <c r="A31" s="783"/>
      <c r="C31" s="1"/>
      <c r="D31" s="1"/>
      <c r="E31" s="1"/>
      <c r="F31" s="1"/>
      <c r="G31" s="1"/>
      <c r="H31" s="1"/>
    </row>
    <row r="32" spans="1:19" x14ac:dyDescent="0.2">
      <c r="A32" s="783"/>
      <c r="C32" s="1"/>
      <c r="D32" s="1"/>
      <c r="E32" s="1"/>
      <c r="F32" s="1"/>
      <c r="G32" s="1"/>
      <c r="H32" s="1"/>
    </row>
    <row r="33" spans="1:8" x14ac:dyDescent="0.2">
      <c r="A33" s="783"/>
      <c r="C33" s="1"/>
      <c r="D33" s="1"/>
      <c r="E33" s="1"/>
      <c r="F33" s="1"/>
      <c r="G33" s="1"/>
      <c r="H33" s="1"/>
    </row>
  </sheetData>
  <hyperlinks>
    <hyperlink ref="A1" location="'Working Budget with funding det'!A1" display="Main " xr:uid="{A76D4ADC-0DE5-4B25-ADEB-5263083850DE}"/>
    <hyperlink ref="B1" location="'Table of Contents'!A1" display="TOC" xr:uid="{C28CFDF0-1E7A-4246-8300-482198EF3220}"/>
  </hyperlinks>
  <pageMargins left="0.7" right="0.7" top="0.75" bottom="0.75" header="0.3" footer="0.3"/>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S30"/>
  <sheetViews>
    <sheetView topLeftCell="A3" workbookViewId="0">
      <selection activeCell="A10" sqref="A10"/>
    </sheetView>
  </sheetViews>
  <sheetFormatPr defaultRowHeight="12.75" x14ac:dyDescent="0.2"/>
  <cols>
    <col min="1" max="1" width="9.5" style="783" bestFit="1" customWidth="1"/>
    <col min="2" max="2" width="35.83203125" customWidth="1"/>
    <col min="3" max="8" width="14.33203125" style="1" hidden="1" customWidth="1"/>
    <col min="9" max="10" width="14.33203125" hidden="1" customWidth="1"/>
    <col min="11" max="12" width="12.1640625" hidden="1" customWidth="1"/>
    <col min="13" max="19" width="12.1640625" customWidth="1"/>
  </cols>
  <sheetData>
    <row r="1" spans="1:19" x14ac:dyDescent="0.2">
      <c r="A1" s="772" t="s">
        <v>847</v>
      </c>
      <c r="B1" s="308" t="s">
        <v>197</v>
      </c>
      <c r="D1" s="212"/>
      <c r="E1" s="212"/>
      <c r="F1" s="212"/>
      <c r="G1" s="212"/>
      <c r="H1" s="212"/>
      <c r="I1" s="212"/>
      <c r="J1" s="212"/>
      <c r="K1" s="212"/>
      <c r="L1" s="212"/>
      <c r="M1" s="212"/>
      <c r="N1" s="212"/>
      <c r="O1" s="212"/>
      <c r="Q1" s="1"/>
      <c r="R1" s="1"/>
    </row>
    <row r="2" spans="1:19" ht="15" x14ac:dyDescent="0.25">
      <c r="A2" s="773" t="s">
        <v>1073</v>
      </c>
      <c r="B2" s="43"/>
      <c r="E2" s="126"/>
      <c r="I2" s="126" t="s">
        <v>816</v>
      </c>
      <c r="J2" s="126"/>
      <c r="K2" s="126"/>
      <c r="L2" s="126"/>
      <c r="M2" s="126"/>
      <c r="N2" s="126"/>
      <c r="O2" s="126"/>
      <c r="P2" s="58" t="s">
        <v>2301</v>
      </c>
      <c r="Q2" s="1"/>
      <c r="R2" s="1"/>
      <c r="S2" s="44" t="s">
        <v>2300</v>
      </c>
    </row>
    <row r="3" spans="1:19" ht="13.5" thickBot="1" x14ac:dyDescent="0.25">
      <c r="A3" s="774"/>
      <c r="B3" s="4"/>
      <c r="C3" s="23"/>
      <c r="D3" s="23"/>
      <c r="E3" s="23"/>
      <c r="F3" s="23"/>
      <c r="G3" s="23"/>
      <c r="H3" s="23"/>
      <c r="I3" s="23"/>
      <c r="J3" s="23"/>
      <c r="K3" s="23"/>
      <c r="L3" s="23"/>
      <c r="M3" s="23"/>
      <c r="N3" s="23"/>
      <c r="O3" s="23"/>
      <c r="P3" s="4"/>
      <c r="Q3" s="23"/>
      <c r="R3" s="23"/>
      <c r="S3" s="4"/>
    </row>
    <row r="4" spans="1:19"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19"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19" x14ac:dyDescent="0.2">
      <c r="A6" s="776"/>
      <c r="B6" s="202"/>
      <c r="C6" s="113"/>
      <c r="D6" s="113"/>
      <c r="E6" s="113"/>
      <c r="F6" s="113"/>
      <c r="G6" s="113"/>
      <c r="H6" s="113"/>
      <c r="I6" s="83"/>
      <c r="J6" s="83"/>
      <c r="K6" s="83"/>
      <c r="L6" s="83"/>
      <c r="M6" s="83"/>
      <c r="N6" s="83"/>
      <c r="O6" s="83"/>
      <c r="P6" s="113"/>
      <c r="Q6" s="83" t="s">
        <v>823</v>
      </c>
      <c r="R6" s="83" t="s">
        <v>585</v>
      </c>
      <c r="S6" s="45" t="s">
        <v>824</v>
      </c>
    </row>
    <row r="7" spans="1:19"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19" ht="13.5" thickTop="1" x14ac:dyDescent="0.2">
      <c r="A8" s="796"/>
      <c r="B8" s="203"/>
      <c r="C8" s="118"/>
      <c r="D8" s="18"/>
      <c r="E8" s="18"/>
      <c r="F8" s="18"/>
      <c r="G8" s="18"/>
      <c r="H8" s="18"/>
      <c r="I8" s="19"/>
      <c r="J8" s="19"/>
      <c r="K8" s="19"/>
      <c r="L8" s="18"/>
      <c r="M8" s="18"/>
      <c r="N8" s="18"/>
      <c r="O8" s="19"/>
      <c r="P8" s="18"/>
      <c r="Q8" s="19"/>
      <c r="R8" s="19"/>
      <c r="S8" s="19"/>
    </row>
    <row r="9" spans="1:19" ht="13.5" thickBot="1" x14ac:dyDescent="0.25">
      <c r="A9" s="796">
        <v>5100</v>
      </c>
      <c r="B9" s="60" t="s">
        <v>1075</v>
      </c>
      <c r="C9" s="118"/>
      <c r="D9" s="18"/>
      <c r="E9" s="18"/>
      <c r="F9" s="18"/>
      <c r="G9" s="18"/>
      <c r="H9" s="15"/>
      <c r="I9" s="16"/>
      <c r="J9" s="16"/>
      <c r="K9" s="16"/>
      <c r="L9" s="15"/>
      <c r="M9" s="16"/>
      <c r="N9" s="15"/>
      <c r="O9" s="16"/>
      <c r="P9" s="15"/>
      <c r="Q9" s="16">
        <v>4000</v>
      </c>
      <c r="R9" s="16"/>
      <c r="S9" s="16"/>
    </row>
    <row r="10" spans="1:19" x14ac:dyDescent="0.2">
      <c r="A10" s="796"/>
      <c r="B10" s="61" t="s">
        <v>1003</v>
      </c>
      <c r="C10" s="118"/>
      <c r="D10" s="18"/>
      <c r="E10" s="18"/>
      <c r="F10" s="18"/>
      <c r="G10" s="18"/>
      <c r="H10" s="18"/>
      <c r="I10" s="19"/>
      <c r="J10" s="19"/>
      <c r="K10" s="19"/>
      <c r="L10" s="18"/>
      <c r="M10" s="19">
        <f t="shared" ref="M10:P10" si="0">+M9</f>
        <v>0</v>
      </c>
      <c r="N10" s="18">
        <f t="shared" ref="N10" si="1">+N9</f>
        <v>0</v>
      </c>
      <c r="O10" s="19">
        <f t="shared" si="0"/>
        <v>0</v>
      </c>
      <c r="P10" s="19">
        <f t="shared" si="0"/>
        <v>0</v>
      </c>
      <c r="Q10" s="19">
        <f>+Q9</f>
        <v>4000</v>
      </c>
      <c r="R10" s="19"/>
      <c r="S10" s="19"/>
    </row>
    <row r="11" spans="1:19" x14ac:dyDescent="0.2">
      <c r="A11" s="796"/>
      <c r="B11" s="60"/>
      <c r="C11" s="118"/>
      <c r="D11" s="18"/>
      <c r="E11" s="18"/>
      <c r="F11" s="18"/>
      <c r="G11" s="18"/>
      <c r="H11" s="18"/>
      <c r="I11" s="19"/>
      <c r="J11" s="19"/>
      <c r="K11" s="19"/>
      <c r="L11" s="18"/>
      <c r="M11" s="19"/>
      <c r="N11" s="18"/>
      <c r="O11" s="19"/>
      <c r="P11" s="18"/>
      <c r="Q11" s="19"/>
      <c r="R11" s="19"/>
      <c r="S11" s="19"/>
    </row>
    <row r="12" spans="1:19" x14ac:dyDescent="0.2">
      <c r="A12" s="796"/>
      <c r="B12" s="102"/>
      <c r="C12" s="118"/>
      <c r="D12" s="18"/>
      <c r="E12" s="18"/>
      <c r="F12" s="18"/>
      <c r="G12" s="18"/>
      <c r="H12" s="18"/>
      <c r="I12" s="19"/>
      <c r="J12" s="19"/>
      <c r="K12" s="19"/>
      <c r="L12" s="18"/>
      <c r="M12" s="19"/>
      <c r="N12" s="18"/>
      <c r="O12" s="19"/>
      <c r="P12" s="18"/>
      <c r="Q12" s="19"/>
      <c r="R12" s="19"/>
      <c r="S12" s="19"/>
    </row>
    <row r="13" spans="1:19" ht="13.5" thickBot="1" x14ac:dyDescent="0.25">
      <c r="A13" s="779">
        <v>5700</v>
      </c>
      <c r="B13" s="603" t="s">
        <v>2302</v>
      </c>
      <c r="C13" s="117"/>
      <c r="D13" s="15"/>
      <c r="E13" s="15"/>
      <c r="F13" s="15"/>
      <c r="G13" s="15"/>
      <c r="H13" s="15"/>
      <c r="I13" s="15"/>
      <c r="J13" s="15"/>
      <c r="K13" s="16"/>
      <c r="L13" s="15"/>
      <c r="M13" s="16"/>
      <c r="N13" s="15"/>
      <c r="O13" s="16"/>
      <c r="P13" s="15"/>
      <c r="Q13" s="16">
        <v>1000</v>
      </c>
      <c r="R13" s="16"/>
      <c r="S13" s="16"/>
    </row>
    <row r="14" spans="1:19" x14ac:dyDescent="0.2">
      <c r="A14" s="779"/>
      <c r="B14" s="61" t="s">
        <v>838</v>
      </c>
      <c r="C14" s="118"/>
      <c r="D14" s="18"/>
      <c r="E14" s="18"/>
      <c r="F14" s="18"/>
      <c r="G14" s="18"/>
      <c r="H14" s="18"/>
      <c r="I14" s="18"/>
      <c r="J14" s="18"/>
      <c r="K14" s="34"/>
      <c r="L14" s="18"/>
      <c r="M14" s="34">
        <f t="shared" ref="M14:O14" si="2">SUM(M13:M13)</f>
        <v>0</v>
      </c>
      <c r="N14" s="18">
        <f t="shared" ref="N14" si="3">SUM(N13:N13)</f>
        <v>0</v>
      </c>
      <c r="O14" s="34">
        <f t="shared" si="2"/>
        <v>0</v>
      </c>
      <c r="P14" s="18">
        <f t="shared" ref="P14:Q14" si="4">SUM(P13:P13)</f>
        <v>0</v>
      </c>
      <c r="Q14" s="34">
        <f t="shared" si="4"/>
        <v>1000</v>
      </c>
      <c r="R14" s="34"/>
      <c r="S14" s="34">
        <f>SUM(S13:S13)</f>
        <v>0</v>
      </c>
    </row>
    <row r="15" spans="1:19" x14ac:dyDescent="0.2">
      <c r="A15" s="779"/>
      <c r="B15" s="60"/>
      <c r="C15" s="116"/>
      <c r="D15" s="13"/>
      <c r="E15" s="13"/>
      <c r="F15" s="13"/>
      <c r="G15" s="13"/>
      <c r="H15" s="13"/>
      <c r="I15" s="13"/>
      <c r="J15" s="13"/>
      <c r="K15" s="14"/>
      <c r="L15" s="13"/>
      <c r="M15" s="14"/>
      <c r="N15" s="13"/>
      <c r="O15" s="14"/>
      <c r="P15" s="13"/>
      <c r="Q15" s="14"/>
      <c r="R15" s="14"/>
      <c r="S15" s="14"/>
    </row>
    <row r="16" spans="1:19" x14ac:dyDescent="0.2">
      <c r="A16" s="779"/>
      <c r="B16" s="60"/>
      <c r="C16" s="116"/>
      <c r="D16" s="13"/>
      <c r="E16" s="13"/>
      <c r="F16" s="13"/>
      <c r="G16" s="13"/>
      <c r="H16" s="13"/>
      <c r="I16" s="13"/>
      <c r="J16" s="13"/>
      <c r="K16" s="14"/>
      <c r="L16" s="13"/>
      <c r="M16" s="14"/>
      <c r="N16" s="13"/>
      <c r="O16" s="14"/>
      <c r="P16" s="13"/>
      <c r="Q16" s="14"/>
      <c r="R16" s="14"/>
      <c r="S16" s="14"/>
    </row>
    <row r="17" spans="1:19" ht="13.5" thickBot="1" x14ac:dyDescent="0.25">
      <c r="A17" s="780"/>
      <c r="B17" s="602" t="s">
        <v>1077</v>
      </c>
      <c r="C17" s="596"/>
      <c r="D17" s="21"/>
      <c r="E17" s="21"/>
      <c r="F17" s="21"/>
      <c r="G17" s="21"/>
      <c r="H17" s="21"/>
      <c r="I17" s="21"/>
      <c r="J17" s="21"/>
      <c r="K17" s="39"/>
      <c r="L17" s="21"/>
      <c r="M17" s="39">
        <f t="shared" ref="M17:O17" si="5">+M14+M10</f>
        <v>0</v>
      </c>
      <c r="N17" s="21">
        <f t="shared" ref="N17" si="6">+N14+N10</f>
        <v>0</v>
      </c>
      <c r="O17" s="39">
        <f t="shared" si="5"/>
        <v>0</v>
      </c>
      <c r="P17" s="21">
        <f t="shared" ref="P17" si="7">+P14</f>
        <v>0</v>
      </c>
      <c r="Q17" s="39">
        <f>+Q14+Q10</f>
        <v>5000</v>
      </c>
      <c r="R17" s="39">
        <f>+Q17</f>
        <v>5000</v>
      </c>
      <c r="S17" s="39">
        <f>+Q17</f>
        <v>5000</v>
      </c>
    </row>
    <row r="18" spans="1:19" ht="13.5" thickTop="1" x14ac:dyDescent="0.2">
      <c r="A18" s="774"/>
      <c r="B18" s="603"/>
      <c r="C18" s="24"/>
      <c r="D18" s="24"/>
      <c r="E18" s="24"/>
      <c r="F18" s="24"/>
      <c r="G18" s="24"/>
      <c r="H18" s="24"/>
      <c r="I18" s="24"/>
      <c r="J18" s="24"/>
      <c r="K18" s="24"/>
      <c r="L18" s="24"/>
      <c r="M18" s="24"/>
      <c r="N18" s="24"/>
      <c r="O18" s="24"/>
      <c r="P18" s="199" t="s">
        <v>843</v>
      </c>
      <c r="Q18" s="1116">
        <f>+Q17-O17</f>
        <v>5000</v>
      </c>
      <c r="R18" s="1117" t="e">
        <f>ROUND((+Q18/O17),4)</f>
        <v>#DIV/0!</v>
      </c>
      <c r="S18" s="23"/>
    </row>
    <row r="19" spans="1:19" x14ac:dyDescent="0.2">
      <c r="B19" s="231"/>
    </row>
    <row r="20" spans="1:19" x14ac:dyDescent="0.2">
      <c r="B20" s="231"/>
    </row>
    <row r="21" spans="1:19" x14ac:dyDescent="0.2">
      <c r="B21" s="286"/>
    </row>
    <row r="22" spans="1:19" ht="13.5" thickBot="1" x14ac:dyDescent="0.25">
      <c r="B22" s="231"/>
    </row>
    <row r="23" spans="1:19" ht="13.5" thickTop="1" x14ac:dyDescent="0.2">
      <c r="A23" s="789"/>
      <c r="B23" s="367"/>
      <c r="C23" s="368" t="s">
        <v>280</v>
      </c>
      <c r="D23" s="369" t="s">
        <v>280</v>
      </c>
      <c r="E23" s="369" t="s">
        <v>280</v>
      </c>
      <c r="K23" s="370" t="s">
        <v>279</v>
      </c>
      <c r="L23" s="371" t="s">
        <v>826</v>
      </c>
      <c r="M23" s="370" t="s">
        <v>279</v>
      </c>
      <c r="N23" s="371" t="s">
        <v>826</v>
      </c>
      <c r="O23" s="372" t="s">
        <v>840</v>
      </c>
      <c r="P23" s="371" t="s">
        <v>841</v>
      </c>
      <c r="Q23" s="373"/>
      <c r="R23" s="569"/>
      <c r="S23" s="372"/>
    </row>
    <row r="24" spans="1:19" ht="13.5" thickBot="1" x14ac:dyDescent="0.25">
      <c r="A24" s="790" t="s">
        <v>825</v>
      </c>
      <c r="B24" s="374"/>
      <c r="C24" s="375" t="s">
        <v>267</v>
      </c>
      <c r="D24" s="375" t="s">
        <v>268</v>
      </c>
      <c r="E24" s="376" t="s">
        <v>269</v>
      </c>
      <c r="K24" s="377" t="s">
        <v>277</v>
      </c>
      <c r="L24" s="377" t="s">
        <v>571</v>
      </c>
      <c r="M24" s="377" t="s">
        <v>276</v>
      </c>
      <c r="N24" s="377" t="s">
        <v>277</v>
      </c>
      <c r="O24" s="376" t="s">
        <v>843</v>
      </c>
      <c r="P24" s="378" t="s">
        <v>843</v>
      </c>
      <c r="Q24" s="379" t="s">
        <v>844</v>
      </c>
      <c r="R24" s="570"/>
      <c r="S24" s="377"/>
    </row>
    <row r="25" spans="1:19" ht="13.5" thickTop="1" x14ac:dyDescent="0.2">
      <c r="A25" s="797"/>
      <c r="B25" s="394"/>
      <c r="C25" s="383"/>
      <c r="D25" s="383"/>
      <c r="E25" s="383"/>
      <c r="K25" s="384"/>
      <c r="L25" s="383"/>
      <c r="M25" s="384"/>
      <c r="N25" s="383"/>
      <c r="O25" s="386"/>
      <c r="P25" s="392"/>
      <c r="Q25" s="385"/>
      <c r="R25" s="572"/>
      <c r="S25" s="386"/>
    </row>
    <row r="26" spans="1:19" x14ac:dyDescent="0.2">
      <c r="A26" s="797">
        <v>5100</v>
      </c>
      <c r="B26" s="394" t="s">
        <v>1075</v>
      </c>
      <c r="C26" s="383"/>
      <c r="D26" s="383"/>
      <c r="E26" s="383"/>
      <c r="F26" s="615"/>
      <c r="G26" s="615"/>
      <c r="K26" s="384">
        <f>+O9</f>
        <v>0</v>
      </c>
      <c r="L26" s="383">
        <f>+Q9</f>
        <v>4000</v>
      </c>
      <c r="M26" s="384">
        <f>+Q9</f>
        <v>4000</v>
      </c>
      <c r="N26" s="383">
        <f>+S9</f>
        <v>0</v>
      </c>
      <c r="O26" s="386">
        <f>+L26-K26</f>
        <v>4000</v>
      </c>
      <c r="P26" s="392">
        <f>IF(K26+L26&lt;&gt;0,IF(K26&lt;&gt;0,IF(O26&lt;&gt;0,ROUND((+O26/K26),4),""),1),"")</f>
        <v>1</v>
      </c>
      <c r="Q26" s="385" t="s">
        <v>2303</v>
      </c>
      <c r="R26" s="572"/>
      <c r="S26" s="386"/>
    </row>
    <row r="27" spans="1:19" x14ac:dyDescent="0.2">
      <c r="A27" s="797"/>
      <c r="B27" s="415"/>
      <c r="C27" s="395"/>
      <c r="D27" s="395"/>
      <c r="E27" s="395"/>
      <c r="K27" s="614"/>
      <c r="L27" s="395"/>
      <c r="M27" s="614"/>
      <c r="N27" s="395"/>
      <c r="O27" s="386"/>
      <c r="P27" s="392"/>
      <c r="Q27" s="385"/>
      <c r="R27" s="572"/>
      <c r="S27" s="386"/>
    </row>
    <row r="28" spans="1:19" ht="13.5" thickBot="1" x14ac:dyDescent="0.25">
      <c r="A28" s="795">
        <v>5700</v>
      </c>
      <c r="B28" s="406" t="s">
        <v>2304</v>
      </c>
      <c r="C28" s="389">
        <v>1485</v>
      </c>
      <c r="D28" s="389">
        <v>0</v>
      </c>
      <c r="E28" s="389">
        <v>676</v>
      </c>
      <c r="K28" s="399">
        <f>+O13</f>
        <v>0</v>
      </c>
      <c r="L28" s="544">
        <f>+Q13</f>
        <v>1000</v>
      </c>
      <c r="M28" s="399">
        <f>+Q13</f>
        <v>1000</v>
      </c>
      <c r="N28" s="544">
        <f>+S13</f>
        <v>0</v>
      </c>
      <c r="O28" s="386">
        <f>+L28-K28</f>
        <v>1000</v>
      </c>
      <c r="P28" s="392">
        <f>IF(K28+L28&lt;&gt;0,IF(K28&lt;&gt;0,IF(O28&lt;&gt;0,ROUND((+O28/K28),4),""),1),"")</f>
        <v>1</v>
      </c>
      <c r="Q28" s="385" t="s">
        <v>2305</v>
      </c>
      <c r="R28" s="572"/>
      <c r="S28" s="386"/>
    </row>
    <row r="29" spans="1:19" x14ac:dyDescent="0.2">
      <c r="K29" s="1"/>
      <c r="M29" s="1"/>
    </row>
    <row r="30" spans="1:19" x14ac:dyDescent="0.2">
      <c r="B30" s="4" t="s">
        <v>846</v>
      </c>
      <c r="C30" s="23"/>
      <c r="D30" s="23"/>
      <c r="E30" s="23"/>
      <c r="F30" s="23"/>
      <c r="G30" s="23"/>
      <c r="K30" s="616">
        <f>SUM(K26:K28)</f>
        <v>0</v>
      </c>
      <c r="L30" s="616">
        <f>SUM(L26:L28)</f>
        <v>5000</v>
      </c>
      <c r="M30" s="616">
        <f>SUM(M26:M28)</f>
        <v>5000</v>
      </c>
      <c r="N30" s="616">
        <f>SUM(N26:N28)</f>
        <v>0</v>
      </c>
      <c r="O30" s="25">
        <f>+L30-K30</f>
        <v>5000</v>
      </c>
      <c r="P30" s="617">
        <f>IF(K30+L30&lt;&gt;0,IF(K30&lt;&gt;0,IF(O30&lt;&gt;0,ROUND((+O30/K30),4),""),1),"")</f>
        <v>1</v>
      </c>
    </row>
  </sheetData>
  <phoneticPr fontId="15" type="noConversion"/>
  <hyperlinks>
    <hyperlink ref="A1" location="'Working Budget with funding det'!A1" display="Main " xr:uid="{00000000-0004-0000-1700-000000000000}"/>
    <hyperlink ref="B1" location="'Table of Contents'!A1" display="TOC" xr:uid="{00000000-0004-0000-1700-000001000000}"/>
  </hyperlinks>
  <pageMargins left="0.75" right="0.75" top="1" bottom="1" header="0.5" footer="0.5"/>
  <pageSetup fitToHeight="6" orientation="landscape" r:id="rId1"/>
  <headerFooter alignWithMargins="0">
    <oddFooter>&amp;L&amp;D &amp;T&amp;C&amp;F&amp;R&amp;A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Y75"/>
  <sheetViews>
    <sheetView zoomScaleNormal="100" workbookViewId="0">
      <pane ySplit="7" topLeftCell="A15" activePane="bottomLeft" state="frozen"/>
      <selection activeCell="P15" sqref="P15"/>
      <selection pane="bottomLeft" activeCell="P15" sqref="P15"/>
    </sheetView>
  </sheetViews>
  <sheetFormatPr defaultRowHeight="12.75" x14ac:dyDescent="0.2"/>
  <cols>
    <col min="1" max="1" width="11.83203125" style="783" customWidth="1"/>
    <col min="2" max="2" width="39.1640625" customWidth="1"/>
    <col min="3" max="3" width="14.5" style="1" hidden="1" customWidth="1"/>
    <col min="4" max="8" width="14.5" style="106" hidden="1" customWidth="1"/>
    <col min="9" max="12" width="14.5" style="76" hidden="1" customWidth="1"/>
    <col min="13" max="15" width="14.5" style="76" customWidth="1"/>
    <col min="16" max="19" width="14.5" customWidth="1"/>
    <col min="20" max="20" width="10.6640625" customWidth="1"/>
    <col min="22" max="22" width="13.33203125" bestFit="1" customWidth="1"/>
  </cols>
  <sheetData>
    <row r="1" spans="1:25" x14ac:dyDescent="0.2">
      <c r="A1" s="772" t="s">
        <v>847</v>
      </c>
      <c r="B1" s="308" t="s">
        <v>197</v>
      </c>
      <c r="D1" s="212"/>
      <c r="E1" s="212"/>
      <c r="F1" s="212"/>
      <c r="G1" s="212"/>
      <c r="H1" s="212"/>
      <c r="I1" s="212"/>
      <c r="J1" s="212"/>
      <c r="K1" s="212"/>
      <c r="L1" s="212"/>
      <c r="M1" s="212"/>
      <c r="N1" s="212"/>
      <c r="O1" s="212"/>
      <c r="Q1" s="1"/>
      <c r="R1" s="1"/>
    </row>
    <row r="2" spans="1:25" ht="15" x14ac:dyDescent="0.25">
      <c r="A2" s="773" t="s">
        <v>1073</v>
      </c>
      <c r="B2" s="43"/>
      <c r="D2" s="212"/>
      <c r="E2" s="126"/>
      <c r="F2" s="212"/>
      <c r="G2" s="212"/>
      <c r="H2" s="212"/>
      <c r="I2" s="126" t="s">
        <v>816</v>
      </c>
      <c r="J2" s="126"/>
      <c r="K2" s="126"/>
      <c r="L2" s="126"/>
      <c r="M2" s="126"/>
      <c r="N2" s="126"/>
      <c r="O2" s="126"/>
      <c r="P2" s="58" t="s">
        <v>1078</v>
      </c>
      <c r="Q2" s="1"/>
      <c r="R2" s="1"/>
      <c r="S2" s="44" t="s">
        <v>1079</v>
      </c>
    </row>
    <row r="3" spans="1:25" ht="13.5" thickBot="1" x14ac:dyDescent="0.25">
      <c r="A3" s="774"/>
      <c r="B3" s="4"/>
      <c r="C3" s="23"/>
      <c r="D3" s="23"/>
      <c r="E3" s="23"/>
      <c r="F3" s="23"/>
      <c r="G3" s="23"/>
      <c r="H3" s="23"/>
      <c r="I3" s="23"/>
      <c r="J3" s="23"/>
      <c r="K3" s="23"/>
      <c r="L3" s="23"/>
      <c r="M3" s="23"/>
      <c r="N3" s="23"/>
      <c r="O3" s="23"/>
      <c r="P3" s="4"/>
      <c r="Q3" s="23"/>
      <c r="R3" s="23"/>
      <c r="S3" s="4"/>
    </row>
    <row r="4" spans="1:25"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c r="U4" s="83"/>
      <c r="V4" s="83"/>
      <c r="W4" s="83"/>
      <c r="X4" s="84"/>
      <c r="Y4" s="84"/>
    </row>
    <row r="5" spans="1:25" x14ac:dyDescent="0.2">
      <c r="A5" s="776"/>
      <c r="B5" s="202"/>
      <c r="C5" s="113"/>
      <c r="D5" s="82"/>
      <c r="E5" s="105"/>
      <c r="F5" s="82"/>
      <c r="G5" s="82"/>
      <c r="H5" s="105"/>
      <c r="I5" s="247"/>
      <c r="J5" s="247"/>
      <c r="K5" s="247"/>
      <c r="L5" s="247"/>
      <c r="M5" s="247"/>
      <c r="N5" s="247"/>
      <c r="O5" s="247"/>
      <c r="P5" s="105" t="s">
        <v>819</v>
      </c>
      <c r="Q5" s="83" t="s">
        <v>820</v>
      </c>
      <c r="R5" s="83" t="s">
        <v>821</v>
      </c>
      <c r="S5" s="196" t="s">
        <v>822</v>
      </c>
      <c r="U5" s="220"/>
      <c r="W5" s="220"/>
    </row>
    <row r="6" spans="1:25" x14ac:dyDescent="0.2">
      <c r="A6" s="776"/>
      <c r="B6" s="202"/>
      <c r="C6" s="113"/>
      <c r="D6" s="113"/>
      <c r="E6" s="113"/>
      <c r="F6" s="113"/>
      <c r="G6" s="113"/>
      <c r="H6" s="113"/>
      <c r="I6" s="83"/>
      <c r="J6" s="83"/>
      <c r="K6" s="83"/>
      <c r="L6" s="83"/>
      <c r="M6" s="83"/>
      <c r="N6" s="83"/>
      <c r="O6" s="83"/>
      <c r="P6" s="113"/>
      <c r="Q6" s="83" t="s">
        <v>823</v>
      </c>
      <c r="R6" s="83" t="s">
        <v>585</v>
      </c>
      <c r="S6" s="45" t="s">
        <v>824</v>
      </c>
    </row>
    <row r="7" spans="1:25"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5" ht="13.5" thickTop="1" x14ac:dyDescent="0.2">
      <c r="A8" s="796"/>
      <c r="B8" s="203"/>
      <c r="C8" s="118"/>
      <c r="D8" s="18"/>
      <c r="E8" s="18"/>
      <c r="F8" s="18"/>
      <c r="G8" s="18"/>
      <c r="H8" s="18"/>
      <c r="I8" s="19"/>
      <c r="J8" s="19"/>
      <c r="K8" s="19"/>
      <c r="L8" s="19"/>
      <c r="M8" s="19"/>
      <c r="N8" s="19"/>
      <c r="O8" s="19"/>
      <c r="P8" s="18"/>
      <c r="Q8" s="19"/>
      <c r="R8" s="19"/>
      <c r="S8" s="19"/>
    </row>
    <row r="9" spans="1:25" x14ac:dyDescent="0.2">
      <c r="A9" s="779"/>
      <c r="B9" s="60"/>
      <c r="C9" s="116"/>
      <c r="D9" s="13"/>
      <c r="E9" s="13"/>
      <c r="F9" s="13"/>
      <c r="G9" s="13"/>
      <c r="H9" s="13"/>
      <c r="I9" s="13"/>
      <c r="J9" s="13"/>
      <c r="K9" s="14"/>
      <c r="L9" s="14"/>
      <c r="M9" s="14"/>
      <c r="N9" s="14"/>
      <c r="O9" s="14"/>
      <c r="P9" s="13"/>
      <c r="Q9" s="14"/>
      <c r="R9" s="14"/>
      <c r="S9" s="14"/>
      <c r="T9" t="s">
        <v>2330</v>
      </c>
    </row>
    <row r="10" spans="1:25" x14ac:dyDescent="0.2">
      <c r="A10" s="779" t="s">
        <v>1080</v>
      </c>
      <c r="B10" s="60" t="s">
        <v>1081</v>
      </c>
      <c r="C10" s="116">
        <v>17860.46</v>
      </c>
      <c r="D10" s="13">
        <v>18618.21</v>
      </c>
      <c r="E10" s="13">
        <v>18675.71</v>
      </c>
      <c r="F10" s="13">
        <v>20061.82</v>
      </c>
      <c r="G10" s="13">
        <v>18262.55</v>
      </c>
      <c r="H10" s="13">
        <v>18055.12</v>
      </c>
      <c r="I10" s="128">
        <v>18198.669999999998</v>
      </c>
      <c r="J10" s="128">
        <v>17101.080000000002</v>
      </c>
      <c r="K10" s="14">
        <v>19000</v>
      </c>
      <c r="L10" s="128">
        <v>18095.849999999999</v>
      </c>
      <c r="M10" s="953">
        <v>20600</v>
      </c>
      <c r="N10" s="128">
        <v>19999.349999999999</v>
      </c>
      <c r="O10" s="952">
        <f>6100+21424</f>
        <v>27524</v>
      </c>
      <c r="P10" s="953">
        <v>10581.07</v>
      </c>
      <c r="Q10" s="952">
        <v>28000</v>
      </c>
      <c r="R10" s="952"/>
      <c r="S10" s="832"/>
      <c r="T10" s="612">
        <f>ROUND(((((+N10/2)*1.78))+(+N10/2)),0)</f>
        <v>27799</v>
      </c>
      <c r="U10" s="220" t="s">
        <v>1082</v>
      </c>
      <c r="V10" s="612"/>
    </row>
    <row r="11" spans="1:25" x14ac:dyDescent="0.2">
      <c r="A11" s="779" t="s">
        <v>1083</v>
      </c>
      <c r="B11" s="60" t="s">
        <v>1084</v>
      </c>
      <c r="C11" s="116">
        <v>418.21</v>
      </c>
      <c r="D11" s="13">
        <v>455.51</v>
      </c>
      <c r="E11" s="13">
        <v>520.94000000000005</v>
      </c>
      <c r="F11" s="13">
        <v>468.41</v>
      </c>
      <c r="G11" s="13">
        <v>598.34</v>
      </c>
      <c r="H11" s="13">
        <v>430.31</v>
      </c>
      <c r="I11" s="128">
        <v>493.42</v>
      </c>
      <c r="J11" s="128">
        <v>545.65</v>
      </c>
      <c r="K11" s="14">
        <v>600</v>
      </c>
      <c r="L11" s="128">
        <v>528.63</v>
      </c>
      <c r="M11" s="953">
        <v>650</v>
      </c>
      <c r="N11" s="128">
        <v>474.49</v>
      </c>
      <c r="O11" s="952">
        <f>600+676</f>
        <v>1276</v>
      </c>
      <c r="P11" s="953">
        <v>219.74</v>
      </c>
      <c r="Q11" s="952">
        <v>1300</v>
      </c>
      <c r="R11" s="952"/>
      <c r="S11" s="832"/>
      <c r="T11" s="612">
        <f t="shared" ref="T11:T17" si="0">ROUND(((((+N11/2)*1.78))+(+N11/2)),0)</f>
        <v>660</v>
      </c>
      <c r="V11" s="612"/>
    </row>
    <row r="12" spans="1:25" hidden="1" x14ac:dyDescent="0.2">
      <c r="A12" s="779" t="s">
        <v>1085</v>
      </c>
      <c r="B12" s="60" t="s">
        <v>1086</v>
      </c>
      <c r="C12" s="116"/>
      <c r="D12" s="13"/>
      <c r="E12" s="13"/>
      <c r="F12" s="13">
        <v>2761.26</v>
      </c>
      <c r="G12" s="13"/>
      <c r="H12" s="13"/>
      <c r="I12" s="128"/>
      <c r="J12" s="128"/>
      <c r="K12" s="14"/>
      <c r="L12" s="128"/>
      <c r="M12" s="953"/>
      <c r="N12" s="128"/>
      <c r="O12" s="952"/>
      <c r="P12" s="953"/>
      <c r="Q12" s="952"/>
      <c r="R12" s="952"/>
      <c r="S12" s="832"/>
      <c r="T12" s="612">
        <f t="shared" si="0"/>
        <v>0</v>
      </c>
      <c r="V12" s="612"/>
    </row>
    <row r="13" spans="1:25" x14ac:dyDescent="0.2">
      <c r="A13" s="779" t="s">
        <v>1087</v>
      </c>
      <c r="B13" s="60" t="s">
        <v>1088</v>
      </c>
      <c r="C13" s="116">
        <v>30066.65</v>
      </c>
      <c r="D13" s="13">
        <v>32695.66</v>
      </c>
      <c r="E13" s="13">
        <v>29432.98</v>
      </c>
      <c r="F13" s="13">
        <v>33080.11</v>
      </c>
      <c r="G13" s="13">
        <v>30230.91</v>
      </c>
      <c r="H13" s="13">
        <v>31793.09</v>
      </c>
      <c r="I13" s="128">
        <v>26843.79</v>
      </c>
      <c r="J13" s="128">
        <v>18095.02</v>
      </c>
      <c r="K13" s="14">
        <v>20000</v>
      </c>
      <c r="L13" s="128">
        <v>17693.810000000001</v>
      </c>
      <c r="M13" s="953">
        <v>21000</v>
      </c>
      <c r="N13" s="128">
        <v>17952.27</v>
      </c>
      <c r="O13" s="952">
        <f>3800+21840</f>
        <v>25640</v>
      </c>
      <c r="P13" s="953">
        <v>4982.99</v>
      </c>
      <c r="Q13" s="952">
        <v>26000</v>
      </c>
      <c r="R13" s="952"/>
      <c r="S13" s="14"/>
      <c r="T13" s="612">
        <f t="shared" si="0"/>
        <v>24954</v>
      </c>
      <c r="V13" s="612"/>
    </row>
    <row r="14" spans="1:25" x14ac:dyDescent="0.2">
      <c r="A14" s="779" t="s">
        <v>1089</v>
      </c>
      <c r="B14" s="60" t="s">
        <v>1090</v>
      </c>
      <c r="C14" s="116">
        <v>6158.88</v>
      </c>
      <c r="D14" s="13">
        <v>6302.72</v>
      </c>
      <c r="E14" s="13">
        <v>6068.61</v>
      </c>
      <c r="F14" s="13">
        <v>5878.49</v>
      </c>
      <c r="G14" s="13">
        <v>5082.01</v>
      </c>
      <c r="H14" s="13">
        <v>5663.22</v>
      </c>
      <c r="I14" s="128">
        <v>5872</v>
      </c>
      <c r="J14" s="128">
        <v>4665.2700000000004</v>
      </c>
      <c r="K14" s="14">
        <v>13000</v>
      </c>
      <c r="L14" s="128">
        <v>17898.29</v>
      </c>
      <c r="M14" s="953">
        <v>25446</v>
      </c>
      <c r="N14" s="128">
        <v>22178.81</v>
      </c>
      <c r="O14" s="952">
        <f>5600+26464</f>
        <v>32064</v>
      </c>
      <c r="P14" s="953">
        <v>8162.07</v>
      </c>
      <c r="Q14" s="952">
        <v>33000</v>
      </c>
      <c r="R14" s="952"/>
      <c r="S14" s="832"/>
      <c r="T14" s="612">
        <f t="shared" si="0"/>
        <v>30829</v>
      </c>
      <c r="V14" s="612"/>
    </row>
    <row r="15" spans="1:25" x14ac:dyDescent="0.2">
      <c r="A15" s="779" t="s">
        <v>1091</v>
      </c>
      <c r="B15" s="60" t="s">
        <v>1092</v>
      </c>
      <c r="C15" s="116">
        <v>3735.02</v>
      </c>
      <c r="D15" s="13">
        <v>3841.24</v>
      </c>
      <c r="E15" s="13">
        <v>3791.57</v>
      </c>
      <c r="F15" s="13">
        <v>3702.44</v>
      </c>
      <c r="G15" s="13">
        <v>3833.66</v>
      </c>
      <c r="H15" s="13">
        <v>4323.21</v>
      </c>
      <c r="I15" s="128">
        <v>4665</v>
      </c>
      <c r="J15" s="128">
        <v>4668.2</v>
      </c>
      <c r="K15" s="14">
        <v>5500</v>
      </c>
      <c r="L15" s="128">
        <v>4009.88</v>
      </c>
      <c r="M15" s="953">
        <v>4500</v>
      </c>
      <c r="N15" s="128">
        <v>4278.75</v>
      </c>
      <c r="O15" s="952">
        <f>1000+4680</f>
        <v>5680</v>
      </c>
      <c r="P15" s="953">
        <v>1981.62</v>
      </c>
      <c r="Q15" s="952">
        <v>5700</v>
      </c>
      <c r="R15" s="952"/>
      <c r="S15" s="832"/>
      <c r="T15" s="612">
        <f t="shared" si="0"/>
        <v>5947</v>
      </c>
      <c r="V15" s="612"/>
    </row>
    <row r="16" spans="1:25" x14ac:dyDescent="0.2">
      <c r="A16" s="779" t="s">
        <v>1093</v>
      </c>
      <c r="B16" s="60" t="s">
        <v>1094</v>
      </c>
      <c r="C16" s="116">
        <v>2394.5</v>
      </c>
      <c r="D16" s="13">
        <v>2061.5700000000002</v>
      </c>
      <c r="E16" s="13">
        <v>1032.4000000000001</v>
      </c>
      <c r="F16" s="13">
        <v>749.36</v>
      </c>
      <c r="G16" s="13">
        <v>826.63</v>
      </c>
      <c r="H16" s="13">
        <v>911.65</v>
      </c>
      <c r="I16" s="128">
        <v>853.27</v>
      </c>
      <c r="J16" s="128">
        <v>555.37</v>
      </c>
      <c r="K16" s="14">
        <v>1000</v>
      </c>
      <c r="L16" s="128">
        <v>522.53</v>
      </c>
      <c r="M16" s="953">
        <v>700</v>
      </c>
      <c r="N16" s="128">
        <v>710.19</v>
      </c>
      <c r="O16" s="952">
        <f>300+728</f>
        <v>1028</v>
      </c>
      <c r="P16" s="953">
        <v>149.13</v>
      </c>
      <c r="Q16" s="952">
        <v>1100</v>
      </c>
      <c r="R16" s="952"/>
      <c r="S16" s="832"/>
      <c r="T16" s="612">
        <f t="shared" si="0"/>
        <v>987</v>
      </c>
      <c r="V16" s="612"/>
    </row>
    <row r="17" spans="1:24" x14ac:dyDescent="0.2">
      <c r="A17" s="779" t="s">
        <v>1095</v>
      </c>
      <c r="B17" s="60" t="s">
        <v>1096</v>
      </c>
      <c r="C17" s="116">
        <v>2549.33</v>
      </c>
      <c r="D17" s="13">
        <v>2900.08</v>
      </c>
      <c r="E17" s="13">
        <v>2577.86</v>
      </c>
      <c r="F17" s="13">
        <v>2757.85</v>
      </c>
      <c r="G17" s="13">
        <v>2333.6799999999998</v>
      </c>
      <c r="H17" s="13">
        <v>2573.5</v>
      </c>
      <c r="I17" s="128">
        <v>2602.7600000000002</v>
      </c>
      <c r="J17" s="128">
        <v>2599.19</v>
      </c>
      <c r="K17" s="14">
        <v>3000</v>
      </c>
      <c r="L17" s="128">
        <v>2726.24</v>
      </c>
      <c r="M17" s="953">
        <v>3000</v>
      </c>
      <c r="N17" s="128">
        <v>2632.47</v>
      </c>
      <c r="O17" s="952">
        <f>600+3120</f>
        <v>3720</v>
      </c>
      <c r="P17" s="953">
        <v>1218.3</v>
      </c>
      <c r="Q17" s="952">
        <v>3800</v>
      </c>
      <c r="R17" s="952"/>
      <c r="S17" s="832"/>
      <c r="T17" s="612">
        <f t="shared" si="0"/>
        <v>3659</v>
      </c>
      <c r="V17" s="612"/>
    </row>
    <row r="18" spans="1:24" x14ac:dyDescent="0.2">
      <c r="A18" s="779" t="s">
        <v>1097</v>
      </c>
      <c r="B18" s="60" t="s">
        <v>1098</v>
      </c>
      <c r="C18" s="116">
        <v>14145.02</v>
      </c>
      <c r="D18" s="13">
        <v>21632.63</v>
      </c>
      <c r="E18" s="13">
        <v>18865.080000000002</v>
      </c>
      <c r="F18" s="13">
        <v>10448.209999999999</v>
      </c>
      <c r="G18" s="13">
        <v>11643.03</v>
      </c>
      <c r="H18" s="13">
        <v>10034.4</v>
      </c>
      <c r="I18" s="128">
        <v>14685.23</v>
      </c>
      <c r="J18" s="128">
        <v>12186.51</v>
      </c>
      <c r="K18" s="14">
        <v>20000</v>
      </c>
      <c r="L18" s="128">
        <v>8075.7</v>
      </c>
      <c r="M18" s="953">
        <v>13000</v>
      </c>
      <c r="N18" s="128">
        <v>7351.75</v>
      </c>
      <c r="O18" s="952">
        <v>13000</v>
      </c>
      <c r="P18" s="953">
        <v>2666.23</v>
      </c>
      <c r="Q18" s="952">
        <v>34000</v>
      </c>
      <c r="R18" s="952"/>
      <c r="S18" s="832"/>
      <c r="T18" s="612"/>
      <c r="V18" s="612"/>
    </row>
    <row r="19" spans="1:24" x14ac:dyDescent="0.2">
      <c r="A19" s="779" t="s">
        <v>1099</v>
      </c>
      <c r="B19" s="12" t="s">
        <v>1100</v>
      </c>
      <c r="C19" s="13">
        <v>8111.96</v>
      </c>
      <c r="D19" s="13">
        <v>10821.64</v>
      </c>
      <c r="E19" s="13">
        <v>9566.7000000000007</v>
      </c>
      <c r="F19" s="13">
        <v>6423.13</v>
      </c>
      <c r="G19" s="13">
        <v>8360.0499999999993</v>
      </c>
      <c r="H19" s="13">
        <v>9797.56</v>
      </c>
      <c r="I19" s="128">
        <v>10832.95</v>
      </c>
      <c r="J19" s="128">
        <v>8770.16</v>
      </c>
      <c r="K19" s="14">
        <v>10500</v>
      </c>
      <c r="L19" s="128">
        <v>7889.97</v>
      </c>
      <c r="M19" s="953">
        <v>10000</v>
      </c>
      <c r="N19" s="128">
        <v>7051.43</v>
      </c>
      <c r="O19" s="952">
        <v>10000</v>
      </c>
      <c r="P19" s="953">
        <v>1028.5899999999999</v>
      </c>
      <c r="Q19" s="952">
        <v>11200</v>
      </c>
      <c r="R19" s="952"/>
      <c r="S19" s="832"/>
      <c r="T19" s="612"/>
      <c r="V19" s="612"/>
    </row>
    <row r="20" spans="1:24" hidden="1" x14ac:dyDescent="0.2">
      <c r="A20" s="779" t="s">
        <v>1101</v>
      </c>
      <c r="B20" s="12" t="s">
        <v>1102</v>
      </c>
      <c r="C20" s="13"/>
      <c r="D20" s="13">
        <v>0</v>
      </c>
      <c r="E20" s="13"/>
      <c r="F20" s="13"/>
      <c r="G20" s="13"/>
      <c r="H20" s="13"/>
      <c r="I20" s="128"/>
      <c r="J20" s="128"/>
      <c r="K20" s="14"/>
      <c r="L20" s="128"/>
      <c r="M20" s="953"/>
      <c r="N20" s="128"/>
      <c r="O20" s="952"/>
      <c r="P20" s="953"/>
      <c r="Q20" s="952"/>
      <c r="R20" s="952"/>
      <c r="S20" s="832"/>
      <c r="T20" s="612"/>
      <c r="V20" s="612"/>
    </row>
    <row r="21" spans="1:24" hidden="1" x14ac:dyDescent="0.2">
      <c r="A21" s="779" t="s">
        <v>1103</v>
      </c>
      <c r="B21" s="12" t="s">
        <v>1104</v>
      </c>
      <c r="C21" s="13"/>
      <c r="D21" s="13"/>
      <c r="E21" s="13"/>
      <c r="F21" s="13">
        <v>813.56</v>
      </c>
      <c r="G21" s="13"/>
      <c r="H21" s="13"/>
      <c r="I21" s="128"/>
      <c r="J21" s="128"/>
      <c r="K21" s="14"/>
      <c r="L21" s="128"/>
      <c r="M21" s="953"/>
      <c r="N21" s="128"/>
      <c r="O21" s="952"/>
      <c r="P21" s="953"/>
      <c r="Q21" s="952"/>
      <c r="R21" s="952"/>
      <c r="S21" s="832"/>
      <c r="T21" s="612"/>
      <c r="V21" s="612"/>
    </row>
    <row r="22" spans="1:24" x14ac:dyDescent="0.2">
      <c r="A22" s="779" t="s">
        <v>1105</v>
      </c>
      <c r="B22" s="12" t="s">
        <v>1106</v>
      </c>
      <c r="C22" s="13">
        <v>619.48</v>
      </c>
      <c r="D22" s="13">
        <v>657.3</v>
      </c>
      <c r="E22" s="13">
        <v>614.69000000000005</v>
      </c>
      <c r="F22" s="13">
        <v>557.64</v>
      </c>
      <c r="G22" s="13">
        <v>554.92999999999995</v>
      </c>
      <c r="H22" s="13">
        <v>585.23</v>
      </c>
      <c r="I22" s="128">
        <v>681.26</v>
      </c>
      <c r="J22" s="128">
        <v>628.23</v>
      </c>
      <c r="K22" s="14">
        <v>775</v>
      </c>
      <c r="L22" s="128">
        <v>605.89</v>
      </c>
      <c r="M22" s="953">
        <v>700</v>
      </c>
      <c r="N22" s="128">
        <v>659.12</v>
      </c>
      <c r="O22" s="952">
        <v>700</v>
      </c>
      <c r="P22" s="953">
        <v>248.06</v>
      </c>
      <c r="Q22" s="952">
        <v>784</v>
      </c>
      <c r="R22" s="952"/>
      <c r="S22" s="832"/>
      <c r="T22" s="612"/>
      <c r="V22" s="612"/>
    </row>
    <row r="23" spans="1:24" x14ac:dyDescent="0.2">
      <c r="A23" s="779" t="s">
        <v>1107</v>
      </c>
      <c r="B23" s="12" t="s">
        <v>1108</v>
      </c>
      <c r="C23" s="13">
        <v>1206.5999999999999</v>
      </c>
      <c r="D23" s="13">
        <v>1314.27</v>
      </c>
      <c r="E23" s="13">
        <v>1180.54</v>
      </c>
      <c r="F23" s="13">
        <v>783.58</v>
      </c>
      <c r="G23" s="13">
        <v>945.8</v>
      </c>
      <c r="H23" s="13">
        <v>1108.06</v>
      </c>
      <c r="I23" s="128">
        <v>1312.23</v>
      </c>
      <c r="J23" s="128">
        <v>1523.23</v>
      </c>
      <c r="K23" s="14">
        <v>1750</v>
      </c>
      <c r="L23" s="128">
        <v>1414.28</v>
      </c>
      <c r="M23" s="953">
        <v>1650</v>
      </c>
      <c r="N23" s="128">
        <v>1332.59</v>
      </c>
      <c r="O23" s="952">
        <v>1650</v>
      </c>
      <c r="P23" s="953">
        <v>274.5</v>
      </c>
      <c r="Q23" s="952">
        <v>1848</v>
      </c>
      <c r="R23" s="952"/>
      <c r="S23" s="832"/>
      <c r="T23" s="612"/>
      <c r="V23" s="612"/>
    </row>
    <row r="24" spans="1:24" x14ac:dyDescent="0.2">
      <c r="A24" s="779" t="s">
        <v>1109</v>
      </c>
      <c r="B24" s="12" t="s">
        <v>1110</v>
      </c>
      <c r="C24" s="13">
        <v>347.6</v>
      </c>
      <c r="D24" s="13">
        <v>178.4</v>
      </c>
      <c r="E24" s="13">
        <v>211.9</v>
      </c>
      <c r="F24" s="13">
        <v>430.4</v>
      </c>
      <c r="G24" s="13">
        <v>240.8</v>
      </c>
      <c r="H24" s="13">
        <v>293.60000000000002</v>
      </c>
      <c r="I24" s="128">
        <v>233.4</v>
      </c>
      <c r="J24" s="128">
        <v>185.25</v>
      </c>
      <c r="K24" s="14">
        <v>500</v>
      </c>
      <c r="L24" s="128">
        <v>344</v>
      </c>
      <c r="M24" s="953">
        <v>600</v>
      </c>
      <c r="N24" s="128">
        <v>200.1</v>
      </c>
      <c r="O24" s="952">
        <v>600</v>
      </c>
      <c r="P24" s="953">
        <v>167.6</v>
      </c>
      <c r="Q24" s="952">
        <v>600</v>
      </c>
      <c r="R24" s="952"/>
      <c r="S24" s="832"/>
      <c r="T24" s="612"/>
      <c r="V24" s="612"/>
    </row>
    <row r="25" spans="1:24" x14ac:dyDescent="0.2">
      <c r="A25" s="779" t="s">
        <v>1111</v>
      </c>
      <c r="B25" s="12" t="s">
        <v>1112</v>
      </c>
      <c r="C25" s="35">
        <v>103</v>
      </c>
      <c r="D25" s="13">
        <v>98</v>
      </c>
      <c r="E25" s="13">
        <v>140</v>
      </c>
      <c r="F25" s="13">
        <v>105</v>
      </c>
      <c r="G25" s="13">
        <v>70</v>
      </c>
      <c r="H25" s="13">
        <v>95</v>
      </c>
      <c r="I25" s="128">
        <v>104</v>
      </c>
      <c r="J25" s="128">
        <v>111</v>
      </c>
      <c r="K25" s="14">
        <v>150</v>
      </c>
      <c r="L25" s="128">
        <v>57.5</v>
      </c>
      <c r="M25" s="953">
        <v>150</v>
      </c>
      <c r="N25" s="128">
        <v>57.5</v>
      </c>
      <c r="O25" s="952">
        <v>150</v>
      </c>
      <c r="P25" s="953">
        <v>58</v>
      </c>
      <c r="Q25" s="952">
        <v>150</v>
      </c>
      <c r="R25" s="952"/>
      <c r="S25" s="832"/>
      <c r="T25" s="612"/>
      <c r="V25" s="612"/>
    </row>
    <row r="26" spans="1:24" hidden="1" x14ac:dyDescent="0.2">
      <c r="A26" s="779" t="s">
        <v>1113</v>
      </c>
      <c r="B26" s="12" t="s">
        <v>1114</v>
      </c>
      <c r="C26" s="35"/>
      <c r="D26" s="13"/>
      <c r="E26" s="13"/>
      <c r="F26" s="13">
        <v>358</v>
      </c>
      <c r="G26" s="13"/>
      <c r="H26" s="13"/>
      <c r="I26" s="128"/>
      <c r="J26" s="128"/>
      <c r="K26" s="14"/>
      <c r="L26" s="218"/>
      <c r="M26" s="955"/>
      <c r="N26" s="218"/>
      <c r="O26" s="954"/>
      <c r="P26" s="955"/>
      <c r="Q26" s="954"/>
      <c r="R26" s="954"/>
      <c r="S26" s="69"/>
      <c r="T26" s="612"/>
      <c r="V26" s="612"/>
    </row>
    <row r="27" spans="1:24" x14ac:dyDescent="0.2">
      <c r="A27" s="779" t="s">
        <v>1115</v>
      </c>
      <c r="B27" s="12" t="s">
        <v>1116</v>
      </c>
      <c r="C27" s="35">
        <v>113.6</v>
      </c>
      <c r="D27" s="13">
        <v>129</v>
      </c>
      <c r="E27" s="13">
        <v>138.1</v>
      </c>
      <c r="F27" s="13">
        <v>181.2</v>
      </c>
      <c r="G27" s="13">
        <v>193.2</v>
      </c>
      <c r="H27" s="13">
        <v>229.2</v>
      </c>
      <c r="I27" s="128">
        <v>255.2</v>
      </c>
      <c r="J27" s="128">
        <v>247.5</v>
      </c>
      <c r="K27" s="14">
        <v>300</v>
      </c>
      <c r="L27" s="218">
        <v>250</v>
      </c>
      <c r="M27" s="955">
        <v>350</v>
      </c>
      <c r="N27" s="218">
        <v>256.60000000000002</v>
      </c>
      <c r="O27" s="952">
        <v>350</v>
      </c>
      <c r="P27" s="955">
        <v>191.8</v>
      </c>
      <c r="Q27" s="952">
        <v>400</v>
      </c>
      <c r="R27" s="952"/>
      <c r="S27" s="832"/>
      <c r="T27" s="612"/>
      <c r="V27" s="612"/>
      <c r="X27" s="627"/>
    </row>
    <row r="28" spans="1:24" x14ac:dyDescent="0.2">
      <c r="A28" s="779" t="s">
        <v>1117</v>
      </c>
      <c r="B28" s="12" t="s">
        <v>1118</v>
      </c>
      <c r="C28" s="35">
        <v>455.4</v>
      </c>
      <c r="D28" s="13">
        <v>588</v>
      </c>
      <c r="E28" s="13">
        <v>582.35</v>
      </c>
      <c r="F28" s="13">
        <v>863.6</v>
      </c>
      <c r="G28" s="13">
        <v>693.2</v>
      </c>
      <c r="H28" s="13">
        <v>718</v>
      </c>
      <c r="I28" s="128">
        <v>1037.1500000000001</v>
      </c>
      <c r="J28" s="128">
        <v>929.5</v>
      </c>
      <c r="K28" s="14">
        <v>2000</v>
      </c>
      <c r="L28" s="218">
        <v>735.25</v>
      </c>
      <c r="M28" s="955">
        <v>1000</v>
      </c>
      <c r="N28" s="218">
        <v>530.9</v>
      </c>
      <c r="O28" s="952">
        <v>1000</v>
      </c>
      <c r="P28" s="955">
        <v>714.2</v>
      </c>
      <c r="Q28" s="952">
        <v>1000</v>
      </c>
      <c r="R28" s="952"/>
      <c r="S28" s="832"/>
      <c r="T28" s="612"/>
      <c r="V28" s="612"/>
    </row>
    <row r="29" spans="1:24" x14ac:dyDescent="0.2">
      <c r="A29" s="779" t="s">
        <v>1119</v>
      </c>
      <c r="B29" s="12" t="s">
        <v>1120</v>
      </c>
      <c r="C29" s="35">
        <v>41.4</v>
      </c>
      <c r="D29" s="13">
        <v>0</v>
      </c>
      <c r="E29" s="13"/>
      <c r="F29" s="13"/>
      <c r="G29" s="13"/>
      <c r="H29" s="13"/>
      <c r="I29" s="128">
        <v>0</v>
      </c>
      <c r="J29" s="128"/>
      <c r="K29" s="14">
        <v>95</v>
      </c>
      <c r="L29" s="218"/>
      <c r="M29" s="955">
        <v>100</v>
      </c>
      <c r="N29" s="218"/>
      <c r="O29" s="952">
        <v>0</v>
      </c>
      <c r="P29" s="955"/>
      <c r="Q29" s="952">
        <v>0</v>
      </c>
      <c r="R29" s="952"/>
      <c r="S29" s="832"/>
      <c r="T29" s="612"/>
      <c r="V29" s="612"/>
    </row>
    <row r="30" spans="1:24" x14ac:dyDescent="0.2">
      <c r="A30" s="779" t="s">
        <v>1121</v>
      </c>
      <c r="B30" s="12" t="s">
        <v>1122</v>
      </c>
      <c r="C30" s="35">
        <v>157</v>
      </c>
      <c r="D30" s="13">
        <v>124</v>
      </c>
      <c r="E30" s="13">
        <v>217</v>
      </c>
      <c r="F30" s="13">
        <v>276</v>
      </c>
      <c r="G30" s="13">
        <v>287</v>
      </c>
      <c r="H30" s="13">
        <v>215.4</v>
      </c>
      <c r="I30" s="128">
        <v>202.4</v>
      </c>
      <c r="J30" s="128">
        <v>169.5</v>
      </c>
      <c r="K30" s="14">
        <v>500</v>
      </c>
      <c r="L30" s="218">
        <v>132</v>
      </c>
      <c r="M30" s="955">
        <v>250</v>
      </c>
      <c r="N30" s="218">
        <v>166.8</v>
      </c>
      <c r="O30" s="952">
        <v>250</v>
      </c>
      <c r="P30" s="955">
        <v>114.6</v>
      </c>
      <c r="Q30" s="952">
        <v>275</v>
      </c>
      <c r="R30" s="952"/>
      <c r="S30" s="832"/>
      <c r="T30" s="612"/>
      <c r="V30" s="612"/>
    </row>
    <row r="31" spans="1:24" x14ac:dyDescent="0.2">
      <c r="A31" s="779" t="s">
        <v>1123</v>
      </c>
      <c r="B31" s="12" t="s">
        <v>1124</v>
      </c>
      <c r="C31" s="13">
        <v>350.26</v>
      </c>
      <c r="D31" s="13">
        <v>236.36</v>
      </c>
      <c r="E31" s="13">
        <v>243.42</v>
      </c>
      <c r="F31" s="13">
        <v>629.28</v>
      </c>
      <c r="G31" s="13">
        <v>424</v>
      </c>
      <c r="H31" s="13">
        <v>670.68</v>
      </c>
      <c r="I31" s="128">
        <v>1499.88</v>
      </c>
      <c r="J31" s="128">
        <v>2143.5</v>
      </c>
      <c r="K31" s="14">
        <v>2500</v>
      </c>
      <c r="L31" s="218">
        <v>742.56</v>
      </c>
      <c r="M31" s="955">
        <v>1500</v>
      </c>
      <c r="N31" s="218">
        <v>2081.04</v>
      </c>
      <c r="O31" s="952">
        <v>1500</v>
      </c>
      <c r="P31" s="955">
        <v>906.29</v>
      </c>
      <c r="Q31" s="952">
        <v>2100</v>
      </c>
      <c r="R31" s="952"/>
      <c r="S31" s="832"/>
      <c r="T31" s="612"/>
      <c r="V31" s="612"/>
    </row>
    <row r="32" spans="1:24" x14ac:dyDescent="0.2">
      <c r="A32" s="779" t="s">
        <v>1125</v>
      </c>
      <c r="B32" s="12" t="s">
        <v>1126</v>
      </c>
      <c r="C32" s="13">
        <v>72</v>
      </c>
      <c r="D32" s="13">
        <v>72</v>
      </c>
      <c r="E32" s="13">
        <v>72</v>
      </c>
      <c r="F32" s="13">
        <v>123.12</v>
      </c>
      <c r="G32" s="13">
        <v>132</v>
      </c>
      <c r="H32" s="13">
        <v>82.8</v>
      </c>
      <c r="I32" s="128">
        <v>124</v>
      </c>
      <c r="J32" s="128">
        <v>124</v>
      </c>
      <c r="K32" s="14">
        <v>250</v>
      </c>
      <c r="L32" s="218"/>
      <c r="M32" s="955">
        <v>250</v>
      </c>
      <c r="N32" s="218"/>
      <c r="O32" s="952">
        <v>250</v>
      </c>
      <c r="P32" s="955"/>
      <c r="Q32" s="952">
        <v>250</v>
      </c>
      <c r="R32" s="952"/>
      <c r="S32" s="832"/>
      <c r="T32" s="612"/>
      <c r="V32" s="612"/>
    </row>
    <row r="33" spans="1:22" hidden="1" x14ac:dyDescent="0.2">
      <c r="A33" s="779" t="s">
        <v>1127</v>
      </c>
      <c r="B33" s="12" t="s">
        <v>1128</v>
      </c>
      <c r="C33" s="13"/>
      <c r="D33" s="13"/>
      <c r="E33" s="13"/>
      <c r="F33" s="13">
        <v>36.770000000000003</v>
      </c>
      <c r="G33" s="13"/>
      <c r="H33" s="13"/>
      <c r="I33" s="128"/>
      <c r="J33" s="128"/>
      <c r="K33" s="14"/>
      <c r="L33" s="218"/>
      <c r="M33" s="955"/>
      <c r="N33" s="218"/>
      <c r="O33" s="952"/>
      <c r="P33" s="955"/>
      <c r="Q33" s="952"/>
      <c r="R33" s="952"/>
      <c r="S33" s="832"/>
      <c r="T33" s="612"/>
      <c r="V33" s="612"/>
    </row>
    <row r="34" spans="1:22" x14ac:dyDescent="0.2">
      <c r="A34" s="779" t="s">
        <v>1129</v>
      </c>
      <c r="B34" s="12" t="s">
        <v>1130</v>
      </c>
      <c r="C34" s="13">
        <v>216</v>
      </c>
      <c r="D34" s="13">
        <v>248.8</v>
      </c>
      <c r="E34" s="13">
        <v>298.56</v>
      </c>
      <c r="F34" s="13">
        <v>328.32</v>
      </c>
      <c r="G34" s="13">
        <v>496</v>
      </c>
      <c r="H34" s="13">
        <v>331.2</v>
      </c>
      <c r="I34" s="128">
        <v>268.83999999999997</v>
      </c>
      <c r="J34" s="128">
        <v>571.6</v>
      </c>
      <c r="K34" s="14">
        <v>1500</v>
      </c>
      <c r="L34" s="128">
        <v>611.52</v>
      </c>
      <c r="M34" s="953">
        <v>700</v>
      </c>
      <c r="N34" s="128">
        <v>546.84</v>
      </c>
      <c r="O34" s="952">
        <v>700</v>
      </c>
      <c r="P34" s="953">
        <v>287.98</v>
      </c>
      <c r="Q34" s="952">
        <v>700</v>
      </c>
      <c r="R34" s="952"/>
      <c r="S34" s="832"/>
      <c r="T34" s="612"/>
      <c r="V34" s="612"/>
    </row>
    <row r="35" spans="1:22" x14ac:dyDescent="0.2">
      <c r="A35" s="779" t="s">
        <v>1131</v>
      </c>
      <c r="B35" s="12" t="s">
        <v>1132</v>
      </c>
      <c r="C35" s="13">
        <v>744</v>
      </c>
      <c r="D35" s="13">
        <v>696.64</v>
      </c>
      <c r="E35" s="13">
        <v>646.88</v>
      </c>
      <c r="F35" s="13">
        <v>1114.92</v>
      </c>
      <c r="G35" s="13">
        <v>1096</v>
      </c>
      <c r="H35" s="13">
        <v>347.76</v>
      </c>
      <c r="I35" s="128">
        <v>1825.34</v>
      </c>
      <c r="J35" s="128">
        <v>1557.6</v>
      </c>
      <c r="K35" s="14">
        <v>3000</v>
      </c>
      <c r="L35" s="128">
        <v>2999.36</v>
      </c>
      <c r="M35" s="953">
        <v>3500</v>
      </c>
      <c r="N35" s="128">
        <v>607.6</v>
      </c>
      <c r="O35" s="952">
        <v>3500</v>
      </c>
      <c r="P35" s="953"/>
      <c r="Q35" s="952">
        <v>3500</v>
      </c>
      <c r="R35" s="952"/>
      <c r="S35" s="832"/>
      <c r="T35" s="612"/>
      <c r="V35" s="612"/>
    </row>
    <row r="36" spans="1:22" hidden="1" x14ac:dyDescent="0.2">
      <c r="A36" s="779" t="s">
        <v>1133</v>
      </c>
      <c r="B36" s="12" t="s">
        <v>1134</v>
      </c>
      <c r="C36" s="13"/>
      <c r="D36" s="13"/>
      <c r="E36" s="13"/>
      <c r="F36" s="13"/>
      <c r="G36" s="13">
        <v>120</v>
      </c>
      <c r="H36" s="13"/>
      <c r="I36" s="128"/>
      <c r="J36" s="128"/>
      <c r="K36" s="14"/>
      <c r="L36" s="128"/>
      <c r="M36" s="953"/>
      <c r="N36" s="128"/>
      <c r="O36" s="952"/>
      <c r="P36" s="953"/>
      <c r="Q36" s="952"/>
      <c r="R36" s="952"/>
      <c r="S36" s="832"/>
      <c r="T36" s="612"/>
      <c r="V36" s="612"/>
    </row>
    <row r="37" spans="1:22" x14ac:dyDescent="0.2">
      <c r="A37" s="779" t="s">
        <v>1135</v>
      </c>
      <c r="B37" s="12" t="s">
        <v>1136</v>
      </c>
      <c r="C37" s="13">
        <v>72</v>
      </c>
      <c r="D37" s="13">
        <v>72</v>
      </c>
      <c r="E37" s="13">
        <v>72</v>
      </c>
      <c r="F37" s="13">
        <v>72</v>
      </c>
      <c r="G37" s="13">
        <v>208</v>
      </c>
      <c r="H37" s="13">
        <v>115.92</v>
      </c>
      <c r="I37" s="128">
        <v>124</v>
      </c>
      <c r="J37" s="128">
        <v>124</v>
      </c>
      <c r="K37" s="14">
        <v>400</v>
      </c>
      <c r="L37" s="128">
        <v>127</v>
      </c>
      <c r="M37" s="953">
        <v>200</v>
      </c>
      <c r="N37" s="128">
        <v>132.46</v>
      </c>
      <c r="O37" s="952">
        <v>200</v>
      </c>
      <c r="P37" s="953">
        <v>71.39</v>
      </c>
      <c r="Q37" s="952">
        <v>225</v>
      </c>
      <c r="R37" s="952"/>
      <c r="S37" s="832"/>
      <c r="T37" s="612"/>
      <c r="V37" s="612"/>
    </row>
    <row r="38" spans="1:22" ht="13.5" thickBot="1" x14ac:dyDescent="0.25">
      <c r="A38" s="779"/>
      <c r="B38" s="12"/>
      <c r="C38" s="15"/>
      <c r="D38" s="15"/>
      <c r="E38" s="15"/>
      <c r="F38" s="15"/>
      <c r="G38" s="15"/>
      <c r="H38" s="15"/>
      <c r="I38" s="15"/>
      <c r="J38" s="15"/>
      <c r="K38" s="16"/>
      <c r="L38" s="15"/>
      <c r="M38" s="15"/>
      <c r="N38" s="15"/>
      <c r="O38" s="16"/>
      <c r="P38" s="15"/>
      <c r="Q38" s="16"/>
      <c r="R38" s="16"/>
      <c r="S38" s="16"/>
      <c r="T38" s="612"/>
      <c r="V38" s="612"/>
    </row>
    <row r="39" spans="1:22" x14ac:dyDescent="0.2">
      <c r="A39" s="779"/>
      <c r="B39" s="17" t="s">
        <v>838</v>
      </c>
      <c r="C39" s="18">
        <f t="shared" ref="C39:I39" si="1">SUM(C9:C38)</f>
        <v>89938.37</v>
      </c>
      <c r="D39" s="18">
        <f t="shared" si="1"/>
        <v>103744.03</v>
      </c>
      <c r="E39" s="18">
        <f t="shared" si="1"/>
        <v>94949.29</v>
      </c>
      <c r="F39" s="18">
        <f t="shared" si="1"/>
        <v>93004.470000000016</v>
      </c>
      <c r="G39" s="18">
        <f t="shared" si="1"/>
        <v>86631.79</v>
      </c>
      <c r="H39" s="18">
        <f t="shared" si="1"/>
        <v>88374.909999999974</v>
      </c>
      <c r="I39" s="18">
        <f t="shared" si="1"/>
        <v>92714.789999999964</v>
      </c>
      <c r="J39" s="18">
        <f t="shared" ref="J39" si="2">SUM(J9:J38)</f>
        <v>77501.360000000015</v>
      </c>
      <c r="K39" s="34">
        <f>SUM(K9:K38)</f>
        <v>106320</v>
      </c>
      <c r="L39" s="18">
        <f t="shared" ref="L39:O39" si="3">SUM(L9:L38)</f>
        <v>85460.26</v>
      </c>
      <c r="M39" s="18">
        <f>SUM(M10:M38)</f>
        <v>109846</v>
      </c>
      <c r="N39" s="18">
        <f t="shared" si="3"/>
        <v>89201.060000000012</v>
      </c>
      <c r="O39" s="34">
        <f t="shared" si="3"/>
        <v>130782</v>
      </c>
      <c r="P39" s="18">
        <f>SUM(P10:P38)</f>
        <v>34024.159999999996</v>
      </c>
      <c r="Q39" s="34">
        <f>SUM(Q9:Q38)</f>
        <v>155932</v>
      </c>
      <c r="R39" s="34"/>
      <c r="S39" s="34">
        <f>+Q39</f>
        <v>155932</v>
      </c>
      <c r="T39" s="612">
        <f>SUM(T10:T38)</f>
        <v>94835</v>
      </c>
      <c r="V39" s="612"/>
    </row>
    <row r="40" spans="1:22" x14ac:dyDescent="0.2">
      <c r="A40" s="779"/>
      <c r="B40" s="12"/>
      <c r="C40" s="13"/>
      <c r="D40" s="13"/>
      <c r="E40" s="13"/>
      <c r="F40" s="13"/>
      <c r="G40" s="13"/>
      <c r="H40" s="13"/>
      <c r="I40" s="13"/>
      <c r="J40" s="13"/>
      <c r="K40" s="14"/>
      <c r="L40" s="13"/>
      <c r="M40" s="13"/>
      <c r="N40" s="13"/>
      <c r="O40" s="14"/>
      <c r="P40" s="13"/>
      <c r="Q40" s="14"/>
      <c r="R40" s="14"/>
      <c r="S40" s="14"/>
    </row>
    <row r="41" spans="1:22" ht="13.5" thickBot="1" x14ac:dyDescent="0.25">
      <c r="A41" s="780"/>
      <c r="B41" s="20" t="s">
        <v>1137</v>
      </c>
      <c r="C41" s="21">
        <f t="shared" ref="C41:Q41" si="4">+C39</f>
        <v>89938.37</v>
      </c>
      <c r="D41" s="21">
        <f t="shared" si="4"/>
        <v>103744.03</v>
      </c>
      <c r="E41" s="21">
        <f>+E39</f>
        <v>94949.29</v>
      </c>
      <c r="F41" s="21">
        <f>+F39</f>
        <v>93004.470000000016</v>
      </c>
      <c r="G41" s="21">
        <f>+G39</f>
        <v>86631.79</v>
      </c>
      <c r="H41" s="21">
        <f t="shared" si="4"/>
        <v>88374.909999999974</v>
      </c>
      <c r="I41" s="21">
        <f t="shared" si="4"/>
        <v>92714.789999999964</v>
      </c>
      <c r="J41" s="21">
        <f t="shared" ref="J41" si="5">+J39</f>
        <v>77501.360000000015</v>
      </c>
      <c r="K41" s="22">
        <f t="shared" ref="K41:O41" si="6">+K39</f>
        <v>106320</v>
      </c>
      <c r="L41" s="21">
        <f t="shared" si="6"/>
        <v>85460.26</v>
      </c>
      <c r="M41" s="21">
        <f t="shared" si="6"/>
        <v>109846</v>
      </c>
      <c r="N41" s="21"/>
      <c r="O41" s="22">
        <f t="shared" si="6"/>
        <v>130782</v>
      </c>
      <c r="P41" s="21">
        <f t="shared" si="4"/>
        <v>34024.159999999996</v>
      </c>
      <c r="Q41" s="22">
        <f t="shared" si="4"/>
        <v>155932</v>
      </c>
      <c r="R41" s="22">
        <f>+Q41</f>
        <v>155932</v>
      </c>
      <c r="S41" s="22">
        <f>+S39</f>
        <v>155932</v>
      </c>
    </row>
    <row r="42" spans="1:22" ht="13.5" thickTop="1" x14ac:dyDescent="0.2">
      <c r="A42" s="774"/>
      <c r="B42" s="74"/>
      <c r="C42" s="24"/>
      <c r="D42" s="24"/>
      <c r="E42" s="24"/>
      <c r="F42" s="24"/>
      <c r="G42" s="24"/>
      <c r="H42" s="24"/>
      <c r="I42" s="25"/>
      <c r="J42" s="25"/>
      <c r="K42" s="25"/>
      <c r="L42" s="25"/>
      <c r="M42" s="25"/>
      <c r="N42" s="25"/>
      <c r="O42" s="25"/>
      <c r="P42" s="199" t="s">
        <v>843</v>
      </c>
      <c r="Q42" s="1116">
        <f>+Q41-O41</f>
        <v>25150</v>
      </c>
      <c r="R42" s="1117">
        <f>ROUND((+Q42/O41),4)</f>
        <v>0.1923</v>
      </c>
      <c r="S42" s="25"/>
    </row>
    <row r="43" spans="1:22" x14ac:dyDescent="0.2">
      <c r="A43" s="774"/>
      <c r="B43" s="4"/>
      <c r="C43" s="24"/>
      <c r="D43" s="24"/>
      <c r="E43" s="24"/>
      <c r="F43" s="24"/>
      <c r="G43" s="24"/>
      <c r="H43" s="24"/>
      <c r="I43" s="25"/>
      <c r="J43" s="25"/>
      <c r="K43" s="25"/>
      <c r="L43" s="25"/>
      <c r="M43" s="25"/>
      <c r="N43" s="25"/>
      <c r="O43" s="25"/>
      <c r="P43" s="24"/>
      <c r="Q43" s="25"/>
      <c r="R43" s="25"/>
      <c r="S43" s="25"/>
    </row>
    <row r="44" spans="1:22" ht="15.75" x14ac:dyDescent="0.25">
      <c r="A44" s="838"/>
      <c r="B44" s="312"/>
      <c r="C44" s="313"/>
      <c r="D44" s="313"/>
      <c r="E44" s="313"/>
      <c r="F44" s="313"/>
      <c r="G44" s="313"/>
      <c r="H44" s="313"/>
      <c r="I44" s="312"/>
      <c r="J44" s="312"/>
      <c r="K44" s="312"/>
      <c r="L44" s="312"/>
      <c r="M44" s="312"/>
      <c r="N44" s="312"/>
      <c r="O44" s="312"/>
      <c r="P44" s="312"/>
      <c r="Q44" s="312"/>
      <c r="R44" s="312"/>
      <c r="S44" s="312"/>
    </row>
    <row r="45" spans="1:22" ht="15.75" x14ac:dyDescent="0.25">
      <c r="A45" s="774"/>
      <c r="B45" s="312"/>
      <c r="C45" s="313"/>
      <c r="D45" s="313"/>
      <c r="E45" s="313"/>
      <c r="F45" s="313"/>
      <c r="G45" s="313"/>
      <c r="H45" s="313"/>
      <c r="I45" s="312"/>
      <c r="J45" s="312"/>
      <c r="K45" s="312"/>
      <c r="L45" s="312"/>
      <c r="M45" s="312"/>
      <c r="N45" s="312"/>
      <c r="O45" s="312"/>
      <c r="P45" s="312"/>
      <c r="Q45" s="312"/>
      <c r="R45" s="312"/>
      <c r="S45" s="312"/>
    </row>
    <row r="46" spans="1:22" ht="16.5" thickBot="1" x14ac:dyDescent="0.3">
      <c r="A46" s="774"/>
      <c r="B46" s="312"/>
      <c r="C46" s="313"/>
      <c r="D46" s="313"/>
      <c r="E46" s="313"/>
      <c r="F46" s="313"/>
      <c r="G46" s="313"/>
      <c r="H46" s="313"/>
      <c r="I46" s="312"/>
      <c r="J46" s="312"/>
      <c r="K46" s="312"/>
      <c r="L46" s="312"/>
      <c r="M46" s="312"/>
      <c r="N46" s="312"/>
      <c r="O46" s="312"/>
      <c r="P46" s="312"/>
      <c r="Q46" s="312"/>
      <c r="R46" s="312"/>
      <c r="S46" s="312"/>
    </row>
    <row r="47" spans="1:22" ht="13.5" thickTop="1" x14ac:dyDescent="0.2">
      <c r="A47" s="789"/>
      <c r="B47" s="367"/>
      <c r="C47" s="368" t="s">
        <v>280</v>
      </c>
      <c r="D47" s="369" t="s">
        <v>280</v>
      </c>
      <c r="E47" s="369" t="s">
        <v>280</v>
      </c>
      <c r="F47" s="212"/>
      <c r="G47" s="212"/>
      <c r="H47" s="212"/>
      <c r="I47" s="220"/>
      <c r="J47" s="220"/>
      <c r="K47" s="220"/>
      <c r="L47" s="220"/>
      <c r="M47" s="370" t="s">
        <v>279</v>
      </c>
      <c r="N47" s="371" t="s">
        <v>826</v>
      </c>
      <c r="O47" s="372" t="s">
        <v>840</v>
      </c>
      <c r="P47" s="371" t="s">
        <v>841</v>
      </c>
      <c r="Q47" s="373"/>
      <c r="R47" s="569"/>
      <c r="S47" s="372"/>
    </row>
    <row r="48" spans="1:22" ht="13.5" thickBot="1" x14ac:dyDescent="0.25">
      <c r="A48" s="790" t="s">
        <v>825</v>
      </c>
      <c r="B48" s="374"/>
      <c r="C48" s="375" t="s">
        <v>267</v>
      </c>
      <c r="D48" s="375" t="s">
        <v>268</v>
      </c>
      <c r="E48" s="376" t="s">
        <v>269</v>
      </c>
      <c r="F48" s="212"/>
      <c r="G48" s="212"/>
      <c r="H48" s="212"/>
      <c r="I48" s="220"/>
      <c r="J48" s="220"/>
      <c r="K48" s="220"/>
      <c r="L48" s="220"/>
      <c r="M48" s="377" t="s">
        <v>277</v>
      </c>
      <c r="N48" s="377" t="s">
        <v>571</v>
      </c>
      <c r="O48" s="376" t="s">
        <v>843</v>
      </c>
      <c r="P48" s="378" t="s">
        <v>843</v>
      </c>
      <c r="Q48" s="379" t="s">
        <v>844</v>
      </c>
      <c r="R48" s="570"/>
      <c r="S48" s="377"/>
    </row>
    <row r="49" spans="1:19" ht="13.5" thickTop="1" x14ac:dyDescent="0.2">
      <c r="A49" s="795" t="s">
        <v>1080</v>
      </c>
      <c r="B49" s="387" t="s">
        <v>1081</v>
      </c>
      <c r="C49" s="391">
        <v>17860.46</v>
      </c>
      <c r="D49" s="391">
        <v>18618.21</v>
      </c>
      <c r="E49" s="391">
        <v>18675.71</v>
      </c>
      <c r="F49" s="212"/>
      <c r="G49" s="212"/>
      <c r="H49" s="212"/>
      <c r="I49" s="220"/>
      <c r="J49" s="220"/>
      <c r="K49" s="220"/>
      <c r="L49" s="220"/>
      <c r="M49" s="390">
        <f>+O10</f>
        <v>27524</v>
      </c>
      <c r="N49" s="411">
        <f>+Q10</f>
        <v>28000</v>
      </c>
      <c r="O49" s="386">
        <f t="shared" ref="O49:O73" si="7">+N49-M49</f>
        <v>476</v>
      </c>
      <c r="P49" s="392">
        <f t="shared" ref="P49:P73" si="8">IF(M49+N49&lt;&gt;0,IF(M49&lt;&gt;0,IF(O49&lt;&gt;0,ROUND((+O49/M49),4),""),1),"")</f>
        <v>1.7299999999999999E-2</v>
      </c>
      <c r="Q49" s="385"/>
      <c r="R49" s="572"/>
      <c r="S49" s="386"/>
    </row>
    <row r="50" spans="1:19" x14ac:dyDescent="0.2">
      <c r="A50" s="795" t="s">
        <v>1083</v>
      </c>
      <c r="B50" s="387" t="s">
        <v>1084</v>
      </c>
      <c r="C50" s="391">
        <v>418.21</v>
      </c>
      <c r="D50" s="391">
        <v>455.51</v>
      </c>
      <c r="E50" s="391">
        <v>520.94000000000005</v>
      </c>
      <c r="F50" s="212"/>
      <c r="G50" s="212"/>
      <c r="H50" s="212"/>
      <c r="I50" s="220"/>
      <c r="J50" s="220"/>
      <c r="K50" s="220"/>
      <c r="L50" s="220"/>
      <c r="M50" s="390">
        <f>+O11</f>
        <v>1276</v>
      </c>
      <c r="N50" s="411">
        <f>+Q11</f>
        <v>1300</v>
      </c>
      <c r="O50" s="386">
        <f t="shared" si="7"/>
        <v>24</v>
      </c>
      <c r="P50" s="392">
        <f t="shared" si="8"/>
        <v>1.8800000000000001E-2</v>
      </c>
      <c r="Q50" s="385"/>
      <c r="R50" s="572"/>
      <c r="S50" s="386"/>
    </row>
    <row r="51" spans="1:19" x14ac:dyDescent="0.2">
      <c r="A51" s="795" t="s">
        <v>1087</v>
      </c>
      <c r="B51" s="387" t="s">
        <v>1088</v>
      </c>
      <c r="C51" s="391">
        <v>30066.65</v>
      </c>
      <c r="D51" s="391">
        <v>32695.66</v>
      </c>
      <c r="E51" s="391">
        <v>29432.98</v>
      </c>
      <c r="F51" s="212"/>
      <c r="G51" s="212"/>
      <c r="H51" s="212"/>
      <c r="I51" s="220"/>
      <c r="J51" s="220"/>
      <c r="K51" s="220"/>
      <c r="L51" s="220"/>
      <c r="M51" s="390">
        <f t="shared" ref="M51:M58" si="9">+O13</f>
        <v>25640</v>
      </c>
      <c r="N51" s="411">
        <f t="shared" ref="N51:N58" si="10">+Q13</f>
        <v>26000</v>
      </c>
      <c r="O51" s="386">
        <f t="shared" si="7"/>
        <v>360</v>
      </c>
      <c r="P51" s="392">
        <f t="shared" si="8"/>
        <v>1.4E-2</v>
      </c>
      <c r="Q51" s="385"/>
      <c r="R51" s="572"/>
      <c r="S51" s="386"/>
    </row>
    <row r="52" spans="1:19" x14ac:dyDescent="0.2">
      <c r="A52" s="795" t="s">
        <v>1089</v>
      </c>
      <c r="B52" s="387" t="s">
        <v>1090</v>
      </c>
      <c r="C52" s="391">
        <v>6158.88</v>
      </c>
      <c r="D52" s="391">
        <v>6302.72</v>
      </c>
      <c r="E52" s="391">
        <v>6068.61</v>
      </c>
      <c r="F52" s="212"/>
      <c r="G52" s="212"/>
      <c r="H52" s="212"/>
      <c r="I52" s="220"/>
      <c r="J52" s="220"/>
      <c r="K52" s="220"/>
      <c r="L52" s="220"/>
      <c r="M52" s="390">
        <f t="shared" si="9"/>
        <v>32064</v>
      </c>
      <c r="N52" s="411">
        <f t="shared" si="10"/>
        <v>33000</v>
      </c>
      <c r="O52" s="386">
        <f t="shared" si="7"/>
        <v>936</v>
      </c>
      <c r="P52" s="392">
        <f t="shared" si="8"/>
        <v>2.92E-2</v>
      </c>
      <c r="Q52" s="385"/>
      <c r="R52" s="572"/>
      <c r="S52" s="386"/>
    </row>
    <row r="53" spans="1:19" x14ac:dyDescent="0.2">
      <c r="A53" s="795" t="s">
        <v>1091</v>
      </c>
      <c r="B53" s="387" t="s">
        <v>1092</v>
      </c>
      <c r="C53" s="391">
        <v>3735.02</v>
      </c>
      <c r="D53" s="391">
        <v>3841.24</v>
      </c>
      <c r="E53" s="391">
        <v>3791.57</v>
      </c>
      <c r="F53" s="212"/>
      <c r="G53" s="212"/>
      <c r="H53" s="212"/>
      <c r="I53" s="220"/>
      <c r="J53" s="220"/>
      <c r="K53" s="220"/>
      <c r="L53" s="220"/>
      <c r="M53" s="390">
        <f t="shared" si="9"/>
        <v>5680</v>
      </c>
      <c r="N53" s="411">
        <f t="shared" si="10"/>
        <v>5700</v>
      </c>
      <c r="O53" s="386">
        <f t="shared" si="7"/>
        <v>20</v>
      </c>
      <c r="P53" s="392">
        <f t="shared" si="8"/>
        <v>3.5000000000000001E-3</v>
      </c>
      <c r="Q53" s="385"/>
      <c r="R53" s="572"/>
      <c r="S53" s="386"/>
    </row>
    <row r="54" spans="1:19" x14ac:dyDescent="0.2">
      <c r="A54" s="795" t="s">
        <v>1093</v>
      </c>
      <c r="B54" s="387" t="s">
        <v>1094</v>
      </c>
      <c r="C54" s="391">
        <v>2394.5</v>
      </c>
      <c r="D54" s="391">
        <v>2061.5700000000002</v>
      </c>
      <c r="E54" s="391">
        <v>1032.4000000000001</v>
      </c>
      <c r="F54" s="212"/>
      <c r="G54" s="212"/>
      <c r="H54" s="212"/>
      <c r="I54" s="220"/>
      <c r="J54" s="220"/>
      <c r="K54" s="220"/>
      <c r="L54" s="220"/>
      <c r="M54" s="390">
        <f t="shared" si="9"/>
        <v>1028</v>
      </c>
      <c r="N54" s="411">
        <f t="shared" si="10"/>
        <v>1100</v>
      </c>
      <c r="O54" s="386">
        <f t="shared" si="7"/>
        <v>72</v>
      </c>
      <c r="P54" s="392">
        <f t="shared" si="8"/>
        <v>7.0000000000000007E-2</v>
      </c>
      <c r="Q54" s="385"/>
      <c r="R54" s="572"/>
      <c r="S54" s="386"/>
    </row>
    <row r="55" spans="1:19" x14ac:dyDescent="0.2">
      <c r="A55" s="795" t="s">
        <v>1095</v>
      </c>
      <c r="B55" s="387" t="s">
        <v>1096</v>
      </c>
      <c r="C55" s="391">
        <v>2549.33</v>
      </c>
      <c r="D55" s="391">
        <v>2900.08</v>
      </c>
      <c r="E55" s="391">
        <v>2577.86</v>
      </c>
      <c r="F55" s="212"/>
      <c r="G55" s="212"/>
      <c r="H55" s="212"/>
      <c r="I55" s="220"/>
      <c r="J55" s="220"/>
      <c r="K55" s="220"/>
      <c r="L55" s="220"/>
      <c r="M55" s="390">
        <f t="shared" si="9"/>
        <v>3720</v>
      </c>
      <c r="N55" s="411">
        <f t="shared" si="10"/>
        <v>3800</v>
      </c>
      <c r="O55" s="386">
        <f t="shared" si="7"/>
        <v>80</v>
      </c>
      <c r="P55" s="392">
        <f t="shared" si="8"/>
        <v>2.1499999999999998E-2</v>
      </c>
      <c r="Q55" s="385"/>
      <c r="R55" s="572"/>
      <c r="S55" s="386"/>
    </row>
    <row r="56" spans="1:19" x14ac:dyDescent="0.2">
      <c r="A56" s="795" t="s">
        <v>1097</v>
      </c>
      <c r="B56" s="387" t="s">
        <v>1098</v>
      </c>
      <c r="C56" s="391">
        <v>14145.02</v>
      </c>
      <c r="D56" s="391">
        <v>21632.63</v>
      </c>
      <c r="E56" s="391">
        <v>18865.080000000002</v>
      </c>
      <c r="F56" s="212"/>
      <c r="G56" s="212"/>
      <c r="H56" s="212"/>
      <c r="I56" s="220"/>
      <c r="J56" s="220"/>
      <c r="K56" s="220"/>
      <c r="L56" s="220"/>
      <c r="M56" s="390">
        <f t="shared" si="9"/>
        <v>13000</v>
      </c>
      <c r="N56" s="411">
        <f t="shared" si="10"/>
        <v>34000</v>
      </c>
      <c r="O56" s="386">
        <f t="shared" si="7"/>
        <v>21000</v>
      </c>
      <c r="P56" s="392">
        <f t="shared" si="8"/>
        <v>1.6153999999999999</v>
      </c>
      <c r="Q56" s="385"/>
      <c r="R56" s="572"/>
      <c r="S56" s="386"/>
    </row>
    <row r="57" spans="1:19" x14ac:dyDescent="0.2">
      <c r="A57" s="795" t="s">
        <v>1099</v>
      </c>
      <c r="B57" s="387" t="s">
        <v>1100</v>
      </c>
      <c r="C57" s="391">
        <v>8111.96</v>
      </c>
      <c r="D57" s="391">
        <v>10821.64</v>
      </c>
      <c r="E57" s="391">
        <v>9566.7000000000007</v>
      </c>
      <c r="F57" s="212"/>
      <c r="G57" s="212"/>
      <c r="H57" s="212"/>
      <c r="I57" s="220"/>
      <c r="J57" s="220"/>
      <c r="K57" s="220"/>
      <c r="L57" s="220"/>
      <c r="M57" s="390">
        <f t="shared" si="9"/>
        <v>10000</v>
      </c>
      <c r="N57" s="411">
        <f t="shared" si="10"/>
        <v>11200</v>
      </c>
      <c r="O57" s="386">
        <f t="shared" si="7"/>
        <v>1200</v>
      </c>
      <c r="P57" s="392">
        <f t="shared" si="8"/>
        <v>0.12</v>
      </c>
      <c r="Q57" s="385"/>
      <c r="R57" s="572"/>
      <c r="S57" s="386"/>
    </row>
    <row r="58" spans="1:19" x14ac:dyDescent="0.2">
      <c r="A58" s="795" t="s">
        <v>1101</v>
      </c>
      <c r="B58" s="387" t="s">
        <v>1102</v>
      </c>
      <c r="C58" s="391"/>
      <c r="D58" s="391">
        <v>0</v>
      </c>
      <c r="E58" s="391"/>
      <c r="F58" s="212"/>
      <c r="G58" s="212"/>
      <c r="H58" s="212"/>
      <c r="I58" s="220"/>
      <c r="J58" s="220"/>
      <c r="K58" s="220"/>
      <c r="L58" s="220"/>
      <c r="M58" s="390">
        <f t="shared" si="9"/>
        <v>0</v>
      </c>
      <c r="N58" s="411">
        <f t="shared" si="10"/>
        <v>0</v>
      </c>
      <c r="O58" s="386">
        <f t="shared" si="7"/>
        <v>0</v>
      </c>
      <c r="P58" s="392" t="str">
        <f t="shared" si="8"/>
        <v/>
      </c>
      <c r="Q58" s="385"/>
      <c r="R58" s="572"/>
      <c r="S58" s="386"/>
    </row>
    <row r="59" spans="1:19" x14ac:dyDescent="0.2">
      <c r="A59" s="795" t="s">
        <v>1105</v>
      </c>
      <c r="B59" s="387" t="s">
        <v>1106</v>
      </c>
      <c r="C59" s="391">
        <v>619.48</v>
      </c>
      <c r="D59" s="391">
        <v>657.3</v>
      </c>
      <c r="E59" s="391">
        <v>614.69000000000005</v>
      </c>
      <c r="F59" s="212"/>
      <c r="G59" s="212"/>
      <c r="H59" s="212"/>
      <c r="I59" s="220"/>
      <c r="J59" s="220"/>
      <c r="K59" s="220"/>
      <c r="L59" s="220"/>
      <c r="M59" s="390">
        <f t="shared" ref="M59:M72" si="11">+O22</f>
        <v>700</v>
      </c>
      <c r="N59" s="411">
        <f t="shared" ref="N59:N69" si="12">+Q22</f>
        <v>784</v>
      </c>
      <c r="O59" s="386">
        <f t="shared" si="7"/>
        <v>84</v>
      </c>
      <c r="P59" s="392">
        <f t="shared" si="8"/>
        <v>0.12</v>
      </c>
      <c r="Q59" s="385"/>
      <c r="R59" s="572"/>
      <c r="S59" s="386"/>
    </row>
    <row r="60" spans="1:19" x14ac:dyDescent="0.2">
      <c r="A60" s="795" t="s">
        <v>1107</v>
      </c>
      <c r="B60" s="387" t="s">
        <v>1108</v>
      </c>
      <c r="C60" s="391">
        <v>1206.5999999999999</v>
      </c>
      <c r="D60" s="391">
        <v>1314.27</v>
      </c>
      <c r="E60" s="391">
        <v>1180.54</v>
      </c>
      <c r="F60" s="212"/>
      <c r="G60" s="212"/>
      <c r="H60" s="212"/>
      <c r="I60" s="220"/>
      <c r="J60" s="220"/>
      <c r="K60" s="220"/>
      <c r="L60" s="220"/>
      <c r="M60" s="390">
        <f t="shared" si="11"/>
        <v>1650</v>
      </c>
      <c r="N60" s="411">
        <f t="shared" si="12"/>
        <v>1848</v>
      </c>
      <c r="O60" s="386">
        <f t="shared" si="7"/>
        <v>198</v>
      </c>
      <c r="P60" s="392">
        <f t="shared" si="8"/>
        <v>0.12</v>
      </c>
      <c r="Q60" s="385"/>
      <c r="R60" s="572"/>
      <c r="S60" s="386"/>
    </row>
    <row r="61" spans="1:19" x14ac:dyDescent="0.2">
      <c r="A61" s="795" t="s">
        <v>1109</v>
      </c>
      <c r="B61" s="387" t="s">
        <v>1110</v>
      </c>
      <c r="C61" s="391">
        <v>347.6</v>
      </c>
      <c r="D61" s="391">
        <v>178.4</v>
      </c>
      <c r="E61" s="391">
        <v>211.9</v>
      </c>
      <c r="F61" s="212"/>
      <c r="G61" s="212"/>
      <c r="H61" s="212"/>
      <c r="I61" s="220"/>
      <c r="J61" s="220"/>
      <c r="K61" s="220"/>
      <c r="L61" s="220"/>
      <c r="M61" s="390">
        <f t="shared" si="11"/>
        <v>600</v>
      </c>
      <c r="N61" s="411">
        <f t="shared" si="12"/>
        <v>600</v>
      </c>
      <c r="O61" s="386">
        <f t="shared" si="7"/>
        <v>0</v>
      </c>
      <c r="P61" s="392" t="str">
        <f t="shared" si="8"/>
        <v/>
      </c>
      <c r="Q61" s="385"/>
      <c r="R61" s="572"/>
      <c r="S61" s="386"/>
    </row>
    <row r="62" spans="1:19" x14ac:dyDescent="0.2">
      <c r="A62" s="795" t="s">
        <v>1111</v>
      </c>
      <c r="B62" s="387" t="s">
        <v>1112</v>
      </c>
      <c r="C62" s="393">
        <v>103</v>
      </c>
      <c r="D62" s="391">
        <v>98</v>
      </c>
      <c r="E62" s="391">
        <v>140</v>
      </c>
      <c r="F62" s="212"/>
      <c r="G62" s="212"/>
      <c r="H62" s="212"/>
      <c r="I62" s="220"/>
      <c r="J62" s="220"/>
      <c r="K62" s="220"/>
      <c r="L62" s="220"/>
      <c r="M62" s="390">
        <f t="shared" si="11"/>
        <v>150</v>
      </c>
      <c r="N62" s="411">
        <f t="shared" si="12"/>
        <v>150</v>
      </c>
      <c r="O62" s="386">
        <f t="shared" si="7"/>
        <v>0</v>
      </c>
      <c r="P62" s="392" t="str">
        <f t="shared" si="8"/>
        <v/>
      </c>
      <c r="Q62" s="385"/>
      <c r="R62" s="572"/>
      <c r="S62" s="386"/>
    </row>
    <row r="63" spans="1:19" x14ac:dyDescent="0.2">
      <c r="A63" s="795" t="s">
        <v>1113</v>
      </c>
      <c r="B63" s="387" t="s">
        <v>1114</v>
      </c>
      <c r="C63" s="393"/>
      <c r="D63" s="391"/>
      <c r="E63" s="391"/>
      <c r="F63" s="212"/>
      <c r="G63" s="212"/>
      <c r="H63" s="212"/>
      <c r="I63" s="220"/>
      <c r="J63" s="220"/>
      <c r="K63" s="220"/>
      <c r="L63" s="220"/>
      <c r="M63" s="390">
        <f t="shared" si="11"/>
        <v>0</v>
      </c>
      <c r="N63" s="411">
        <f t="shared" si="12"/>
        <v>0</v>
      </c>
      <c r="O63" s="386">
        <f t="shared" si="7"/>
        <v>0</v>
      </c>
      <c r="P63" s="392" t="str">
        <f t="shared" si="8"/>
        <v/>
      </c>
      <c r="Q63" s="385"/>
      <c r="R63" s="572"/>
      <c r="S63" s="386"/>
    </row>
    <row r="64" spans="1:19" x14ac:dyDescent="0.2">
      <c r="A64" s="795" t="s">
        <v>1115</v>
      </c>
      <c r="B64" s="387" t="s">
        <v>1116</v>
      </c>
      <c r="C64" s="393">
        <v>113.6</v>
      </c>
      <c r="D64" s="391">
        <v>129</v>
      </c>
      <c r="E64" s="391">
        <v>138.1</v>
      </c>
      <c r="F64" s="212"/>
      <c r="G64" s="212"/>
      <c r="H64" s="212"/>
      <c r="I64" s="220"/>
      <c r="J64" s="220"/>
      <c r="K64" s="220"/>
      <c r="L64" s="220"/>
      <c r="M64" s="390">
        <f t="shared" si="11"/>
        <v>350</v>
      </c>
      <c r="N64" s="411">
        <f t="shared" si="12"/>
        <v>400</v>
      </c>
      <c r="O64" s="386">
        <f t="shared" si="7"/>
        <v>50</v>
      </c>
      <c r="P64" s="392">
        <f t="shared" si="8"/>
        <v>0.1429</v>
      </c>
      <c r="Q64" s="385"/>
      <c r="R64" s="572"/>
      <c r="S64" s="386"/>
    </row>
    <row r="65" spans="1:19" x14ac:dyDescent="0.2">
      <c r="A65" s="795" t="s">
        <v>1117</v>
      </c>
      <c r="B65" s="387" t="s">
        <v>1118</v>
      </c>
      <c r="C65" s="393">
        <v>455.4</v>
      </c>
      <c r="D65" s="391">
        <v>588</v>
      </c>
      <c r="E65" s="391">
        <v>582.35</v>
      </c>
      <c r="F65" s="212"/>
      <c r="G65" s="212"/>
      <c r="H65" s="212"/>
      <c r="I65" s="220"/>
      <c r="J65" s="220"/>
      <c r="K65" s="220"/>
      <c r="L65" s="220"/>
      <c r="M65" s="390">
        <f t="shared" si="11"/>
        <v>1000</v>
      </c>
      <c r="N65" s="411">
        <f t="shared" si="12"/>
        <v>1000</v>
      </c>
      <c r="O65" s="386">
        <f t="shared" si="7"/>
        <v>0</v>
      </c>
      <c r="P65" s="392" t="str">
        <f t="shared" si="8"/>
        <v/>
      </c>
      <c r="Q65" s="385"/>
      <c r="R65" s="572"/>
      <c r="S65" s="386"/>
    </row>
    <row r="66" spans="1:19" x14ac:dyDescent="0.2">
      <c r="A66" s="795" t="s">
        <v>1119</v>
      </c>
      <c r="B66" s="387" t="s">
        <v>1120</v>
      </c>
      <c r="C66" s="393">
        <v>41.4</v>
      </c>
      <c r="D66" s="391">
        <v>0</v>
      </c>
      <c r="E66" s="391"/>
      <c r="F66" s="212"/>
      <c r="G66" s="212"/>
      <c r="H66" s="212"/>
      <c r="I66" s="220"/>
      <c r="J66" s="220"/>
      <c r="K66" s="220"/>
      <c r="L66" s="220"/>
      <c r="M66" s="390">
        <f t="shared" si="11"/>
        <v>0</v>
      </c>
      <c r="N66" s="411">
        <f t="shared" si="12"/>
        <v>0</v>
      </c>
      <c r="O66" s="386">
        <f t="shared" si="7"/>
        <v>0</v>
      </c>
      <c r="P66" s="392" t="str">
        <f t="shared" si="8"/>
        <v/>
      </c>
      <c r="Q66" s="385"/>
      <c r="R66" s="572"/>
      <c r="S66" s="386"/>
    </row>
    <row r="67" spans="1:19" x14ac:dyDescent="0.2">
      <c r="A67" s="795" t="s">
        <v>1121</v>
      </c>
      <c r="B67" s="387" t="s">
        <v>1122</v>
      </c>
      <c r="C67" s="393">
        <v>157</v>
      </c>
      <c r="D67" s="391">
        <v>124</v>
      </c>
      <c r="E67" s="391">
        <v>217</v>
      </c>
      <c r="F67" s="212"/>
      <c r="G67" s="212"/>
      <c r="H67" s="212"/>
      <c r="I67" s="220"/>
      <c r="J67" s="220"/>
      <c r="K67" s="220"/>
      <c r="L67" s="220"/>
      <c r="M67" s="390">
        <f t="shared" si="11"/>
        <v>250</v>
      </c>
      <c r="N67" s="411">
        <f t="shared" si="12"/>
        <v>275</v>
      </c>
      <c r="O67" s="386">
        <f t="shared" si="7"/>
        <v>25</v>
      </c>
      <c r="P67" s="392">
        <f t="shared" si="8"/>
        <v>0.1</v>
      </c>
      <c r="Q67" s="385"/>
      <c r="R67" s="572"/>
      <c r="S67" s="386"/>
    </row>
    <row r="68" spans="1:19" x14ac:dyDescent="0.2">
      <c r="A68" s="795" t="s">
        <v>1123</v>
      </c>
      <c r="B68" s="387" t="s">
        <v>1124</v>
      </c>
      <c r="C68" s="391">
        <v>350.26</v>
      </c>
      <c r="D68" s="391">
        <v>236.36</v>
      </c>
      <c r="E68" s="391">
        <v>243.42</v>
      </c>
      <c r="F68" s="212"/>
      <c r="G68" s="212"/>
      <c r="H68" s="212"/>
      <c r="I68" s="220"/>
      <c r="J68" s="220"/>
      <c r="K68" s="220"/>
      <c r="L68" s="220"/>
      <c r="M68" s="390">
        <f t="shared" si="11"/>
        <v>1500</v>
      </c>
      <c r="N68" s="411">
        <f t="shared" si="12"/>
        <v>2100</v>
      </c>
      <c r="O68" s="386">
        <f t="shared" si="7"/>
        <v>600</v>
      </c>
      <c r="P68" s="392">
        <f t="shared" si="8"/>
        <v>0.4</v>
      </c>
      <c r="Q68" s="385"/>
      <c r="R68" s="572"/>
      <c r="S68" s="386"/>
    </row>
    <row r="69" spans="1:19" x14ac:dyDescent="0.2">
      <c r="A69" s="795" t="s">
        <v>1125</v>
      </c>
      <c r="B69" s="387" t="s">
        <v>1126</v>
      </c>
      <c r="C69" s="391">
        <v>72</v>
      </c>
      <c r="D69" s="391">
        <v>72</v>
      </c>
      <c r="E69" s="391">
        <v>72</v>
      </c>
      <c r="F69" s="212"/>
      <c r="G69" s="212"/>
      <c r="H69" s="212"/>
      <c r="I69" s="220"/>
      <c r="J69" s="220"/>
      <c r="K69" s="220"/>
      <c r="L69" s="220"/>
      <c r="M69" s="390">
        <f t="shared" si="11"/>
        <v>250</v>
      </c>
      <c r="N69" s="411">
        <f t="shared" si="12"/>
        <v>250</v>
      </c>
      <c r="O69" s="386">
        <f t="shared" si="7"/>
        <v>0</v>
      </c>
      <c r="P69" s="392" t="str">
        <f t="shared" si="8"/>
        <v/>
      </c>
      <c r="Q69" s="385"/>
      <c r="R69" s="572"/>
      <c r="S69" s="386"/>
    </row>
    <row r="70" spans="1:19" x14ac:dyDescent="0.2">
      <c r="A70" s="795" t="s">
        <v>1129</v>
      </c>
      <c r="B70" s="387" t="s">
        <v>1130</v>
      </c>
      <c r="C70" s="391">
        <v>216</v>
      </c>
      <c r="D70" s="391">
        <v>248.8</v>
      </c>
      <c r="E70" s="391">
        <v>298.56</v>
      </c>
      <c r="F70" s="212"/>
      <c r="G70" s="212"/>
      <c r="H70" s="212"/>
      <c r="I70" s="220"/>
      <c r="J70" s="220"/>
      <c r="K70" s="220"/>
      <c r="L70" s="220"/>
      <c r="M70" s="390">
        <f t="shared" si="11"/>
        <v>0</v>
      </c>
      <c r="N70" s="411">
        <f>+Q34</f>
        <v>700</v>
      </c>
      <c r="O70" s="386">
        <f t="shared" si="7"/>
        <v>700</v>
      </c>
      <c r="P70" s="392">
        <f t="shared" si="8"/>
        <v>1</v>
      </c>
      <c r="Q70" s="385"/>
      <c r="R70" s="572"/>
      <c r="S70" s="386"/>
    </row>
    <row r="71" spans="1:19" x14ac:dyDescent="0.2">
      <c r="A71" s="795" t="s">
        <v>1131</v>
      </c>
      <c r="B71" s="387" t="s">
        <v>1132</v>
      </c>
      <c r="C71" s="391">
        <v>744</v>
      </c>
      <c r="D71" s="391">
        <v>696.64</v>
      </c>
      <c r="E71" s="391">
        <v>646.88</v>
      </c>
      <c r="F71" s="212"/>
      <c r="G71" s="212"/>
      <c r="H71" s="212"/>
      <c r="I71" s="220"/>
      <c r="J71" s="220"/>
      <c r="K71" s="220"/>
      <c r="L71" s="220"/>
      <c r="M71" s="390">
        <f t="shared" si="11"/>
        <v>700</v>
      </c>
      <c r="N71" s="411">
        <f>+Q35</f>
        <v>3500</v>
      </c>
      <c r="O71" s="386">
        <f t="shared" si="7"/>
        <v>2800</v>
      </c>
      <c r="P71" s="392">
        <f t="shared" si="8"/>
        <v>4</v>
      </c>
      <c r="Q71" s="385"/>
      <c r="R71" s="572"/>
      <c r="S71" s="386"/>
    </row>
    <row r="72" spans="1:19" hidden="1" x14ac:dyDescent="0.2">
      <c r="A72" s="795" t="s">
        <v>1133</v>
      </c>
      <c r="B72" s="387" t="s">
        <v>1134</v>
      </c>
      <c r="C72" s="391"/>
      <c r="D72" s="391"/>
      <c r="E72" s="391"/>
      <c r="F72" s="212"/>
      <c r="G72" s="212"/>
      <c r="H72" s="212"/>
      <c r="I72" s="220"/>
      <c r="J72" s="220"/>
      <c r="K72" s="220"/>
      <c r="L72" s="220"/>
      <c r="M72" s="390">
        <f t="shared" si="11"/>
        <v>3500</v>
      </c>
      <c r="N72" s="411">
        <f>+Q36</f>
        <v>0</v>
      </c>
      <c r="O72" s="386">
        <f t="shared" si="7"/>
        <v>-3500</v>
      </c>
      <c r="P72" s="392">
        <f t="shared" si="8"/>
        <v>-1</v>
      </c>
      <c r="Q72" s="385"/>
      <c r="R72" s="572"/>
      <c r="S72" s="386"/>
    </row>
    <row r="73" spans="1:19" x14ac:dyDescent="0.2">
      <c r="A73" s="795" t="s">
        <v>1135</v>
      </c>
      <c r="B73" s="387" t="s">
        <v>1136</v>
      </c>
      <c r="C73" s="391">
        <v>72</v>
      </c>
      <c r="D73" s="391">
        <v>72</v>
      </c>
      <c r="E73" s="391">
        <v>72</v>
      </c>
      <c r="F73" s="212"/>
      <c r="G73" s="212"/>
      <c r="H73" s="212"/>
      <c r="I73" s="220"/>
      <c r="J73" s="220"/>
      <c r="K73" s="220"/>
      <c r="L73" s="220"/>
      <c r="M73" s="390">
        <f>+O37</f>
        <v>200</v>
      </c>
      <c r="N73" s="411">
        <f>+Q37</f>
        <v>225</v>
      </c>
      <c r="O73" s="386">
        <f t="shared" si="7"/>
        <v>25</v>
      </c>
      <c r="P73" s="392">
        <f t="shared" si="8"/>
        <v>0.125</v>
      </c>
      <c r="Q73" s="385"/>
      <c r="R73" s="572"/>
      <c r="S73" s="386"/>
    </row>
    <row r="74" spans="1:19" x14ac:dyDescent="0.2">
      <c r="D74" s="212"/>
      <c r="E74" s="212"/>
      <c r="F74" s="212"/>
      <c r="G74" s="212"/>
      <c r="H74" s="212"/>
      <c r="I74" s="220"/>
      <c r="J74" s="220"/>
      <c r="K74" s="220"/>
      <c r="L74" s="220"/>
      <c r="M74" s="212"/>
      <c r="N74" s="220"/>
      <c r="O74" s="220"/>
    </row>
    <row r="75" spans="1:19" x14ac:dyDescent="0.2">
      <c r="B75" s="4" t="s">
        <v>846</v>
      </c>
      <c r="C75" s="23"/>
      <c r="D75" s="23"/>
      <c r="E75" s="23"/>
      <c r="F75" s="23"/>
      <c r="G75" s="23"/>
      <c r="H75" s="212"/>
      <c r="I75" s="220"/>
      <c r="J75" s="220"/>
      <c r="K75" s="220"/>
      <c r="L75" s="220"/>
      <c r="M75" s="616">
        <f>SUM(M49:M73)</f>
        <v>130782</v>
      </c>
      <c r="N75" s="616">
        <f>SUM(N49:N73)</f>
        <v>155932</v>
      </c>
      <c r="O75" s="616">
        <f>SUM(O49:O73)</f>
        <v>25150</v>
      </c>
      <c r="P75" s="617">
        <f>IF(M75+N75&lt;&gt;0,IF(M75&lt;&gt;0,IF(O75&lt;&gt;0,ROUND((+O75/M75),4),""),1),"")</f>
        <v>0.1923</v>
      </c>
    </row>
  </sheetData>
  <phoneticPr fontId="0" type="noConversion"/>
  <hyperlinks>
    <hyperlink ref="A1" location="'Working Budget with funding det'!A1" display="Main " xr:uid="{00000000-0004-0000-1800-000000000000}"/>
    <hyperlink ref="B1" location="'Table of Contents'!A1" display="TOC" xr:uid="{00000000-0004-0000-1800-000001000000}"/>
  </hyperlinks>
  <pageMargins left="0.75" right="0.75" top="1" bottom="1" header="0.5" footer="0.5"/>
  <pageSetup scale="89" fitToHeight="2" orientation="landscape" r:id="rId1"/>
  <headerFooter alignWithMargins="0">
    <oddFooter>&amp;L&amp;D  &amp;T&amp;C&amp;F&amp;R&amp;A</oddFooter>
  </headerFooter>
  <rowBreaks count="1" manualBreakCount="1">
    <brk id="41" max="1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T139"/>
  <sheetViews>
    <sheetView zoomScaleNormal="100" workbookViewId="0">
      <pane ySplit="8" topLeftCell="A67" activePane="bottomLeft" state="frozen"/>
      <selection activeCell="P15" sqref="P15"/>
      <selection pane="bottomLeft" activeCell="B74" sqref="B74"/>
    </sheetView>
  </sheetViews>
  <sheetFormatPr defaultRowHeight="12.75" x14ac:dyDescent="0.2"/>
  <cols>
    <col min="1" max="1" width="12.6640625" style="783" customWidth="1"/>
    <col min="2" max="2" width="36.6640625" customWidth="1"/>
    <col min="3" max="3" width="16" style="1" hidden="1" customWidth="1"/>
    <col min="4" max="8" width="16" style="106" hidden="1" customWidth="1"/>
    <col min="9" max="10" width="15.83203125" style="106" hidden="1" customWidth="1"/>
    <col min="11" max="12" width="14.5" style="106" hidden="1" customWidth="1"/>
    <col min="13" max="15" width="14.5" style="106" customWidth="1"/>
    <col min="16" max="16" width="15.83203125" customWidth="1"/>
    <col min="17" max="18" width="15.1640625" style="1" customWidth="1"/>
    <col min="19" max="20" width="17.33203125" style="1" customWidth="1"/>
    <col min="21" max="21" width="10.1640625" bestFit="1" customWidth="1"/>
  </cols>
  <sheetData>
    <row r="1" spans="1:20" ht="14.25" x14ac:dyDescent="0.2">
      <c r="A1" s="772" t="s">
        <v>847</v>
      </c>
      <c r="B1" s="308" t="s">
        <v>197</v>
      </c>
      <c r="D1" s="212"/>
      <c r="E1" s="212"/>
      <c r="F1" s="212"/>
      <c r="G1" s="212"/>
      <c r="H1" s="212"/>
      <c r="I1" s="212"/>
      <c r="J1" s="212"/>
      <c r="K1" s="212"/>
      <c r="L1" s="212"/>
      <c r="M1" s="212"/>
      <c r="N1" s="212"/>
      <c r="O1" s="212"/>
      <c r="Q1" s="283"/>
      <c r="R1" s="283"/>
      <c r="S1" s="216"/>
    </row>
    <row r="2" spans="1:20" ht="15" x14ac:dyDescent="0.25">
      <c r="A2" s="773" t="s">
        <v>1138</v>
      </c>
      <c r="B2" s="43"/>
      <c r="D2" s="212"/>
      <c r="E2" s="126"/>
      <c r="F2" s="212"/>
      <c r="G2" s="212"/>
      <c r="H2" s="212"/>
      <c r="I2" s="126" t="s">
        <v>816</v>
      </c>
      <c r="J2" s="126"/>
      <c r="K2" s="126"/>
      <c r="L2" s="126"/>
      <c r="M2" s="126"/>
      <c r="N2" s="126"/>
      <c r="O2" s="126"/>
      <c r="P2" s="58" t="s">
        <v>636</v>
      </c>
      <c r="Q2" s="283"/>
      <c r="R2" s="283"/>
      <c r="S2" s="44" t="s">
        <v>1139</v>
      </c>
    </row>
    <row r="3" spans="1:20" ht="13.5" thickBot="1" x14ac:dyDescent="0.25">
      <c r="A3" s="774"/>
      <c r="B3" s="4"/>
      <c r="C3" s="23"/>
      <c r="D3" s="23"/>
      <c r="E3" s="23"/>
      <c r="F3" s="23"/>
      <c r="G3" s="23"/>
      <c r="H3" s="23"/>
      <c r="I3" s="23"/>
      <c r="J3" s="23"/>
      <c r="K3" s="23"/>
      <c r="L3" s="23"/>
      <c r="M3" s="23"/>
      <c r="N3" s="23"/>
      <c r="O3" s="23"/>
      <c r="P3" s="4"/>
      <c r="Q3" s="97"/>
      <c r="R3" s="97"/>
      <c r="S3" s="4"/>
      <c r="T3" s="4"/>
    </row>
    <row r="4" spans="1:20"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0"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0" x14ac:dyDescent="0.2">
      <c r="A6" s="776"/>
      <c r="B6" s="202"/>
      <c r="C6" s="113"/>
      <c r="D6" s="113"/>
      <c r="E6" s="113"/>
      <c r="F6" s="113"/>
      <c r="G6" s="113"/>
      <c r="H6" s="113"/>
      <c r="I6" s="83"/>
      <c r="J6" s="83"/>
      <c r="K6" s="83"/>
      <c r="L6" s="83"/>
      <c r="M6" s="83"/>
      <c r="N6" s="83"/>
      <c r="O6" s="83"/>
      <c r="P6" s="113"/>
      <c r="Q6" s="83" t="s">
        <v>823</v>
      </c>
      <c r="R6" s="83" t="s">
        <v>585</v>
      </c>
      <c r="S6" s="45" t="s">
        <v>824</v>
      </c>
    </row>
    <row r="7" spans="1:20"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0" ht="13.5" hidden="1" thickTop="1" x14ac:dyDescent="0.2">
      <c r="A8" s="796">
        <v>5111</v>
      </c>
      <c r="B8" s="203" t="s">
        <v>1140</v>
      </c>
      <c r="C8" s="118">
        <v>94541.440000000002</v>
      </c>
      <c r="D8" s="18">
        <f>4666+71741</f>
        <v>76407</v>
      </c>
      <c r="E8" s="18">
        <v>79100</v>
      </c>
      <c r="F8" s="18">
        <v>84668.79</v>
      </c>
      <c r="G8" s="18">
        <v>86894</v>
      </c>
      <c r="H8" s="18"/>
      <c r="I8" s="34"/>
      <c r="J8" s="34"/>
      <c r="K8" s="227"/>
      <c r="L8" s="227"/>
      <c r="M8" s="227"/>
      <c r="N8" s="227"/>
      <c r="O8" s="227"/>
      <c r="P8" s="18"/>
      <c r="Q8" s="227"/>
      <c r="R8" s="227"/>
      <c r="S8" s="19"/>
    </row>
    <row r="9" spans="1:20" ht="13.5" thickTop="1" x14ac:dyDescent="0.2">
      <c r="A9" s="796">
        <v>5112</v>
      </c>
      <c r="B9" s="60" t="s">
        <v>849</v>
      </c>
      <c r="C9" s="116">
        <v>558256.29</v>
      </c>
      <c r="D9" s="18">
        <v>673834.28</v>
      </c>
      <c r="E9" s="18">
        <v>754753.01</v>
      </c>
      <c r="F9" s="18">
        <v>801324.19</v>
      </c>
      <c r="G9" s="18">
        <v>830656.61</v>
      </c>
      <c r="H9" s="18">
        <f>-90402+839726.16</f>
        <v>749324.16</v>
      </c>
      <c r="I9" s="13">
        <f>56327.4+938205.2</f>
        <v>994532.6</v>
      </c>
      <c r="J9" s="13">
        <v>979569.74</v>
      </c>
      <c r="K9" s="226">
        <v>1066247</v>
      </c>
      <c r="L9" s="128">
        <v>1033229.88</v>
      </c>
      <c r="M9" s="226">
        <v>1126021</v>
      </c>
      <c r="N9" s="128">
        <v>1097042.94</v>
      </c>
      <c r="O9" s="226">
        <f>28999+5956+1184459</f>
        <v>1219414</v>
      </c>
      <c r="P9" s="13">
        <v>561256.94999999995</v>
      </c>
      <c r="Q9" s="226">
        <f>ROUND((SUM(P68:P85)),0)+1</f>
        <v>1265672</v>
      </c>
      <c r="R9" s="19"/>
      <c r="S9" s="19"/>
      <c r="T9" s="352"/>
    </row>
    <row r="10" spans="1:20" x14ac:dyDescent="0.2">
      <c r="A10" s="796">
        <v>5113</v>
      </c>
      <c r="B10" s="60" t="s">
        <v>1141</v>
      </c>
      <c r="C10" s="116">
        <v>10745.01</v>
      </c>
      <c r="D10" s="18">
        <f>105.98+10950.18</f>
        <v>11056.16</v>
      </c>
      <c r="E10" s="18">
        <v>10477.32</v>
      </c>
      <c r="F10" s="18">
        <v>10864.62</v>
      </c>
      <c r="G10" s="18">
        <v>11393.66</v>
      </c>
      <c r="H10" s="18">
        <v>11758.11</v>
      </c>
      <c r="I10" s="13">
        <v>12311.69</v>
      </c>
      <c r="J10" s="13">
        <v>13072.92</v>
      </c>
      <c r="K10" s="226">
        <v>14034</v>
      </c>
      <c r="L10" s="128">
        <v>13517.7</v>
      </c>
      <c r="M10" s="226">
        <v>14556</v>
      </c>
      <c r="N10" s="128">
        <v>13930.8</v>
      </c>
      <c r="O10" s="226">
        <f>449+14857</f>
        <v>15306</v>
      </c>
      <c r="P10" s="13">
        <v>7136.4</v>
      </c>
      <c r="Q10" s="226">
        <f>ROUND((+P86),0)</f>
        <v>15998</v>
      </c>
      <c r="R10" s="19"/>
      <c r="S10" s="19"/>
      <c r="T10" s="345"/>
    </row>
    <row r="11" spans="1:20" x14ac:dyDescent="0.2">
      <c r="A11" s="779">
        <v>5114</v>
      </c>
      <c r="B11" s="60" t="s">
        <v>1142</v>
      </c>
      <c r="C11" s="116">
        <f>95.03+22206.8</f>
        <v>22301.829999999998</v>
      </c>
      <c r="D11" s="13">
        <f>15705.21+1162.29</f>
        <v>16867.5</v>
      </c>
      <c r="E11" s="13">
        <v>22998.86</v>
      </c>
      <c r="F11" s="13">
        <v>28723.59</v>
      </c>
      <c r="G11" s="13">
        <v>26839.71</v>
      </c>
      <c r="H11" s="13">
        <v>30833.5</v>
      </c>
      <c r="I11" s="13">
        <v>10672.75</v>
      </c>
      <c r="J11" s="13">
        <v>4624</v>
      </c>
      <c r="K11" s="14">
        <v>22858</v>
      </c>
      <c r="L11" s="128">
        <v>6305</v>
      </c>
      <c r="M11" s="14">
        <v>28000</v>
      </c>
      <c r="N11" s="128">
        <v>6730.5</v>
      </c>
      <c r="O11" s="14">
        <f>1332+15000</f>
        <v>16332</v>
      </c>
      <c r="P11" s="13">
        <v>2788.5</v>
      </c>
      <c r="Q11" s="14">
        <v>16000</v>
      </c>
      <c r="R11" s="19"/>
      <c r="S11" s="19"/>
      <c r="T11" s="345"/>
    </row>
    <row r="12" spans="1:20" x14ac:dyDescent="0.2">
      <c r="A12" s="779">
        <v>5132</v>
      </c>
      <c r="B12" s="60" t="s">
        <v>1143</v>
      </c>
      <c r="C12" s="116">
        <v>133928.87</v>
      </c>
      <c r="D12" s="13">
        <v>109534.24</v>
      </c>
      <c r="E12" s="13">
        <v>122687.36</v>
      </c>
      <c r="F12" s="13">
        <v>126122.56</v>
      </c>
      <c r="G12" s="13">
        <v>127810.01</v>
      </c>
      <c r="H12" s="13">
        <v>130789.6</v>
      </c>
      <c r="I12" s="13">
        <v>125185.91</v>
      </c>
      <c r="J12" s="13">
        <v>141973.56</v>
      </c>
      <c r="K12" s="14">
        <v>130249</v>
      </c>
      <c r="L12" s="128">
        <v>136288.74</v>
      </c>
      <c r="M12" s="14">
        <v>142000</v>
      </c>
      <c r="N12" s="128">
        <v>133536.17000000001</v>
      </c>
      <c r="O12" s="14">
        <v>142000</v>
      </c>
      <c r="P12" s="13">
        <v>53881.88</v>
      </c>
      <c r="Q12" s="14">
        <v>145000</v>
      </c>
      <c r="R12" s="19"/>
      <c r="S12" s="19"/>
      <c r="T12" s="345"/>
    </row>
    <row r="13" spans="1:20" x14ac:dyDescent="0.2">
      <c r="A13" s="779">
        <v>5135</v>
      </c>
      <c r="B13" s="60" t="s">
        <v>1144</v>
      </c>
      <c r="C13" s="116">
        <v>13416.61</v>
      </c>
      <c r="D13" s="13">
        <v>8222.52</v>
      </c>
      <c r="E13" s="13">
        <v>6134.34</v>
      </c>
      <c r="F13" s="13">
        <v>4797.04</v>
      </c>
      <c r="G13" s="13">
        <v>4891.88</v>
      </c>
      <c r="H13" s="13">
        <v>8947.85</v>
      </c>
      <c r="I13" s="13">
        <v>4273.67</v>
      </c>
      <c r="J13" s="13">
        <v>5538.01</v>
      </c>
      <c r="K13" s="14">
        <v>8000</v>
      </c>
      <c r="L13" s="128">
        <v>764.31</v>
      </c>
      <c r="M13" s="14">
        <v>8000</v>
      </c>
      <c r="N13" s="128">
        <v>3119.24</v>
      </c>
      <c r="O13" s="14">
        <v>8000</v>
      </c>
      <c r="P13" s="13">
        <v>1401.56</v>
      </c>
      <c r="Q13" s="14">
        <v>8000</v>
      </c>
      <c r="R13" s="19"/>
      <c r="S13" s="19"/>
      <c r="T13" s="345"/>
    </row>
    <row r="14" spans="1:20" x14ac:dyDescent="0.2">
      <c r="A14" s="779">
        <v>5141</v>
      </c>
      <c r="B14" s="60" t="s">
        <v>1145</v>
      </c>
      <c r="C14" s="116">
        <v>76334.600000000006</v>
      </c>
      <c r="D14" s="13">
        <v>84591.45</v>
      </c>
      <c r="E14" s="13">
        <v>89808.42</v>
      </c>
      <c r="F14" s="13">
        <v>87004.96</v>
      </c>
      <c r="G14" s="13">
        <v>82596.990000000005</v>
      </c>
      <c r="H14" s="13">
        <v>84853.57</v>
      </c>
      <c r="I14" s="13">
        <v>91100.04</v>
      </c>
      <c r="J14" s="13">
        <v>79809.279999999999</v>
      </c>
      <c r="K14" s="14">
        <v>87545</v>
      </c>
      <c r="L14" s="128">
        <v>91927.14</v>
      </c>
      <c r="M14" s="14">
        <v>102817</v>
      </c>
      <c r="N14" s="128">
        <v>107503.62</v>
      </c>
      <c r="O14" s="14">
        <f>2023+101760</f>
        <v>103783</v>
      </c>
      <c r="P14" s="13">
        <v>55772.31</v>
      </c>
      <c r="Q14" s="14">
        <f>+S87</f>
        <v>131449.08899999998</v>
      </c>
      <c r="R14" s="19"/>
      <c r="S14" s="19"/>
      <c r="T14" s="352"/>
    </row>
    <row r="15" spans="1:20" x14ac:dyDescent="0.2">
      <c r="A15" s="779">
        <v>5142</v>
      </c>
      <c r="B15" s="60" t="s">
        <v>1146</v>
      </c>
      <c r="C15" s="116">
        <v>9209.4</v>
      </c>
      <c r="D15" s="13">
        <v>9918.3799999999992</v>
      </c>
      <c r="E15" s="13">
        <v>10383.99</v>
      </c>
      <c r="F15" s="13">
        <v>10222.549999999999</v>
      </c>
      <c r="G15" s="13">
        <v>8943.35</v>
      </c>
      <c r="H15" s="13">
        <v>9444.15</v>
      </c>
      <c r="I15" s="13">
        <v>9751.73</v>
      </c>
      <c r="J15" s="13">
        <v>13690.42</v>
      </c>
      <c r="K15" s="14">
        <f>4446+11000</f>
        <v>15446</v>
      </c>
      <c r="L15" s="128">
        <v>14574.36</v>
      </c>
      <c r="M15" s="14">
        <v>15446</v>
      </c>
      <c r="N15" s="128">
        <v>14734.4</v>
      </c>
      <c r="O15" s="14">
        <f>3718+15446</f>
        <v>19164</v>
      </c>
      <c r="P15" s="13">
        <v>9138.74</v>
      </c>
      <c r="Q15" s="14">
        <v>20000</v>
      </c>
      <c r="R15" s="19"/>
      <c r="S15" s="19"/>
      <c r="T15" s="345"/>
    </row>
    <row r="16" spans="1:20" x14ac:dyDescent="0.2">
      <c r="A16" s="779">
        <v>5143</v>
      </c>
      <c r="B16" s="60" t="s">
        <v>1147</v>
      </c>
      <c r="C16" s="116">
        <v>36513.300000000003</v>
      </c>
      <c r="D16" s="13">
        <v>45805.83</v>
      </c>
      <c r="E16" s="13">
        <v>52853.36</v>
      </c>
      <c r="F16" s="13">
        <v>55508.14</v>
      </c>
      <c r="G16" s="13">
        <v>52994.1</v>
      </c>
      <c r="H16" s="13">
        <v>52435.4</v>
      </c>
      <c r="I16" s="13">
        <v>54628.09</v>
      </c>
      <c r="J16" s="13">
        <v>57320.56</v>
      </c>
      <c r="K16" s="14">
        <f>ROUND(((((66546*1.01)*1.015)*1.005)*1.02),0)+2163</f>
        <v>72095</v>
      </c>
      <c r="L16" s="128">
        <v>68585.61</v>
      </c>
      <c r="M16" s="14">
        <v>72095</v>
      </c>
      <c r="N16" s="128">
        <v>69443.820000000007</v>
      </c>
      <c r="O16" s="14">
        <v>72095</v>
      </c>
      <c r="P16" s="13">
        <v>31408.41</v>
      </c>
      <c r="Q16" s="14">
        <f>ROUND(((((66546*1.01)*1.015)*1.005)*1.02),0)+2163</f>
        <v>72095</v>
      </c>
      <c r="R16" s="19"/>
      <c r="S16" s="19"/>
      <c r="T16" s="345"/>
    </row>
    <row r="17" spans="1:20" x14ac:dyDescent="0.2">
      <c r="A17" s="779">
        <v>5144</v>
      </c>
      <c r="B17" s="60" t="s">
        <v>27</v>
      </c>
      <c r="C17" s="116">
        <v>3200</v>
      </c>
      <c r="D17" s="13">
        <v>3200</v>
      </c>
      <c r="E17" s="13">
        <v>2900</v>
      </c>
      <c r="F17" s="13">
        <v>2900</v>
      </c>
      <c r="G17" s="13">
        <v>3000</v>
      </c>
      <c r="H17" s="13">
        <v>600</v>
      </c>
      <c r="I17" s="13">
        <v>600</v>
      </c>
      <c r="J17" s="13">
        <v>600</v>
      </c>
      <c r="K17" s="14">
        <v>600</v>
      </c>
      <c r="L17" s="128">
        <v>700</v>
      </c>
      <c r="M17" s="14">
        <v>700</v>
      </c>
      <c r="N17" s="128">
        <v>700</v>
      </c>
      <c r="O17" s="14">
        <v>700</v>
      </c>
      <c r="P17" s="13"/>
      <c r="Q17" s="14">
        <v>700</v>
      </c>
      <c r="R17" s="19"/>
      <c r="S17" s="19"/>
      <c r="T17" s="352"/>
    </row>
    <row r="18" spans="1:20" x14ac:dyDescent="0.2">
      <c r="A18" s="779">
        <v>5145</v>
      </c>
      <c r="B18" s="60" t="s">
        <v>1148</v>
      </c>
      <c r="C18" s="228">
        <v>2988.86</v>
      </c>
      <c r="D18" s="35">
        <v>3254.28</v>
      </c>
      <c r="E18" s="35">
        <v>3467.77</v>
      </c>
      <c r="F18" s="35">
        <v>3588.94</v>
      </c>
      <c r="G18" s="35">
        <v>3323.52</v>
      </c>
      <c r="H18" s="35">
        <v>3392.76</v>
      </c>
      <c r="I18" s="35">
        <v>4154.3999999999996</v>
      </c>
      <c r="J18" s="35">
        <v>4050.54</v>
      </c>
      <c r="K18" s="36">
        <v>3900</v>
      </c>
      <c r="L18" s="218">
        <v>4292.88</v>
      </c>
      <c r="M18" s="36">
        <v>4000</v>
      </c>
      <c r="N18" s="218">
        <v>4067.85</v>
      </c>
      <c r="O18" s="36">
        <v>4280</v>
      </c>
      <c r="P18" s="35">
        <v>2019.5</v>
      </c>
      <c r="Q18" s="36">
        <v>4280</v>
      </c>
      <c r="R18" s="19"/>
      <c r="S18" s="19"/>
      <c r="T18" s="345"/>
    </row>
    <row r="19" spans="1:20" x14ac:dyDescent="0.2">
      <c r="A19" s="779">
        <v>5147</v>
      </c>
      <c r="B19" s="12" t="s">
        <v>1149</v>
      </c>
      <c r="C19" s="35"/>
      <c r="D19" s="35"/>
      <c r="E19" s="35"/>
      <c r="F19" s="35"/>
      <c r="G19" s="35">
        <v>1013.8</v>
      </c>
      <c r="H19" s="35">
        <v>2457.08</v>
      </c>
      <c r="I19" s="35">
        <v>2121.6</v>
      </c>
      <c r="J19" s="35">
        <v>2513.2800000000002</v>
      </c>
      <c r="K19" s="36">
        <v>4000</v>
      </c>
      <c r="L19" s="218">
        <v>4036.48</v>
      </c>
      <c r="M19" s="36">
        <v>4000</v>
      </c>
      <c r="N19" s="218">
        <v>3960.32</v>
      </c>
      <c r="O19" s="36">
        <v>4000</v>
      </c>
      <c r="P19" s="35">
        <v>1904</v>
      </c>
      <c r="Q19" s="36">
        <v>4000</v>
      </c>
      <c r="R19" s="19"/>
      <c r="S19" s="19"/>
      <c r="T19" s="345"/>
    </row>
    <row r="20" spans="1:20" x14ac:dyDescent="0.2">
      <c r="A20" s="779">
        <v>5148</v>
      </c>
      <c r="B20" s="12" t="s">
        <v>1150</v>
      </c>
      <c r="C20" s="35"/>
      <c r="D20" s="35"/>
      <c r="E20" s="35"/>
      <c r="F20" s="35"/>
      <c r="G20" s="35"/>
      <c r="H20" s="35"/>
      <c r="I20" s="35"/>
      <c r="J20" s="35">
        <v>1487.7</v>
      </c>
      <c r="K20" s="36">
        <v>1500</v>
      </c>
      <c r="L20" s="218">
        <v>1524.81</v>
      </c>
      <c r="M20" s="36">
        <v>1500</v>
      </c>
      <c r="N20" s="218">
        <v>1487.82</v>
      </c>
      <c r="O20" s="36">
        <v>1500</v>
      </c>
      <c r="P20" s="35">
        <v>727.47</v>
      </c>
      <c r="Q20" s="36">
        <v>1500</v>
      </c>
      <c r="R20" s="19"/>
      <c r="S20" s="19"/>
      <c r="T20" s="345"/>
    </row>
    <row r="21" spans="1:20" x14ac:dyDescent="0.2">
      <c r="A21" s="779">
        <v>5149</v>
      </c>
      <c r="B21" s="12" t="s">
        <v>1001</v>
      </c>
      <c r="C21" s="35"/>
      <c r="D21" s="35"/>
      <c r="E21" s="35"/>
      <c r="F21" s="35"/>
      <c r="G21" s="35"/>
      <c r="H21" s="35"/>
      <c r="I21" s="35"/>
      <c r="J21" s="35">
        <v>3000</v>
      </c>
      <c r="K21" s="36">
        <v>3000</v>
      </c>
      <c r="L21" s="218">
        <v>3000</v>
      </c>
      <c r="M21" s="36">
        <v>3000</v>
      </c>
      <c r="N21" s="218">
        <v>3000</v>
      </c>
      <c r="O21" s="36">
        <v>3000</v>
      </c>
      <c r="P21" s="35"/>
      <c r="Q21" s="36">
        <v>3000</v>
      </c>
      <c r="R21" s="19"/>
      <c r="S21" s="19"/>
      <c r="T21" s="345"/>
    </row>
    <row r="22" spans="1:20" x14ac:dyDescent="0.2">
      <c r="A22" s="779">
        <v>5151</v>
      </c>
      <c r="B22" s="12" t="s">
        <v>1151</v>
      </c>
      <c r="C22" s="35">
        <v>44408.6</v>
      </c>
      <c r="D22" s="35">
        <v>8051.52</v>
      </c>
      <c r="E22" s="35">
        <v>7516.41</v>
      </c>
      <c r="F22" s="35"/>
      <c r="G22" s="35">
        <v>4270.1499999999996</v>
      </c>
      <c r="H22" s="35">
        <v>3071.99</v>
      </c>
      <c r="I22" s="35"/>
      <c r="J22" s="35">
        <v>52269.05</v>
      </c>
      <c r="K22" s="36"/>
      <c r="L22" s="218">
        <v>3606.56</v>
      </c>
      <c r="M22" s="36"/>
      <c r="N22" s="218"/>
      <c r="O22" s="36"/>
      <c r="P22" s="35"/>
      <c r="Q22" s="36"/>
      <c r="R22" s="19"/>
      <c r="S22" s="19"/>
      <c r="T22" s="345"/>
    </row>
    <row r="23" spans="1:20" x14ac:dyDescent="0.2">
      <c r="A23" s="779">
        <v>5152</v>
      </c>
      <c r="B23" s="12" t="s">
        <v>1152</v>
      </c>
      <c r="C23" s="35">
        <v>4330.43</v>
      </c>
      <c r="D23" s="35">
        <v>716.25</v>
      </c>
      <c r="E23" s="35">
        <v>751.63</v>
      </c>
      <c r="F23" s="35"/>
      <c r="G23" s="35">
        <v>427.02</v>
      </c>
      <c r="H23" s="35"/>
      <c r="I23" s="35"/>
      <c r="J23" s="35">
        <v>5226.9799999999996</v>
      </c>
      <c r="K23" s="36"/>
      <c r="L23" s="218">
        <v>378.65</v>
      </c>
      <c r="M23" s="36"/>
      <c r="N23" s="218"/>
      <c r="O23" s="36"/>
      <c r="P23" s="35"/>
      <c r="Q23" s="36"/>
      <c r="R23" s="19"/>
      <c r="S23" s="19"/>
      <c r="T23" s="345"/>
    </row>
    <row r="24" spans="1:20" x14ac:dyDescent="0.2">
      <c r="A24" s="779">
        <v>5153</v>
      </c>
      <c r="B24" s="12" t="s">
        <v>1153</v>
      </c>
      <c r="C24" s="35">
        <v>2110.3200000000002</v>
      </c>
      <c r="D24" s="35">
        <v>237.36</v>
      </c>
      <c r="E24" s="35">
        <v>249.28</v>
      </c>
      <c r="F24" s="35"/>
      <c r="G24" s="35">
        <v>251.76</v>
      </c>
      <c r="H24" s="35"/>
      <c r="I24" s="35"/>
      <c r="J24" s="35">
        <v>2385.92</v>
      </c>
      <c r="K24" s="36"/>
      <c r="L24" s="218"/>
      <c r="M24" s="36"/>
      <c r="N24" s="218"/>
      <c r="O24" s="36"/>
      <c r="P24" s="35"/>
      <c r="Q24" s="36"/>
      <c r="R24" s="19"/>
      <c r="S24" s="19"/>
      <c r="T24" s="345"/>
    </row>
    <row r="25" spans="1:20" x14ac:dyDescent="0.2">
      <c r="A25" s="779">
        <v>5191</v>
      </c>
      <c r="B25" s="12" t="s">
        <v>1154</v>
      </c>
      <c r="C25" s="35">
        <v>1250</v>
      </c>
      <c r="D25" s="35">
        <v>1250</v>
      </c>
      <c r="E25" s="35">
        <v>2000</v>
      </c>
      <c r="F25" s="35">
        <v>750</v>
      </c>
      <c r="G25" s="35">
        <v>1250</v>
      </c>
      <c r="H25" s="35">
        <v>1000</v>
      </c>
      <c r="I25" s="35">
        <v>2250</v>
      </c>
      <c r="J25" s="35">
        <v>5500</v>
      </c>
      <c r="K25" s="36">
        <v>7500</v>
      </c>
      <c r="L25" s="35">
        <v>2000</v>
      </c>
      <c r="M25" s="36">
        <v>7500</v>
      </c>
      <c r="N25" s="35">
        <v>4500</v>
      </c>
      <c r="O25" s="36">
        <v>7500</v>
      </c>
      <c r="P25" s="35"/>
      <c r="Q25" s="36">
        <v>8000</v>
      </c>
      <c r="R25" s="19"/>
      <c r="S25" s="19"/>
      <c r="T25" s="345"/>
    </row>
    <row r="26" spans="1:20" x14ac:dyDescent="0.2">
      <c r="A26" s="779">
        <v>5193</v>
      </c>
      <c r="B26" s="12" t="s">
        <v>1155</v>
      </c>
      <c r="C26" s="35"/>
      <c r="D26" s="35"/>
      <c r="E26" s="35"/>
      <c r="F26" s="35">
        <f>4273.95+3500</f>
        <v>7773.95</v>
      </c>
      <c r="G26" s="35">
        <f>9833.91+7000</f>
        <v>16833.91</v>
      </c>
      <c r="H26" s="35"/>
      <c r="I26" s="35"/>
      <c r="J26" s="35">
        <v>3270.01</v>
      </c>
      <c r="K26" s="36">
        <v>0</v>
      </c>
      <c r="L26" s="35">
        <f>11179.3+1705.88</f>
        <v>12885.18</v>
      </c>
      <c r="M26" s="36"/>
      <c r="N26" s="35">
        <v>3563.6</v>
      </c>
      <c r="O26" s="36"/>
      <c r="P26" s="35">
        <v>1999.35</v>
      </c>
      <c r="Q26" s="36">
        <v>0</v>
      </c>
      <c r="R26" s="19"/>
      <c r="S26" s="19"/>
      <c r="T26" s="345"/>
    </row>
    <row r="27" spans="1:20" ht="13.5" thickBot="1" x14ac:dyDescent="0.25">
      <c r="A27" s="779">
        <v>5195</v>
      </c>
      <c r="B27" s="12" t="s">
        <v>1156</v>
      </c>
      <c r="C27" s="35">
        <v>15543.38</v>
      </c>
      <c r="D27" s="35">
        <v>42221.279999999999</v>
      </c>
      <c r="E27" s="35">
        <v>32224.55</v>
      </c>
      <c r="F27" s="35">
        <v>29791.279999999999</v>
      </c>
      <c r="G27" s="35">
        <v>35389.57</v>
      </c>
      <c r="H27" s="35">
        <v>42189.93</v>
      </c>
      <c r="I27" s="35">
        <v>53020</v>
      </c>
      <c r="J27" s="35">
        <v>32183.26</v>
      </c>
      <c r="K27" s="36">
        <v>31800</v>
      </c>
      <c r="L27" s="35">
        <v>39531.949999999997</v>
      </c>
      <c r="M27" s="36">
        <v>43000</v>
      </c>
      <c r="N27" s="35">
        <v>37546.49</v>
      </c>
      <c r="O27" s="36">
        <v>43000</v>
      </c>
      <c r="P27" s="35">
        <v>23903.64</v>
      </c>
      <c r="Q27" s="36">
        <v>45000</v>
      </c>
      <c r="R27" s="19"/>
      <c r="S27" s="19"/>
      <c r="T27" s="352"/>
    </row>
    <row r="28" spans="1:20" x14ac:dyDescent="0.2">
      <c r="A28" s="779"/>
      <c r="B28" s="17" t="s">
        <v>828</v>
      </c>
      <c r="C28" s="30">
        <f t="shared" ref="C28:P28" si="0">SUM(C8:C27)</f>
        <v>1029078.94</v>
      </c>
      <c r="D28" s="30">
        <f t="shared" si="0"/>
        <v>1095168.05</v>
      </c>
      <c r="E28" s="30">
        <f t="shared" si="0"/>
        <v>1198306.2999999998</v>
      </c>
      <c r="F28" s="30">
        <f>SUM(F8:F27)</f>
        <v>1254040.6099999999</v>
      </c>
      <c r="G28" s="30">
        <f>SUM(G8:G27)</f>
        <v>1298780.04</v>
      </c>
      <c r="H28" s="30">
        <f>SUM(H8:H27)</f>
        <v>1131098.1000000001</v>
      </c>
      <c r="I28" s="30">
        <f t="shared" si="0"/>
        <v>1364602.48</v>
      </c>
      <c r="J28" s="30">
        <f t="shared" si="0"/>
        <v>1408085.23</v>
      </c>
      <c r="K28" s="31">
        <f>SUM(K8:K27)</f>
        <v>1468774</v>
      </c>
      <c r="L28" s="274">
        <f t="shared" ref="L28:O28" si="1">SUM(L8:L27)</f>
        <v>1437149.25</v>
      </c>
      <c r="M28" s="31">
        <f t="shared" si="1"/>
        <v>1572635</v>
      </c>
      <c r="N28" s="274">
        <f t="shared" si="1"/>
        <v>1504867.5700000003</v>
      </c>
      <c r="O28" s="31">
        <f t="shared" si="1"/>
        <v>1660074</v>
      </c>
      <c r="P28" s="30">
        <f t="shared" si="0"/>
        <v>753338.71000000008</v>
      </c>
      <c r="Q28" s="31">
        <f>SUM(Q8:Q27)</f>
        <v>1740694.0889999999</v>
      </c>
      <c r="R28" s="31">
        <f>+Q28</f>
        <v>1740694.0889999999</v>
      </c>
      <c r="S28" s="31">
        <f>+Q28</f>
        <v>1740694.0889999999</v>
      </c>
      <c r="T28" s="352"/>
    </row>
    <row r="29" spans="1:20" x14ac:dyDescent="0.2">
      <c r="A29" s="779"/>
      <c r="B29" s="12"/>
      <c r="C29" s="13"/>
      <c r="D29" s="13"/>
      <c r="E29" s="13"/>
      <c r="F29" s="13"/>
      <c r="G29" s="13"/>
      <c r="H29" s="13"/>
      <c r="I29" s="13"/>
      <c r="J29" s="13"/>
      <c r="K29" s="14"/>
      <c r="L29" s="128"/>
      <c r="M29" s="14"/>
      <c r="N29" s="128"/>
      <c r="O29" s="14"/>
      <c r="P29" s="13"/>
      <c r="Q29" s="14"/>
      <c r="R29" s="14"/>
      <c r="S29" s="14"/>
      <c r="T29" s="345"/>
    </row>
    <row r="30" spans="1:20" x14ac:dyDescent="0.2">
      <c r="A30" s="779">
        <v>5242</v>
      </c>
      <c r="B30" s="12" t="s">
        <v>1157</v>
      </c>
      <c r="C30" s="13">
        <v>1923.55</v>
      </c>
      <c r="D30" s="13">
        <v>1658.62</v>
      </c>
      <c r="E30" s="13">
        <v>1894.84</v>
      </c>
      <c r="F30" s="13">
        <v>1105.04</v>
      </c>
      <c r="G30" s="13">
        <v>534.73</v>
      </c>
      <c r="H30" s="13">
        <v>2307.02</v>
      </c>
      <c r="I30" s="128">
        <v>904.08</v>
      </c>
      <c r="J30" s="128">
        <v>1474.23</v>
      </c>
      <c r="K30" s="14">
        <v>1750</v>
      </c>
      <c r="L30" s="128">
        <v>1163.42</v>
      </c>
      <c r="M30" s="14">
        <v>1750</v>
      </c>
      <c r="N30" s="128">
        <v>874.74</v>
      </c>
      <c r="O30" s="14">
        <v>1750</v>
      </c>
      <c r="P30" s="13"/>
      <c r="Q30" s="14">
        <v>1750</v>
      </c>
      <c r="R30" s="14"/>
      <c r="S30" s="14"/>
      <c r="T30" s="345"/>
    </row>
    <row r="31" spans="1:20" x14ac:dyDescent="0.2">
      <c r="A31" s="779">
        <v>5247</v>
      </c>
      <c r="B31" s="12" t="s">
        <v>1158</v>
      </c>
      <c r="C31" s="13"/>
      <c r="D31" s="13"/>
      <c r="E31" s="13"/>
      <c r="F31" s="13"/>
      <c r="G31" s="13">
        <v>19764.91</v>
      </c>
      <c r="H31" s="13">
        <v>19447.28</v>
      </c>
      <c r="I31" s="128">
        <v>20346.37</v>
      </c>
      <c r="J31" s="128">
        <v>23499.32</v>
      </c>
      <c r="K31" s="14">
        <v>24000</v>
      </c>
      <c r="L31" s="128">
        <v>23751.75</v>
      </c>
      <c r="M31" s="14">
        <v>25100</v>
      </c>
      <c r="N31" s="128">
        <v>26198.38</v>
      </c>
      <c r="O31" s="14">
        <v>26000</v>
      </c>
      <c r="P31" s="13">
        <v>20578.66</v>
      </c>
      <c r="Q31" s="14">
        <v>31900</v>
      </c>
      <c r="R31" s="14"/>
      <c r="S31" s="14"/>
      <c r="T31" s="345"/>
    </row>
    <row r="32" spans="1:20" x14ac:dyDescent="0.2">
      <c r="A32" s="779">
        <v>5250</v>
      </c>
      <c r="B32" s="12" t="s">
        <v>1159</v>
      </c>
      <c r="C32" s="13">
        <v>27200.82</v>
      </c>
      <c r="D32" s="13">
        <v>21469.42</v>
      </c>
      <c r="E32" s="13">
        <v>28516.33</v>
      </c>
      <c r="F32" s="13">
        <v>22395.21</v>
      </c>
      <c r="G32" s="13">
        <v>7534.06</v>
      </c>
      <c r="H32" s="13">
        <v>8660.18</v>
      </c>
      <c r="I32" s="128">
        <v>8092.83</v>
      </c>
      <c r="J32" s="128">
        <v>10669.89</v>
      </c>
      <c r="K32" s="14">
        <v>11000</v>
      </c>
      <c r="L32" s="128">
        <v>15121.21</v>
      </c>
      <c r="M32" s="14">
        <v>11000</v>
      </c>
      <c r="N32" s="128">
        <v>11639.75</v>
      </c>
      <c r="O32" s="14">
        <f>2500+12000</f>
        <v>14500</v>
      </c>
      <c r="P32" s="13">
        <v>4228.7700000000004</v>
      </c>
      <c r="Q32" s="14">
        <v>15500</v>
      </c>
      <c r="R32" s="14"/>
      <c r="S32" s="14"/>
      <c r="T32" s="345"/>
    </row>
    <row r="33" spans="1:20" x14ac:dyDescent="0.2">
      <c r="A33" s="779">
        <v>5260</v>
      </c>
      <c r="B33" s="12" t="s">
        <v>1160</v>
      </c>
      <c r="C33" s="94"/>
      <c r="D33" s="94"/>
      <c r="E33" s="94"/>
      <c r="F33" s="94">
        <v>763.41</v>
      </c>
      <c r="G33" s="94">
        <v>694.8</v>
      </c>
      <c r="H33" s="94">
        <v>881.4</v>
      </c>
      <c r="I33" s="265">
        <v>877.5</v>
      </c>
      <c r="J33" s="265">
        <v>6441.39</v>
      </c>
      <c r="K33" s="32">
        <v>1360</v>
      </c>
      <c r="L33" s="265">
        <v>936.82</v>
      </c>
      <c r="M33" s="32">
        <v>1360</v>
      </c>
      <c r="N33" s="265">
        <v>1170</v>
      </c>
      <c r="O33" s="32">
        <v>1360</v>
      </c>
      <c r="P33" s="94">
        <v>660</v>
      </c>
      <c r="Q33" s="32">
        <v>1360</v>
      </c>
      <c r="R33" s="32"/>
      <c r="S33" s="14"/>
      <c r="T33" s="345"/>
    </row>
    <row r="34" spans="1:20" x14ac:dyDescent="0.2">
      <c r="A34" s="779">
        <v>5314</v>
      </c>
      <c r="B34" s="12" t="s">
        <v>1161</v>
      </c>
      <c r="C34" s="94"/>
      <c r="D34" s="94"/>
      <c r="E34" s="94"/>
      <c r="F34" s="94"/>
      <c r="G34" s="94"/>
      <c r="H34" s="94">
        <v>4655.99</v>
      </c>
      <c r="I34" s="265">
        <v>6174</v>
      </c>
      <c r="J34" s="265">
        <v>5471</v>
      </c>
      <c r="K34" s="32">
        <v>6000</v>
      </c>
      <c r="L34" s="265">
        <v>17151</v>
      </c>
      <c r="M34" s="32">
        <v>8000</v>
      </c>
      <c r="N34" s="265">
        <v>4390</v>
      </c>
      <c r="O34" s="32">
        <v>8000</v>
      </c>
      <c r="P34" s="94">
        <v>2252</v>
      </c>
      <c r="Q34" s="32">
        <v>6000</v>
      </c>
      <c r="R34" s="32"/>
      <c r="S34" s="14"/>
      <c r="T34" s="345"/>
    </row>
    <row r="35" spans="1:20" x14ac:dyDescent="0.2">
      <c r="A35" s="779">
        <v>5315</v>
      </c>
      <c r="B35" s="12" t="s">
        <v>1162</v>
      </c>
      <c r="C35" s="94">
        <v>11637.02</v>
      </c>
      <c r="D35" s="94">
        <v>0</v>
      </c>
      <c r="E35" s="94">
        <v>3445.6</v>
      </c>
      <c r="F35" s="94">
        <v>11061.07</v>
      </c>
      <c r="G35" s="94">
        <v>4170.46</v>
      </c>
      <c r="H35" s="94">
        <v>5244.13</v>
      </c>
      <c r="I35" s="265">
        <v>5004.57</v>
      </c>
      <c r="J35" s="265">
        <v>7361.18</v>
      </c>
      <c r="K35" s="32">
        <v>0</v>
      </c>
      <c r="L35" s="265"/>
      <c r="M35" s="32">
        <v>0</v>
      </c>
      <c r="N35" s="265">
        <v>5469.3</v>
      </c>
      <c r="O35" s="32">
        <v>0</v>
      </c>
      <c r="P35" s="94"/>
      <c r="Q35" s="32">
        <v>0</v>
      </c>
      <c r="R35" s="32"/>
      <c r="S35" s="14"/>
      <c r="T35" s="345"/>
    </row>
    <row r="36" spans="1:20" x14ac:dyDescent="0.2">
      <c r="A36" s="779">
        <v>5318</v>
      </c>
      <c r="B36" s="12" t="s">
        <v>1163</v>
      </c>
      <c r="C36" s="13">
        <v>389.48</v>
      </c>
      <c r="D36" s="13">
        <v>414.14</v>
      </c>
      <c r="E36" s="13">
        <v>251.14</v>
      </c>
      <c r="F36" s="13">
        <v>152.4</v>
      </c>
      <c r="G36" s="13">
        <v>25.17</v>
      </c>
      <c r="H36" s="13">
        <v>58.05</v>
      </c>
      <c r="I36" s="128">
        <v>5.34</v>
      </c>
      <c r="J36" s="128">
        <v>48.52</v>
      </c>
      <c r="K36" s="14">
        <v>300</v>
      </c>
      <c r="L36" s="128">
        <v>13.34</v>
      </c>
      <c r="M36" s="14">
        <v>300</v>
      </c>
      <c r="N36" s="128"/>
      <c r="O36" s="14">
        <v>300</v>
      </c>
      <c r="P36" s="13"/>
      <c r="Q36" s="14">
        <v>300</v>
      </c>
      <c r="R36" s="14"/>
      <c r="S36" s="14"/>
      <c r="T36" s="345"/>
    </row>
    <row r="37" spans="1:20" x14ac:dyDescent="0.2">
      <c r="A37" s="779">
        <v>5319</v>
      </c>
      <c r="B37" s="12" t="s">
        <v>1164</v>
      </c>
      <c r="C37" s="13">
        <v>377</v>
      </c>
      <c r="D37" s="13">
        <v>365</v>
      </c>
      <c r="E37" s="13">
        <v>225</v>
      </c>
      <c r="F37" s="13">
        <v>197</v>
      </c>
      <c r="G37" s="13">
        <v>107</v>
      </c>
      <c r="H37" s="13">
        <v>70</v>
      </c>
      <c r="I37" s="128">
        <v>160</v>
      </c>
      <c r="J37" s="128">
        <v>150</v>
      </c>
      <c r="K37" s="14">
        <v>300</v>
      </c>
      <c r="L37" s="128">
        <v>80</v>
      </c>
      <c r="M37" s="14">
        <v>300</v>
      </c>
      <c r="N37" s="128">
        <v>60</v>
      </c>
      <c r="O37" s="14">
        <v>300</v>
      </c>
      <c r="P37" s="13">
        <v>30</v>
      </c>
      <c r="Q37" s="14">
        <v>300</v>
      </c>
      <c r="R37" s="14"/>
      <c r="S37" s="14"/>
      <c r="T37" s="345"/>
    </row>
    <row r="38" spans="1:20" x14ac:dyDescent="0.2">
      <c r="A38" s="779">
        <v>5341</v>
      </c>
      <c r="B38" s="12" t="s">
        <v>862</v>
      </c>
      <c r="C38" s="13">
        <v>9988.5499999999993</v>
      </c>
      <c r="D38" s="13">
        <v>9838.16</v>
      </c>
      <c r="E38" s="13">
        <v>9610.84</v>
      </c>
      <c r="F38" s="13">
        <v>9829.93</v>
      </c>
      <c r="G38" s="13">
        <v>9619.1299999999992</v>
      </c>
      <c r="H38" s="13">
        <v>9346.1299999999992</v>
      </c>
      <c r="I38" s="128">
        <v>9830.56</v>
      </c>
      <c r="J38" s="128">
        <v>10255.549999999999</v>
      </c>
      <c r="K38" s="14">
        <v>10000</v>
      </c>
      <c r="L38" s="128">
        <v>10792.73</v>
      </c>
      <c r="M38" s="14">
        <v>10500</v>
      </c>
      <c r="N38" s="128">
        <v>11449.75</v>
      </c>
      <c r="O38" s="14">
        <v>10800</v>
      </c>
      <c r="P38" s="13">
        <v>5339.6</v>
      </c>
      <c r="Q38" s="14">
        <v>12000</v>
      </c>
      <c r="R38" s="14"/>
      <c r="S38" s="14"/>
      <c r="T38" s="345"/>
    </row>
    <row r="39" spans="1:20" x14ac:dyDescent="0.2">
      <c r="A39" s="779">
        <v>5344</v>
      </c>
      <c r="B39" s="12" t="s">
        <v>832</v>
      </c>
      <c r="C39" s="13">
        <v>485.47</v>
      </c>
      <c r="D39" s="13">
        <v>433.04</v>
      </c>
      <c r="E39" s="13">
        <v>431.03</v>
      </c>
      <c r="F39" s="13">
        <v>502.45</v>
      </c>
      <c r="G39" s="13">
        <v>403.99</v>
      </c>
      <c r="H39" s="13">
        <v>479.52</v>
      </c>
      <c r="I39" s="128">
        <v>516.46</v>
      </c>
      <c r="J39" s="128">
        <v>543.54</v>
      </c>
      <c r="K39" s="14">
        <v>500</v>
      </c>
      <c r="L39" s="128">
        <v>462.24</v>
      </c>
      <c r="M39" s="14">
        <v>550</v>
      </c>
      <c r="N39" s="128">
        <v>398.32</v>
      </c>
      <c r="O39" s="14">
        <v>550</v>
      </c>
      <c r="P39" s="13">
        <v>200</v>
      </c>
      <c r="Q39" s="14">
        <v>550</v>
      </c>
      <c r="R39" s="14"/>
      <c r="S39" s="14"/>
      <c r="T39" s="345"/>
    </row>
    <row r="40" spans="1:20" x14ac:dyDescent="0.2">
      <c r="A40" s="779">
        <v>5345</v>
      </c>
      <c r="B40" s="12" t="s">
        <v>863</v>
      </c>
      <c r="C40" s="13">
        <v>60</v>
      </c>
      <c r="D40" s="13">
        <v>312.44</v>
      </c>
      <c r="E40" s="13">
        <v>834.4</v>
      </c>
      <c r="F40" s="13">
        <v>0</v>
      </c>
      <c r="G40" s="13">
        <v>447</v>
      </c>
      <c r="H40" s="13">
        <v>319.68</v>
      </c>
      <c r="I40" s="128">
        <v>394.04</v>
      </c>
      <c r="J40" s="128">
        <v>448.28</v>
      </c>
      <c r="K40" s="14">
        <v>500</v>
      </c>
      <c r="L40" s="128">
        <v>731.44</v>
      </c>
      <c r="M40" s="14">
        <v>500</v>
      </c>
      <c r="N40" s="128">
        <v>318.75</v>
      </c>
      <c r="O40" s="14">
        <v>500</v>
      </c>
      <c r="P40" s="13">
        <v>1176</v>
      </c>
      <c r="Q40" s="14">
        <v>500</v>
      </c>
      <c r="R40" s="14"/>
      <c r="S40" s="14"/>
      <c r="T40" s="345"/>
    </row>
    <row r="41" spans="1:20" x14ac:dyDescent="0.2">
      <c r="A41" s="779">
        <v>5350</v>
      </c>
      <c r="B41" s="12" t="s">
        <v>1061</v>
      </c>
      <c r="C41" s="18">
        <v>4888</v>
      </c>
      <c r="D41" s="18">
        <v>8902</v>
      </c>
      <c r="E41" s="18">
        <v>2516</v>
      </c>
      <c r="F41" s="18">
        <v>12259</v>
      </c>
      <c r="G41" s="18">
        <v>996</v>
      </c>
      <c r="H41" s="18">
        <v>1754</v>
      </c>
      <c r="I41" s="112">
        <v>15284</v>
      </c>
      <c r="J41" s="112">
        <v>1592</v>
      </c>
      <c r="K41" s="19">
        <v>2100</v>
      </c>
      <c r="L41" s="112">
        <v>1219</v>
      </c>
      <c r="M41" s="19">
        <v>2100</v>
      </c>
      <c r="N41" s="112">
        <v>696</v>
      </c>
      <c r="O41" s="19">
        <f>7800+2100</f>
        <v>9900</v>
      </c>
      <c r="P41" s="18">
        <v>8123.55</v>
      </c>
      <c r="Q41" s="19">
        <v>2100</v>
      </c>
      <c r="R41" s="19"/>
      <c r="S41" s="19"/>
      <c r="T41" s="345"/>
    </row>
    <row r="42" spans="1:20" x14ac:dyDescent="0.2">
      <c r="A42" s="779">
        <v>5451</v>
      </c>
      <c r="B42" s="12" t="s">
        <v>1165</v>
      </c>
      <c r="C42" s="18">
        <v>151.84</v>
      </c>
      <c r="D42" s="18">
        <v>313.04000000000002</v>
      </c>
      <c r="E42" s="18">
        <v>240.78</v>
      </c>
      <c r="F42" s="18">
        <v>112.75</v>
      </c>
      <c r="G42" s="18">
        <v>139.61000000000001</v>
      </c>
      <c r="H42" s="18">
        <v>260.10000000000002</v>
      </c>
      <c r="I42" s="112">
        <v>104.27</v>
      </c>
      <c r="J42" s="112">
        <v>265.44</v>
      </c>
      <c r="K42" s="19">
        <v>300</v>
      </c>
      <c r="L42" s="112">
        <v>247.13</v>
      </c>
      <c r="M42" s="19">
        <v>300</v>
      </c>
      <c r="N42" s="112">
        <v>476.76</v>
      </c>
      <c r="O42" s="19">
        <v>300</v>
      </c>
      <c r="P42" s="18"/>
      <c r="Q42" s="19">
        <v>500</v>
      </c>
      <c r="R42" s="19"/>
      <c r="S42" s="19"/>
      <c r="T42" s="345"/>
    </row>
    <row r="43" spans="1:20" x14ac:dyDescent="0.2">
      <c r="A43" s="779">
        <v>5480</v>
      </c>
      <c r="B43" s="12" t="s">
        <v>1166</v>
      </c>
      <c r="C43" s="18">
        <f>68522.52-C44</f>
        <v>31988.520000000004</v>
      </c>
      <c r="D43" s="18">
        <v>20804.080000000002</v>
      </c>
      <c r="E43" s="18">
        <v>25094.28</v>
      </c>
      <c r="F43" s="18">
        <v>18000.5</v>
      </c>
      <c r="G43" s="18">
        <v>31258.58</v>
      </c>
      <c r="H43" s="18">
        <v>25831.08</v>
      </c>
      <c r="I43" s="112">
        <f>1137.74+23649.64</f>
        <v>24787.38</v>
      </c>
      <c r="J43" s="112">
        <v>31019.71</v>
      </c>
      <c r="K43" s="19">
        <v>26000</v>
      </c>
      <c r="L43" s="112">
        <v>31171.32</v>
      </c>
      <c r="M43" s="19">
        <v>27000</v>
      </c>
      <c r="N43" s="112">
        <v>29814.85</v>
      </c>
      <c r="O43" s="19">
        <v>28000</v>
      </c>
      <c r="P43" s="18">
        <v>12371.72</v>
      </c>
      <c r="Q43" s="19">
        <v>30000</v>
      </c>
      <c r="R43" s="19"/>
      <c r="S43" s="19"/>
      <c r="T43" s="345"/>
    </row>
    <row r="44" spans="1:20" x14ac:dyDescent="0.2">
      <c r="A44" s="779">
        <v>5481</v>
      </c>
      <c r="B44" s="12" t="s">
        <v>1167</v>
      </c>
      <c r="C44" s="18">
        <v>36534</v>
      </c>
      <c r="D44" s="18">
        <v>40525.1</v>
      </c>
      <c r="E44" s="18">
        <v>37560.18</v>
      </c>
      <c r="F44" s="18">
        <v>24219.75</v>
      </c>
      <c r="G44" s="18">
        <v>26119.52</v>
      </c>
      <c r="H44" s="18">
        <v>30176.73</v>
      </c>
      <c r="I44" s="112">
        <v>28160.62</v>
      </c>
      <c r="J44" s="112">
        <v>24111.4</v>
      </c>
      <c r="K44" s="19">
        <v>30000</v>
      </c>
      <c r="L44" s="112">
        <v>20704.87</v>
      </c>
      <c r="M44" s="19">
        <v>28000</v>
      </c>
      <c r="N44" s="112">
        <v>33592.53</v>
      </c>
      <c r="O44" s="19">
        <v>33000</v>
      </c>
      <c r="P44" s="18">
        <v>14159.93</v>
      </c>
      <c r="Q44" s="19">
        <v>34000</v>
      </c>
      <c r="R44" s="19"/>
      <c r="S44" s="19"/>
      <c r="T44" s="345"/>
    </row>
    <row r="45" spans="1:20" hidden="1" x14ac:dyDescent="0.2">
      <c r="A45" s="779">
        <v>5501</v>
      </c>
      <c r="B45" s="12" t="s">
        <v>1168</v>
      </c>
      <c r="C45" s="13"/>
      <c r="D45" s="18">
        <v>1000</v>
      </c>
      <c r="E45" s="18"/>
      <c r="F45" s="18">
        <v>230</v>
      </c>
      <c r="G45" s="18">
        <v>1000</v>
      </c>
      <c r="H45" s="18">
        <v>1200</v>
      </c>
      <c r="I45" s="112">
        <v>500</v>
      </c>
      <c r="J45" s="112"/>
      <c r="K45" s="19">
        <v>0</v>
      </c>
      <c r="L45" s="112"/>
      <c r="M45" s="19">
        <v>0</v>
      </c>
      <c r="N45" s="112"/>
      <c r="O45" s="19">
        <v>0</v>
      </c>
      <c r="P45" s="13"/>
      <c r="Q45" s="19">
        <v>0</v>
      </c>
      <c r="R45" s="19"/>
      <c r="S45" s="19"/>
      <c r="T45" s="345"/>
    </row>
    <row r="46" spans="1:20" x14ac:dyDescent="0.2">
      <c r="A46" s="779">
        <v>5580</v>
      </c>
      <c r="B46" s="12" t="s">
        <v>1169</v>
      </c>
      <c r="C46" s="13">
        <v>17942.53</v>
      </c>
      <c r="D46" s="13">
        <v>17659.2</v>
      </c>
      <c r="E46" s="13">
        <v>20857.36</v>
      </c>
      <c r="F46" s="13">
        <v>13576.91</v>
      </c>
      <c r="G46" s="13">
        <v>16470.63</v>
      </c>
      <c r="H46" s="13">
        <v>18033.55</v>
      </c>
      <c r="I46" s="128">
        <v>12767.34</v>
      </c>
      <c r="J46" s="128">
        <v>13246.1</v>
      </c>
      <c r="K46" s="14">
        <v>13000</v>
      </c>
      <c r="L46" s="128">
        <v>12447.67</v>
      </c>
      <c r="M46" s="14">
        <v>15000</v>
      </c>
      <c r="N46" s="128">
        <v>19248.95</v>
      </c>
      <c r="O46" s="14">
        <f>2500+13500</f>
        <v>16000</v>
      </c>
      <c r="P46" s="13">
        <v>4667.01</v>
      </c>
      <c r="Q46" s="14">
        <v>17000</v>
      </c>
      <c r="R46" s="14"/>
      <c r="S46" s="14"/>
      <c r="T46" s="345"/>
    </row>
    <row r="47" spans="1:20" x14ac:dyDescent="0.2">
      <c r="A47" s="779">
        <v>5581</v>
      </c>
      <c r="B47" s="12" t="s">
        <v>866</v>
      </c>
      <c r="C47" s="13">
        <v>22.95</v>
      </c>
      <c r="D47" s="13">
        <v>144.53</v>
      </c>
      <c r="E47" s="13">
        <v>40</v>
      </c>
      <c r="F47" s="13">
        <v>102.95</v>
      </c>
      <c r="G47" s="13">
        <v>40</v>
      </c>
      <c r="H47" s="13">
        <v>69.95</v>
      </c>
      <c r="I47" s="128">
        <v>421.99</v>
      </c>
      <c r="J47" s="128">
        <v>360.13</v>
      </c>
      <c r="K47" s="14">
        <v>400</v>
      </c>
      <c r="L47" s="128">
        <v>394.04</v>
      </c>
      <c r="M47" s="14">
        <v>400</v>
      </c>
      <c r="N47" s="128">
        <v>364.07</v>
      </c>
      <c r="O47" s="14">
        <v>400</v>
      </c>
      <c r="P47" s="13">
        <v>96</v>
      </c>
      <c r="Q47" s="14">
        <v>600</v>
      </c>
      <c r="R47" s="14"/>
      <c r="S47" s="14"/>
      <c r="T47" s="345"/>
    </row>
    <row r="48" spans="1:20" x14ac:dyDescent="0.2">
      <c r="A48" s="779">
        <v>5582</v>
      </c>
      <c r="B48" s="12" t="s">
        <v>1170</v>
      </c>
      <c r="C48" s="13">
        <v>13164.59</v>
      </c>
      <c r="D48" s="13">
        <v>14612.48</v>
      </c>
      <c r="E48" s="13">
        <v>13045.12</v>
      </c>
      <c r="F48" s="13">
        <v>12402.15</v>
      </c>
      <c r="G48" s="13">
        <v>14172.92</v>
      </c>
      <c r="H48" s="13">
        <v>16609.28</v>
      </c>
      <c r="I48" s="128">
        <v>16186.66</v>
      </c>
      <c r="J48" s="128">
        <v>15520.73</v>
      </c>
      <c r="K48" s="14">
        <f>14900+(16*200)</f>
        <v>18100</v>
      </c>
      <c r="L48" s="128">
        <v>16316.63</v>
      </c>
      <c r="M48" s="14">
        <f>14900+(16*200)</f>
        <v>18100</v>
      </c>
      <c r="N48" s="128">
        <v>18279.23</v>
      </c>
      <c r="O48" s="14">
        <f>3200+19000</f>
        <v>22200</v>
      </c>
      <c r="P48" s="13">
        <v>11975.99</v>
      </c>
      <c r="Q48" s="14">
        <v>22200</v>
      </c>
      <c r="R48" s="14"/>
      <c r="S48" s="14"/>
      <c r="T48" s="345"/>
    </row>
    <row r="49" spans="1:20" x14ac:dyDescent="0.2">
      <c r="A49" s="779">
        <v>5585</v>
      </c>
      <c r="B49" s="12" t="s">
        <v>1171</v>
      </c>
      <c r="C49" s="18"/>
      <c r="D49" s="13">
        <v>8296</v>
      </c>
      <c r="E49" s="13">
        <v>5859.25</v>
      </c>
      <c r="F49" s="13">
        <v>3333.42</v>
      </c>
      <c r="G49" s="13">
        <v>4047.07</v>
      </c>
      <c r="H49" s="13">
        <v>4091.88</v>
      </c>
      <c r="I49" s="128">
        <v>5826.01</v>
      </c>
      <c r="J49" s="128">
        <v>5845.61</v>
      </c>
      <c r="K49" s="14">
        <v>5900</v>
      </c>
      <c r="L49" s="128">
        <v>5987.7</v>
      </c>
      <c r="M49" s="14">
        <v>5900</v>
      </c>
      <c r="N49" s="128">
        <v>5790.94</v>
      </c>
      <c r="O49" s="14">
        <v>5900</v>
      </c>
      <c r="P49" s="13">
        <v>4812.29</v>
      </c>
      <c r="Q49" s="14">
        <v>6100</v>
      </c>
      <c r="R49" s="14"/>
      <c r="S49" s="14"/>
      <c r="T49" s="345"/>
    </row>
    <row r="50" spans="1:20" x14ac:dyDescent="0.2">
      <c r="A50" s="779">
        <v>5710</v>
      </c>
      <c r="B50" s="12" t="s">
        <v>869</v>
      </c>
      <c r="C50" s="18">
        <v>4091</v>
      </c>
      <c r="D50" s="13">
        <v>4364.99</v>
      </c>
      <c r="E50" s="13">
        <v>2125.65</v>
      </c>
      <c r="F50" s="13">
        <v>2348.25</v>
      </c>
      <c r="G50" s="13">
        <v>8302.5300000000007</v>
      </c>
      <c r="H50" s="13">
        <v>1694.36</v>
      </c>
      <c r="I50" s="128">
        <v>2004.48</v>
      </c>
      <c r="J50" s="128">
        <v>1043.44</v>
      </c>
      <c r="K50" s="14">
        <v>1900</v>
      </c>
      <c r="L50" s="112">
        <v>1450.93</v>
      </c>
      <c r="M50" s="14">
        <v>1900</v>
      </c>
      <c r="N50" s="112">
        <v>2514.58</v>
      </c>
      <c r="O50" s="14">
        <v>1900</v>
      </c>
      <c r="P50" s="18">
        <v>645</v>
      </c>
      <c r="Q50" s="14">
        <v>2500</v>
      </c>
      <c r="R50" s="14"/>
      <c r="S50" s="14"/>
      <c r="T50" s="345"/>
    </row>
    <row r="51" spans="1:20" x14ac:dyDescent="0.2">
      <c r="A51" s="779">
        <v>5730</v>
      </c>
      <c r="B51" s="12" t="s">
        <v>870</v>
      </c>
      <c r="C51" s="13">
        <v>1430</v>
      </c>
      <c r="D51" s="18">
        <v>1708</v>
      </c>
      <c r="E51" s="18">
        <v>1620</v>
      </c>
      <c r="F51" s="18">
        <v>1770</v>
      </c>
      <c r="G51" s="18">
        <v>2159</v>
      </c>
      <c r="H51" s="18">
        <v>1519</v>
      </c>
      <c r="I51" s="112">
        <v>1945</v>
      </c>
      <c r="J51" s="112">
        <v>2324</v>
      </c>
      <c r="K51" s="19">
        <v>2450</v>
      </c>
      <c r="L51" s="112">
        <v>2623</v>
      </c>
      <c r="M51" s="19">
        <v>2450</v>
      </c>
      <c r="N51" s="112">
        <v>2218</v>
      </c>
      <c r="O51" s="19">
        <v>2700</v>
      </c>
      <c r="P51" s="18">
        <v>750</v>
      </c>
      <c r="Q51" s="19">
        <v>2700</v>
      </c>
      <c r="R51" s="19"/>
      <c r="S51" s="19"/>
      <c r="T51" s="345"/>
    </row>
    <row r="52" spans="1:20" hidden="1" x14ac:dyDescent="0.2">
      <c r="A52" s="779"/>
      <c r="B52" s="12" t="s">
        <v>1172</v>
      </c>
      <c r="C52" s="35"/>
      <c r="D52" s="28"/>
      <c r="E52" s="28"/>
      <c r="F52" s="28"/>
      <c r="G52" s="28"/>
      <c r="H52" s="28"/>
      <c r="I52" s="272"/>
      <c r="J52" s="272"/>
      <c r="K52" s="29"/>
      <c r="L52" s="272">
        <v>980.4</v>
      </c>
      <c r="M52" s="29"/>
      <c r="N52" s="272"/>
      <c r="O52" s="29"/>
      <c r="P52" s="28"/>
      <c r="Q52" s="29"/>
      <c r="R52" s="29"/>
      <c r="S52" s="29"/>
      <c r="T52" s="345"/>
    </row>
    <row r="53" spans="1:20" ht="13.5" thickBot="1" x14ac:dyDescent="0.25">
      <c r="A53" s="779">
        <v>5740</v>
      </c>
      <c r="B53" s="12" t="s">
        <v>984</v>
      </c>
      <c r="C53" s="15">
        <v>11660</v>
      </c>
      <c r="D53" s="15">
        <v>15136</v>
      </c>
      <c r="E53" s="15">
        <v>18476</v>
      </c>
      <c r="F53" s="15">
        <v>21860</v>
      </c>
      <c r="G53" s="15">
        <v>23865</v>
      </c>
      <c r="H53" s="15">
        <v>25405</v>
      </c>
      <c r="I53" s="218">
        <v>26001</v>
      </c>
      <c r="J53" s="218">
        <v>25549</v>
      </c>
      <c r="K53" s="36">
        <v>27903</v>
      </c>
      <c r="L53" s="218">
        <v>26736</v>
      </c>
      <c r="M53" s="36">
        <v>28800</v>
      </c>
      <c r="N53" s="218">
        <v>33103</v>
      </c>
      <c r="O53" s="36">
        <v>34000</v>
      </c>
      <c r="P53" s="35">
        <v>38654</v>
      </c>
      <c r="Q53" s="36">
        <v>41500</v>
      </c>
      <c r="R53" s="36"/>
      <c r="S53" s="36"/>
      <c r="T53" s="345"/>
    </row>
    <row r="54" spans="1:20" x14ac:dyDescent="0.2">
      <c r="A54" s="779"/>
      <c r="B54" s="17" t="s">
        <v>838</v>
      </c>
      <c r="C54" s="28">
        <f t="shared" ref="C54:Q54" si="2">SUM(C30:C53)</f>
        <v>173935.32</v>
      </c>
      <c r="D54" s="28">
        <f t="shared" si="2"/>
        <v>167956.24</v>
      </c>
      <c r="E54" s="28">
        <f t="shared" si="2"/>
        <v>172643.79999999996</v>
      </c>
      <c r="F54" s="28">
        <f t="shared" si="2"/>
        <v>156222.19</v>
      </c>
      <c r="G54" s="28">
        <f t="shared" si="2"/>
        <v>171872.11000000002</v>
      </c>
      <c r="H54" s="28">
        <f t="shared" si="2"/>
        <v>178114.31</v>
      </c>
      <c r="I54" s="30">
        <f t="shared" si="2"/>
        <v>186294.50000000003</v>
      </c>
      <c r="J54" s="30">
        <f t="shared" ref="J54" si="3">SUM(J30:J53)</f>
        <v>187240.46</v>
      </c>
      <c r="K54" s="182">
        <f t="shared" si="2"/>
        <v>183763</v>
      </c>
      <c r="L54" s="30">
        <f t="shared" si="2"/>
        <v>190482.64</v>
      </c>
      <c r="M54" s="182">
        <f t="shared" ref="M54" si="4">SUM(M30:M53)</f>
        <v>189310</v>
      </c>
      <c r="N54" s="30">
        <f t="shared" ref="N54" si="5">SUM(N30:N53)</f>
        <v>208067.90000000002</v>
      </c>
      <c r="O54" s="182">
        <f t="shared" ref="O54" si="6">SUM(O30:O53)</f>
        <v>218360</v>
      </c>
      <c r="P54" s="30">
        <f t="shared" si="2"/>
        <v>130720.52</v>
      </c>
      <c r="Q54" s="182">
        <f t="shared" si="2"/>
        <v>229360</v>
      </c>
      <c r="R54" s="182">
        <f>+Q54</f>
        <v>229360</v>
      </c>
      <c r="S54" s="182">
        <f>+Q54</f>
        <v>229360</v>
      </c>
      <c r="T54" s="345"/>
    </row>
    <row r="55" spans="1:20" x14ac:dyDescent="0.2">
      <c r="A55" s="779"/>
      <c r="B55" s="12"/>
      <c r="C55" s="35"/>
      <c r="D55" s="35"/>
      <c r="E55" s="35"/>
      <c r="F55" s="35"/>
      <c r="G55" s="35"/>
      <c r="H55" s="35"/>
      <c r="I55" s="35"/>
      <c r="J55" s="35"/>
      <c r="K55" s="36"/>
      <c r="L55" s="35"/>
      <c r="M55" s="36"/>
      <c r="N55" s="35"/>
      <c r="O55" s="36"/>
      <c r="P55" s="35"/>
      <c r="Q55" s="36"/>
      <c r="R55" s="36"/>
      <c r="S55" s="36"/>
      <c r="T55" s="345"/>
    </row>
    <row r="56" spans="1:20" ht="13.5" thickBot="1" x14ac:dyDescent="0.25">
      <c r="A56" s="779">
        <v>5800</v>
      </c>
      <c r="B56" s="12" t="s">
        <v>538</v>
      </c>
      <c r="C56" s="15">
        <v>36895.4</v>
      </c>
      <c r="D56" s="15">
        <v>39483.5</v>
      </c>
      <c r="E56" s="15">
        <v>39102.5</v>
      </c>
      <c r="F56" s="15">
        <v>39498.1</v>
      </c>
      <c r="G56" s="15">
        <v>39500</v>
      </c>
      <c r="H56" s="15">
        <v>41424</v>
      </c>
      <c r="I56" s="15">
        <v>34000</v>
      </c>
      <c r="J56" s="15">
        <v>51600</v>
      </c>
      <c r="K56" s="16">
        <v>53000</v>
      </c>
      <c r="L56" s="15">
        <v>22900</v>
      </c>
      <c r="M56" s="16">
        <v>53000</v>
      </c>
      <c r="N56" s="15">
        <v>44982.74</v>
      </c>
      <c r="O56" s="16">
        <v>54000</v>
      </c>
      <c r="P56" s="15"/>
      <c r="Q56" s="16">
        <v>68100</v>
      </c>
      <c r="R56" s="16"/>
      <c r="S56" s="16">
        <f>+Q56</f>
        <v>68100</v>
      </c>
      <c r="T56" s="345"/>
    </row>
    <row r="57" spans="1:20" x14ac:dyDescent="0.2">
      <c r="A57" s="779"/>
      <c r="B57" s="17" t="s">
        <v>952</v>
      </c>
      <c r="C57" s="18">
        <f t="shared" ref="C57:Q57" si="7">SUM(C56:C56)</f>
        <v>36895.4</v>
      </c>
      <c r="D57" s="18">
        <f t="shared" si="7"/>
        <v>39483.5</v>
      </c>
      <c r="E57" s="18">
        <f t="shared" si="7"/>
        <v>39102.5</v>
      </c>
      <c r="F57" s="18">
        <f>+F56</f>
        <v>39498.1</v>
      </c>
      <c r="G57" s="18">
        <f>+G56</f>
        <v>39500</v>
      </c>
      <c r="H57" s="18">
        <f>+H56</f>
        <v>41424</v>
      </c>
      <c r="I57" s="18">
        <f t="shared" si="7"/>
        <v>34000</v>
      </c>
      <c r="J57" s="18">
        <f t="shared" ref="J57" si="8">SUM(J56:J56)</f>
        <v>51600</v>
      </c>
      <c r="K57" s="34">
        <f t="shared" ref="K57:O57" si="9">SUM(K56:K56)</f>
        <v>53000</v>
      </c>
      <c r="L57" s="18">
        <f t="shared" si="9"/>
        <v>22900</v>
      </c>
      <c r="M57" s="34">
        <f t="shared" si="9"/>
        <v>53000</v>
      </c>
      <c r="N57" s="18">
        <f t="shared" ref="N57" si="10">SUM(N56:N56)</f>
        <v>44982.74</v>
      </c>
      <c r="O57" s="34">
        <f t="shared" si="9"/>
        <v>54000</v>
      </c>
      <c r="P57" s="18">
        <f t="shared" si="7"/>
        <v>0</v>
      </c>
      <c r="Q57" s="34">
        <f t="shared" si="7"/>
        <v>68100</v>
      </c>
      <c r="R57" s="34">
        <f>+Q57</f>
        <v>68100</v>
      </c>
      <c r="S57" s="34">
        <f>+S56</f>
        <v>68100</v>
      </c>
      <c r="T57" s="345"/>
    </row>
    <row r="58" spans="1:20" x14ac:dyDescent="0.2">
      <c r="A58" s="808"/>
      <c r="B58" s="108"/>
      <c r="C58" s="28"/>
      <c r="D58" s="28"/>
      <c r="E58" s="28"/>
      <c r="F58" s="28"/>
      <c r="G58" s="28"/>
      <c r="H58" s="28"/>
      <c r="I58" s="28"/>
      <c r="J58" s="28"/>
      <c r="K58" s="180"/>
      <c r="L58" s="28"/>
      <c r="M58" s="180"/>
      <c r="N58" s="28"/>
      <c r="O58" s="180"/>
      <c r="P58" s="28"/>
      <c r="Q58" s="180"/>
      <c r="R58" s="180"/>
      <c r="S58" s="180"/>
      <c r="T58" s="345"/>
    </row>
    <row r="59" spans="1:20" ht="13.5" thickBot="1" x14ac:dyDescent="0.25">
      <c r="A59" s="780"/>
      <c r="B59" s="20" t="s">
        <v>1010</v>
      </c>
      <c r="C59" s="21">
        <f t="shared" ref="C59:R59" si="11">+C57+C54+C28</f>
        <v>1239909.6599999999</v>
      </c>
      <c r="D59" s="21">
        <f t="shared" si="11"/>
        <v>1302607.79</v>
      </c>
      <c r="E59" s="21">
        <f t="shared" si="11"/>
        <v>1410052.5999999999</v>
      </c>
      <c r="F59" s="21">
        <f t="shared" si="11"/>
        <v>1449760.9</v>
      </c>
      <c r="G59" s="21">
        <f t="shared" si="11"/>
        <v>1510152.1500000001</v>
      </c>
      <c r="H59" s="21">
        <f t="shared" si="11"/>
        <v>1350636.4100000001</v>
      </c>
      <c r="I59" s="21">
        <f t="shared" si="11"/>
        <v>1584896.98</v>
      </c>
      <c r="J59" s="21">
        <f t="shared" ref="J59" si="12">+J57+J54+J28</f>
        <v>1646925.69</v>
      </c>
      <c r="K59" s="22">
        <f t="shared" si="11"/>
        <v>1705537</v>
      </c>
      <c r="L59" s="21">
        <f t="shared" ref="L59:O59" si="13">+L57+L54+L28</f>
        <v>1650531.8900000001</v>
      </c>
      <c r="M59" s="22">
        <f t="shared" si="13"/>
        <v>1814945</v>
      </c>
      <c r="N59" s="21">
        <f t="shared" ref="N59" si="14">+N57+N54+N28</f>
        <v>1757918.2100000004</v>
      </c>
      <c r="O59" s="22">
        <f t="shared" si="13"/>
        <v>1932434</v>
      </c>
      <c r="P59" s="21">
        <f t="shared" si="11"/>
        <v>884059.2300000001</v>
      </c>
      <c r="Q59" s="22">
        <f t="shared" si="11"/>
        <v>2038154.0889999999</v>
      </c>
      <c r="R59" s="22">
        <f t="shared" si="11"/>
        <v>2038154.0889999999</v>
      </c>
      <c r="S59" s="22">
        <f>+Q59</f>
        <v>2038154.0889999999</v>
      </c>
    </row>
    <row r="60" spans="1:20" ht="13.5" thickTop="1" x14ac:dyDescent="0.2">
      <c r="A60" s="774"/>
      <c r="B60" s="74"/>
      <c r="C60" s="24"/>
      <c r="D60" s="24"/>
      <c r="E60" s="24"/>
      <c r="F60" s="24"/>
      <c r="G60" s="24"/>
      <c r="H60" s="24"/>
      <c r="I60" s="25"/>
      <c r="J60" s="25"/>
      <c r="K60" s="25"/>
      <c r="L60" s="25"/>
      <c r="M60" s="25"/>
      <c r="N60" s="25"/>
      <c r="O60" s="25"/>
      <c r="P60" s="199" t="s">
        <v>843</v>
      </c>
      <c r="Q60" s="1116">
        <f>+Q59-O59</f>
        <v>105720.08899999992</v>
      </c>
      <c r="R60" s="1117">
        <f>ROUND((+Q60/O59),4)</f>
        <v>5.4699999999999999E-2</v>
      </c>
      <c r="S60" s="25"/>
    </row>
    <row r="61" spans="1:20" x14ac:dyDescent="0.2">
      <c r="A61" s="54"/>
      <c r="B61" s="4"/>
      <c r="C61" s="24"/>
      <c r="D61" s="24"/>
      <c r="E61" s="24"/>
      <c r="F61" s="24"/>
      <c r="G61" s="24"/>
      <c r="H61" s="24"/>
      <c r="I61" s="25"/>
      <c r="J61" s="25"/>
      <c r="K61" s="25"/>
      <c r="L61" s="25"/>
      <c r="M61" s="25"/>
      <c r="N61" s="25"/>
      <c r="O61" s="25"/>
      <c r="P61" s="24"/>
      <c r="Q61" s="25"/>
      <c r="R61" s="25"/>
      <c r="S61" s="25"/>
    </row>
    <row r="62" spans="1:20" x14ac:dyDescent="0.2">
      <c r="A62" s="54"/>
      <c r="B62" s="4"/>
      <c r="C62" s="24"/>
      <c r="D62" s="24"/>
      <c r="E62" s="24"/>
      <c r="F62" s="24"/>
      <c r="G62" s="24"/>
      <c r="H62" s="24"/>
      <c r="I62" s="25"/>
      <c r="J62" s="25"/>
      <c r="K62" s="25"/>
      <c r="L62" s="25"/>
      <c r="M62" s="25"/>
      <c r="N62" s="25"/>
      <c r="O62" s="25"/>
      <c r="P62" s="24"/>
      <c r="Q62" s="25"/>
      <c r="R62" s="25"/>
      <c r="S62" s="25"/>
    </row>
    <row r="63" spans="1:20" x14ac:dyDescent="0.2">
      <c r="A63" s="54"/>
      <c r="B63" s="4"/>
      <c r="C63" s="24"/>
      <c r="D63" s="24"/>
      <c r="E63" s="24"/>
      <c r="F63" s="24"/>
      <c r="G63" s="24"/>
      <c r="H63" s="24"/>
      <c r="I63" s="25"/>
      <c r="J63" s="25"/>
      <c r="K63" s="25"/>
      <c r="L63" s="25"/>
      <c r="M63" s="25"/>
      <c r="N63" s="25"/>
      <c r="O63" s="25"/>
      <c r="P63" s="24"/>
      <c r="Q63" s="25"/>
      <c r="R63" s="25"/>
      <c r="S63" s="25"/>
    </row>
    <row r="64" spans="1:20" x14ac:dyDescent="0.2">
      <c r="A64" s="54"/>
      <c r="B64" s="74"/>
      <c r="C64" s="24"/>
      <c r="D64" s="24"/>
      <c r="E64" s="24"/>
      <c r="F64" s="24"/>
      <c r="G64" s="24"/>
      <c r="H64" s="24"/>
      <c r="I64" s="24"/>
      <c r="J64" s="24"/>
      <c r="K64" s="24"/>
      <c r="L64" s="24"/>
      <c r="M64" s="24"/>
      <c r="N64" s="24"/>
      <c r="O64" s="24"/>
      <c r="P64" s="25"/>
      <c r="Q64" s="24"/>
      <c r="R64" s="24"/>
      <c r="S64" s="73"/>
      <c r="T64" s="23"/>
    </row>
    <row r="65" spans="1:20" ht="13.5" thickBot="1" x14ac:dyDescent="0.25">
      <c r="A65" s="54" t="s">
        <v>911</v>
      </c>
      <c r="B65" s="4"/>
      <c r="D65" s="212"/>
      <c r="E65" s="212"/>
      <c r="F65" s="212"/>
      <c r="G65" s="212"/>
      <c r="H65" s="212"/>
      <c r="I65" s="212"/>
      <c r="J65" s="212"/>
      <c r="K65" s="212"/>
      <c r="L65" s="212"/>
      <c r="M65" s="212" t="s">
        <v>1173</v>
      </c>
      <c r="N65" s="212"/>
      <c r="O65" s="212"/>
    </row>
    <row r="66" spans="1:20" ht="13.5" thickTop="1" x14ac:dyDescent="0.2">
      <c r="A66" s="826" t="s">
        <v>872</v>
      </c>
      <c r="B66" s="147"/>
      <c r="D66" s="212"/>
      <c r="E66" s="212"/>
      <c r="F66" s="212"/>
      <c r="G66" s="212"/>
      <c r="H66" s="212"/>
      <c r="I66" s="212"/>
      <c r="J66" s="212"/>
      <c r="K66" s="212"/>
      <c r="L66" s="212"/>
      <c r="M66" s="269" t="s">
        <v>873</v>
      </c>
      <c r="N66" s="138" t="s">
        <v>874</v>
      </c>
      <c r="O66" s="150" t="s">
        <v>954</v>
      </c>
      <c r="P66" s="140" t="s">
        <v>875</v>
      </c>
      <c r="Q66" s="145" t="s">
        <v>1174</v>
      </c>
      <c r="R66" s="143"/>
      <c r="S66" s="143" t="s">
        <v>881</v>
      </c>
      <c r="T66"/>
    </row>
    <row r="67" spans="1:20" ht="13.5" thickBot="1" x14ac:dyDescent="0.25">
      <c r="A67" s="132" t="s">
        <v>877</v>
      </c>
      <c r="B67" s="101" t="s">
        <v>878</v>
      </c>
      <c r="D67" s="212"/>
      <c r="E67" s="212"/>
      <c r="F67" s="212"/>
      <c r="G67" s="212"/>
      <c r="H67" s="212"/>
      <c r="I67" s="212"/>
      <c r="J67" s="212"/>
      <c r="K67" s="212"/>
      <c r="L67" s="212"/>
      <c r="M67" s="287">
        <v>45108</v>
      </c>
      <c r="N67" s="141" t="s">
        <v>879</v>
      </c>
      <c r="O67" s="142" t="s">
        <v>1175</v>
      </c>
      <c r="P67" s="142" t="s">
        <v>881</v>
      </c>
      <c r="Q67" s="146" t="s">
        <v>841</v>
      </c>
      <c r="R67" s="144"/>
      <c r="S67" s="144" t="s">
        <v>1176</v>
      </c>
      <c r="T67" s="107" t="s">
        <v>882</v>
      </c>
    </row>
    <row r="68" spans="1:20" ht="13.5" thickTop="1" x14ac:dyDescent="0.2">
      <c r="A68" s="898">
        <v>34967</v>
      </c>
      <c r="B68" s="1068" t="s">
        <v>1177</v>
      </c>
      <c r="D68" s="212"/>
      <c r="E68" s="212"/>
      <c r="F68" s="212"/>
      <c r="G68" s="212"/>
      <c r="H68" s="212"/>
      <c r="I68" s="212"/>
      <c r="J68" s="212"/>
      <c r="K68" s="212"/>
      <c r="L68" s="212"/>
      <c r="M68" s="13" t="s">
        <v>1178</v>
      </c>
      <c r="N68" s="13"/>
      <c r="O68" s="14"/>
      <c r="P68" s="128">
        <v>106452.32</v>
      </c>
      <c r="Q68" s="728">
        <v>0.2</v>
      </c>
      <c r="R68" s="728"/>
      <c r="S68" s="128">
        <f t="shared" ref="S68:S79" si="15">ROUND((+P68*Q68),3)</f>
        <v>21290.464</v>
      </c>
      <c r="T68" s="205"/>
    </row>
    <row r="69" spans="1:20" s="4" customFormat="1" ht="12" customHeight="1" x14ac:dyDescent="0.2">
      <c r="A69" s="899">
        <v>38530</v>
      </c>
      <c r="B69" s="61" t="s">
        <v>1179</v>
      </c>
      <c r="M69" s="128" t="s">
        <v>1180</v>
      </c>
      <c r="N69" s="13">
        <f>+'NAGE &amp; Non-Union Wages'!L11</f>
        <v>44.5</v>
      </c>
      <c r="O69" s="240">
        <v>2088</v>
      </c>
      <c r="P69" s="112">
        <f t="shared" ref="P69:P86" si="16">ROUND((+O69*N69),2)</f>
        <v>92916</v>
      </c>
      <c r="Q69" s="128">
        <v>0.25</v>
      </c>
      <c r="R69" s="128"/>
      <c r="S69" s="128">
        <f t="shared" si="15"/>
        <v>23229</v>
      </c>
      <c r="T69" s="1089">
        <v>38530</v>
      </c>
    </row>
    <row r="70" spans="1:20" x14ac:dyDescent="0.2">
      <c r="A70" s="900">
        <v>39495</v>
      </c>
      <c r="B70" s="256" t="s">
        <v>1181</v>
      </c>
      <c r="D70" s="212"/>
      <c r="E70" s="212"/>
      <c r="F70" s="212"/>
      <c r="G70" s="212"/>
      <c r="H70" s="212"/>
      <c r="I70" s="212"/>
      <c r="J70" s="212"/>
      <c r="K70" s="212"/>
      <c r="L70" s="212"/>
      <c r="M70" s="112" t="s">
        <v>1182</v>
      </c>
      <c r="N70" s="128">
        <f>+'Police Wages'!I10</f>
        <v>41.54</v>
      </c>
      <c r="O70" s="257">
        <v>1975</v>
      </c>
      <c r="P70" s="128">
        <f t="shared" si="16"/>
        <v>82041.5</v>
      </c>
      <c r="Q70" s="728">
        <v>0.2</v>
      </c>
      <c r="R70" s="728"/>
      <c r="S70" s="128">
        <f t="shared" si="15"/>
        <v>16408.3</v>
      </c>
      <c r="T70" s="1090">
        <v>39495</v>
      </c>
    </row>
    <row r="71" spans="1:20" s="258" customFormat="1" x14ac:dyDescent="0.2">
      <c r="A71" s="901">
        <v>35423</v>
      </c>
      <c r="B71" s="259" t="s">
        <v>1183</v>
      </c>
      <c r="M71" s="112" t="s">
        <v>1184</v>
      </c>
      <c r="N71" s="128">
        <f>+'Police Wages'!I9</f>
        <v>37.4</v>
      </c>
      <c r="O71" s="257">
        <v>1975</v>
      </c>
      <c r="P71" s="128">
        <f t="shared" si="16"/>
        <v>73865</v>
      </c>
      <c r="Q71" s="728">
        <v>0.1</v>
      </c>
      <c r="R71" s="728"/>
      <c r="S71" s="128">
        <f t="shared" si="15"/>
        <v>7386.5</v>
      </c>
      <c r="T71" s="1091">
        <v>35423</v>
      </c>
    </row>
    <row r="72" spans="1:20" s="258" customFormat="1" x14ac:dyDescent="0.2">
      <c r="A72" s="900">
        <v>41242</v>
      </c>
      <c r="B72" s="251" t="s">
        <v>1185</v>
      </c>
      <c r="M72" s="128" t="s">
        <v>1184</v>
      </c>
      <c r="N72" s="128">
        <f>+'Police Wages'!I9</f>
        <v>37.4</v>
      </c>
      <c r="O72" s="257">
        <v>1975</v>
      </c>
      <c r="P72" s="128">
        <f t="shared" si="16"/>
        <v>73865</v>
      </c>
      <c r="Q72" s="728"/>
      <c r="R72" s="728"/>
      <c r="S72" s="128">
        <f t="shared" si="15"/>
        <v>0</v>
      </c>
      <c r="T72" s="1090">
        <v>41242</v>
      </c>
    </row>
    <row r="73" spans="1:20" s="258" customFormat="1" x14ac:dyDescent="0.2">
      <c r="A73" s="899">
        <v>40920</v>
      </c>
      <c r="B73" s="60" t="s">
        <v>1186</v>
      </c>
      <c r="M73" s="346" t="s">
        <v>1184</v>
      </c>
      <c r="N73" s="584">
        <f>+'Police Wages'!I9</f>
        <v>37.4</v>
      </c>
      <c r="O73" s="257">
        <v>1975</v>
      </c>
      <c r="P73" s="128">
        <f t="shared" si="16"/>
        <v>73865</v>
      </c>
      <c r="Q73" s="728">
        <v>0.1</v>
      </c>
      <c r="R73" s="728"/>
      <c r="S73" s="128">
        <f t="shared" si="15"/>
        <v>7386.5</v>
      </c>
      <c r="T73" s="1089">
        <v>40920</v>
      </c>
    </row>
    <row r="74" spans="1:20" s="258" customFormat="1" x14ac:dyDescent="0.2">
      <c r="A74" s="904">
        <v>43618</v>
      </c>
      <c r="B74" s="489" t="s">
        <v>2211</v>
      </c>
      <c r="C74" s="905"/>
      <c r="D74" s="1092"/>
      <c r="E74" s="1092"/>
      <c r="F74" s="1092"/>
      <c r="G74" s="212"/>
      <c r="H74" s="212"/>
      <c r="I74" s="212"/>
      <c r="J74" s="212"/>
      <c r="K74" s="212"/>
      <c r="L74" s="212"/>
      <c r="M74" s="218" t="s">
        <v>1202</v>
      </c>
      <c r="N74" s="218">
        <f>+'Police Wages'!G9</f>
        <v>34.590000000000003</v>
      </c>
      <c r="O74" s="878">
        <v>1975</v>
      </c>
      <c r="P74" s="218">
        <f>ROUND((+O74*N74),2)</f>
        <v>68315.25</v>
      </c>
      <c r="Q74" s="562"/>
      <c r="R74" s="562"/>
      <c r="S74" s="218"/>
      <c r="T74" s="134">
        <v>43618</v>
      </c>
    </row>
    <row r="75" spans="1:20" s="258" customFormat="1" ht="12.6" customHeight="1" x14ac:dyDescent="0.2">
      <c r="A75" s="899">
        <v>41821</v>
      </c>
      <c r="B75" s="12" t="s">
        <v>1187</v>
      </c>
      <c r="C75" s="1"/>
      <c r="D75" s="212"/>
      <c r="E75" s="212"/>
      <c r="F75" s="212"/>
      <c r="G75" s="212"/>
      <c r="M75" s="128" t="s">
        <v>1188</v>
      </c>
      <c r="N75" s="128">
        <f>+'Police Wages'!I7</f>
        <v>35.090000000000003</v>
      </c>
      <c r="O75" s="254">
        <v>1975</v>
      </c>
      <c r="P75" s="128">
        <f t="shared" si="16"/>
        <v>69302.75</v>
      </c>
      <c r="Q75" s="255">
        <v>0.1</v>
      </c>
      <c r="R75" s="255"/>
      <c r="S75" s="128">
        <f>ROUND((+P75*Q75),3)</f>
        <v>6930.2749999999996</v>
      </c>
      <c r="T75" s="134">
        <v>41821</v>
      </c>
    </row>
    <row r="76" spans="1:20" s="258" customFormat="1" x14ac:dyDescent="0.2">
      <c r="A76" s="899">
        <v>42891</v>
      </c>
      <c r="B76" s="60" t="s">
        <v>1189</v>
      </c>
      <c r="C76" s="1"/>
      <c r="D76" s="212"/>
      <c r="E76" s="212"/>
      <c r="F76" s="212"/>
      <c r="G76" s="212"/>
      <c r="H76" s="212"/>
      <c r="M76" s="128" t="s">
        <v>1067</v>
      </c>
      <c r="N76" s="128">
        <f>+'Police Wages'!G7</f>
        <v>32.42</v>
      </c>
      <c r="O76" s="240">
        <v>1975</v>
      </c>
      <c r="P76" s="128">
        <f t="shared" si="16"/>
        <v>64029.5</v>
      </c>
      <c r="Q76" s="255">
        <v>0.2</v>
      </c>
      <c r="R76" s="255"/>
      <c r="S76" s="128">
        <f>ROUND((+P76*Q76),3)</f>
        <v>12805.9</v>
      </c>
      <c r="T76" s="1089">
        <v>42891</v>
      </c>
    </row>
    <row r="77" spans="1:20" s="258" customFormat="1" x14ac:dyDescent="0.2">
      <c r="A77" s="899">
        <v>36926</v>
      </c>
      <c r="B77" s="60" t="s">
        <v>1190</v>
      </c>
      <c r="C77" s="1"/>
      <c r="D77" s="212"/>
      <c r="E77" s="212"/>
      <c r="M77" s="128" t="s">
        <v>1191</v>
      </c>
      <c r="N77" s="128">
        <f>+'Police Wages'!I6</f>
        <v>32.35</v>
      </c>
      <c r="O77" s="240">
        <v>1975</v>
      </c>
      <c r="P77" s="128">
        <f t="shared" si="16"/>
        <v>63891.25</v>
      </c>
      <c r="Q77" s="255"/>
      <c r="R77" s="255"/>
      <c r="S77" s="128">
        <f>ROUND((+P77*Q77),3)</f>
        <v>0</v>
      </c>
      <c r="T77" s="1089">
        <v>36926</v>
      </c>
    </row>
    <row r="78" spans="1:20" s="258" customFormat="1" x14ac:dyDescent="0.2">
      <c r="A78" s="899">
        <v>38216</v>
      </c>
      <c r="B78" s="12" t="s">
        <v>1192</v>
      </c>
      <c r="C78" s="1"/>
      <c r="D78" s="212"/>
      <c r="E78" s="212"/>
      <c r="F78" s="212"/>
      <c r="G78" s="212"/>
      <c r="H78" s="212"/>
      <c r="M78" s="128" t="s">
        <v>1191</v>
      </c>
      <c r="N78" s="128">
        <f>+'Police Wages'!I6</f>
        <v>32.35</v>
      </c>
      <c r="O78" s="240">
        <v>1975</v>
      </c>
      <c r="P78" s="128">
        <f t="shared" si="16"/>
        <v>63891.25</v>
      </c>
      <c r="Q78" s="255"/>
      <c r="R78" s="255"/>
      <c r="S78" s="128">
        <f>ROUND((+P78*Q78),3)</f>
        <v>0</v>
      </c>
      <c r="T78" s="1089">
        <v>38216</v>
      </c>
    </row>
    <row r="79" spans="1:20" s="258" customFormat="1" x14ac:dyDescent="0.2">
      <c r="A79" s="900">
        <v>38215</v>
      </c>
      <c r="B79" s="251" t="s">
        <v>1193</v>
      </c>
      <c r="M79" s="128" t="s">
        <v>1191</v>
      </c>
      <c r="N79" s="128">
        <f>+'Police Wages'!I6</f>
        <v>32.35</v>
      </c>
      <c r="O79" s="257">
        <v>1975</v>
      </c>
      <c r="P79" s="128">
        <f t="shared" si="16"/>
        <v>63891.25</v>
      </c>
      <c r="Q79" s="728"/>
      <c r="R79" s="728"/>
      <c r="S79" s="128">
        <f t="shared" si="15"/>
        <v>0</v>
      </c>
      <c r="T79" s="1090">
        <v>38215</v>
      </c>
    </row>
    <row r="80" spans="1:20" s="258" customFormat="1" x14ac:dyDescent="0.2">
      <c r="A80" s="899">
        <v>42827</v>
      </c>
      <c r="B80" s="60" t="s">
        <v>1194</v>
      </c>
      <c r="C80" s="1"/>
      <c r="D80" s="212"/>
      <c r="M80" s="128" t="s">
        <v>1191</v>
      </c>
      <c r="N80" s="128">
        <f>+'Police Wages'!I6</f>
        <v>32.35</v>
      </c>
      <c r="O80" s="240">
        <v>1975</v>
      </c>
      <c r="P80" s="128">
        <f t="shared" si="16"/>
        <v>63891.25</v>
      </c>
      <c r="Q80" s="255">
        <v>0.1</v>
      </c>
      <c r="R80" s="255"/>
      <c r="S80" s="128">
        <f t="shared" ref="S80:S82" si="17">ROUND((+P80*Q80),3)</f>
        <v>6389.125</v>
      </c>
      <c r="T80" s="1089">
        <v>42827</v>
      </c>
    </row>
    <row r="81" spans="1:20" x14ac:dyDescent="0.2">
      <c r="A81" s="899">
        <v>42295</v>
      </c>
      <c r="B81" s="12" t="s">
        <v>1195</v>
      </c>
      <c r="D81" s="212"/>
      <c r="E81" s="212"/>
      <c r="F81" s="212"/>
      <c r="G81" s="212"/>
      <c r="H81" s="212"/>
      <c r="I81" s="212"/>
      <c r="J81" s="212"/>
      <c r="K81" s="212"/>
      <c r="L81" s="212"/>
      <c r="M81" s="128" t="s">
        <v>1191</v>
      </c>
      <c r="N81" s="128">
        <f>+'Police Wages'!I6</f>
        <v>32.35</v>
      </c>
      <c r="O81" s="254">
        <v>1975</v>
      </c>
      <c r="P81" s="128">
        <f t="shared" si="16"/>
        <v>63891.25</v>
      </c>
      <c r="Q81" s="255"/>
      <c r="R81" s="255"/>
      <c r="S81" s="128">
        <f t="shared" si="17"/>
        <v>0</v>
      </c>
      <c r="T81" s="134">
        <v>42295</v>
      </c>
    </row>
    <row r="82" spans="1:20" x14ac:dyDescent="0.2">
      <c r="A82" s="898">
        <v>42449</v>
      </c>
      <c r="B82" s="12" t="s">
        <v>1196</v>
      </c>
      <c r="D82" s="212"/>
      <c r="E82" s="212"/>
      <c r="F82" s="212"/>
      <c r="G82" s="212"/>
      <c r="H82" s="212"/>
      <c r="I82" s="212"/>
      <c r="J82" s="212"/>
      <c r="K82" s="212"/>
      <c r="L82" s="212"/>
      <c r="M82" s="128" t="s">
        <v>1191</v>
      </c>
      <c r="N82" s="128">
        <f>+'Police Wages'!I6</f>
        <v>32.35</v>
      </c>
      <c r="O82" s="254">
        <v>1975</v>
      </c>
      <c r="P82" s="128">
        <f t="shared" si="16"/>
        <v>63891.25</v>
      </c>
      <c r="Q82" s="255"/>
      <c r="R82" s="255"/>
      <c r="S82" s="128">
        <f t="shared" si="17"/>
        <v>0</v>
      </c>
      <c r="T82" s="133">
        <v>42449</v>
      </c>
    </row>
    <row r="83" spans="1:20" x14ac:dyDescent="0.2">
      <c r="A83" s="902">
        <v>43299</v>
      </c>
      <c r="B83" s="489" t="s">
        <v>1197</v>
      </c>
      <c r="D83" s="212"/>
      <c r="E83" s="212"/>
      <c r="F83" s="212"/>
      <c r="G83" s="212"/>
      <c r="H83" s="212"/>
      <c r="I83" s="212"/>
      <c r="J83" s="212"/>
      <c r="K83" s="212"/>
      <c r="L83" s="212"/>
      <c r="M83" s="218" t="s">
        <v>1198</v>
      </c>
      <c r="N83" s="218">
        <f>+'Police Wages'!G6</f>
        <v>29.93</v>
      </c>
      <c r="O83" s="311">
        <v>1975</v>
      </c>
      <c r="P83" s="218">
        <f t="shared" si="16"/>
        <v>59111.75</v>
      </c>
      <c r="Q83" s="562">
        <v>0.1</v>
      </c>
      <c r="R83" s="562"/>
      <c r="S83" s="218">
        <f>ROUND((+P83*Q83),3)</f>
        <v>5911.1750000000002</v>
      </c>
      <c r="T83" s="561">
        <v>43299</v>
      </c>
    </row>
    <row r="84" spans="1:20" x14ac:dyDescent="0.2">
      <c r="A84" s="899">
        <v>44136</v>
      </c>
      <c r="B84" s="60" t="s">
        <v>1199</v>
      </c>
      <c r="C84" s="71"/>
      <c r="D84" s="1093"/>
      <c r="E84" s="1093"/>
      <c r="F84" s="1093"/>
      <c r="G84" s="1093"/>
      <c r="H84" s="1093"/>
      <c r="I84" s="1093"/>
      <c r="J84" s="1093"/>
      <c r="K84" s="212"/>
      <c r="L84" s="212"/>
      <c r="M84" s="1065" t="s">
        <v>1200</v>
      </c>
      <c r="N84" s="925">
        <f>+'Police Wages'!E6</f>
        <v>27.68</v>
      </c>
      <c r="O84" s="311">
        <v>1975</v>
      </c>
      <c r="P84" s="128">
        <f t="shared" si="16"/>
        <v>54668</v>
      </c>
      <c r="Q84" s="255">
        <v>0.2</v>
      </c>
      <c r="R84" s="255"/>
      <c r="S84" s="128">
        <f t="shared" ref="S84:S85" si="18">ROUND((+P84*Q84),3)</f>
        <v>10933.6</v>
      </c>
    </row>
    <row r="85" spans="1:20" x14ac:dyDescent="0.2">
      <c r="A85" s="899"/>
      <c r="B85" s="60" t="s">
        <v>2210</v>
      </c>
      <c r="C85" s="71"/>
      <c r="D85" s="1093"/>
      <c r="E85" s="1093"/>
      <c r="F85" s="1093"/>
      <c r="G85" s="1093"/>
      <c r="H85" s="1093"/>
      <c r="I85" s="1093"/>
      <c r="J85" s="1093"/>
      <c r="K85" s="212"/>
      <c r="L85" s="212"/>
      <c r="M85" s="1104" t="s">
        <v>1191</v>
      </c>
      <c r="N85" s="925">
        <f>+'Police Wages'!I6</f>
        <v>32.35</v>
      </c>
      <c r="O85" s="311">
        <v>1975</v>
      </c>
      <c r="P85" s="128">
        <f t="shared" si="16"/>
        <v>63891.25</v>
      </c>
      <c r="Q85" s="255">
        <v>0.2</v>
      </c>
      <c r="R85" s="255"/>
      <c r="S85" s="128">
        <f t="shared" si="18"/>
        <v>12778.25</v>
      </c>
    </row>
    <row r="86" spans="1:20" x14ac:dyDescent="0.2">
      <c r="A86" s="798" t="s">
        <v>1203</v>
      </c>
      <c r="B86" s="61" t="s">
        <v>1204</v>
      </c>
      <c r="C86" s="71"/>
      <c r="D86" s="1093"/>
      <c r="E86" s="1093"/>
      <c r="F86" s="1093"/>
      <c r="G86" s="1093"/>
      <c r="H86" s="1093"/>
      <c r="I86" s="1093"/>
      <c r="J86" s="1093"/>
      <c r="K86" s="212"/>
      <c r="L86" s="212"/>
      <c r="M86" s="128" t="s">
        <v>1205</v>
      </c>
      <c r="N86" s="128">
        <f>+'NAGE &amp; Non-Union Wages'!K4</f>
        <v>19.63</v>
      </c>
      <c r="O86" s="311">
        <v>815</v>
      </c>
      <c r="P86" s="128">
        <f t="shared" si="16"/>
        <v>15998.45</v>
      </c>
      <c r="Q86" s="128"/>
      <c r="R86" s="128"/>
      <c r="S86" s="71"/>
      <c r="T86" s="120"/>
    </row>
    <row r="87" spans="1:20" x14ac:dyDescent="0.2">
      <c r="A87" s="774"/>
      <c r="B87" s="4"/>
      <c r="C87" s="23"/>
      <c r="D87" s="23"/>
      <c r="E87" s="212"/>
      <c r="F87" s="212"/>
      <c r="G87" s="212"/>
      <c r="H87" s="212"/>
      <c r="I87" s="23"/>
      <c r="J87" s="23"/>
      <c r="K87" s="212"/>
      <c r="L87" s="212"/>
      <c r="M87" s="23"/>
      <c r="N87" s="23"/>
      <c r="O87" s="23"/>
      <c r="P87" s="25"/>
      <c r="Q87" s="23"/>
      <c r="R87" s="23"/>
      <c r="S87" s="729">
        <f>SUM(S68:S85)</f>
        <v>131449.08899999998</v>
      </c>
    </row>
    <row r="88" spans="1:20" x14ac:dyDescent="0.2">
      <c r="C88" s="212"/>
      <c r="D88" s="212"/>
      <c r="E88" s="212"/>
      <c r="F88" s="212"/>
      <c r="G88" s="212"/>
      <c r="H88" s="212"/>
      <c r="I88" s="212"/>
      <c r="J88" s="212"/>
      <c r="K88" s="212"/>
      <c r="L88" s="212"/>
      <c r="M88" s="4"/>
      <c r="N88" s="4"/>
      <c r="O88" s="4"/>
      <c r="P88" s="23"/>
      <c r="Q88" s="23"/>
      <c r="R88" s="23"/>
      <c r="S88" s="23"/>
      <c r="T88"/>
    </row>
    <row r="89" spans="1:20" ht="13.5" thickBot="1" x14ac:dyDescent="0.25">
      <c r="C89" s="212"/>
      <c r="D89" s="212"/>
      <c r="E89" s="212"/>
      <c r="F89" s="212"/>
      <c r="G89" s="212"/>
      <c r="H89" s="212"/>
      <c r="I89" s="212"/>
      <c r="J89" s="212"/>
      <c r="K89" s="212"/>
      <c r="L89" s="212"/>
      <c r="M89" s="4"/>
      <c r="N89" s="4"/>
      <c r="O89" s="4"/>
      <c r="P89" s="23"/>
      <c r="Q89" s="23"/>
      <c r="R89" s="23"/>
      <c r="S89" s="23"/>
      <c r="T89"/>
    </row>
    <row r="90" spans="1:20" ht="13.5" thickTop="1" x14ac:dyDescent="0.2">
      <c r="A90" s="789"/>
      <c r="B90" s="1122" t="s">
        <v>2386</v>
      </c>
      <c r="C90" s="368" t="s">
        <v>280</v>
      </c>
      <c r="D90" s="369" t="s">
        <v>280</v>
      </c>
      <c r="E90" s="369" t="s">
        <v>280</v>
      </c>
      <c r="F90" s="212"/>
      <c r="G90" s="212"/>
      <c r="H90" s="212"/>
      <c r="I90" s="212"/>
      <c r="J90" s="212"/>
      <c r="K90" s="212"/>
      <c r="L90" s="212"/>
      <c r="M90" s="370" t="s">
        <v>279</v>
      </c>
      <c r="N90" s="371" t="s">
        <v>826</v>
      </c>
      <c r="O90" s="372" t="s">
        <v>840</v>
      </c>
      <c r="P90" s="371" t="s">
        <v>841</v>
      </c>
      <c r="Q90" s="373"/>
      <c r="R90" s="569"/>
      <c r="S90" s="372"/>
    </row>
    <row r="91" spans="1:20" ht="13.5" thickBot="1" x14ac:dyDescent="0.25">
      <c r="A91" s="790" t="s">
        <v>825</v>
      </c>
      <c r="B91" s="374"/>
      <c r="C91" s="375" t="s">
        <v>267</v>
      </c>
      <c r="D91" s="375" t="s">
        <v>268</v>
      </c>
      <c r="E91" s="376" t="s">
        <v>269</v>
      </c>
      <c r="F91" s="212"/>
      <c r="G91" s="212"/>
      <c r="H91" s="212"/>
      <c r="I91" s="212"/>
      <c r="J91" s="212"/>
      <c r="K91" s="212"/>
      <c r="L91" s="212"/>
      <c r="M91" s="377" t="s">
        <v>277</v>
      </c>
      <c r="N91" s="377" t="s">
        <v>571</v>
      </c>
      <c r="O91" s="376" t="s">
        <v>843</v>
      </c>
      <c r="P91" s="378" t="s">
        <v>843</v>
      </c>
      <c r="Q91" s="379" t="s">
        <v>844</v>
      </c>
      <c r="R91" s="570"/>
      <c r="S91" s="377"/>
    </row>
    <row r="92" spans="1:20" ht="13.5" thickTop="1" x14ac:dyDescent="0.2">
      <c r="A92" s="797">
        <v>5112</v>
      </c>
      <c r="B92" s="387" t="s">
        <v>849</v>
      </c>
      <c r="C92" s="391">
        <v>558256.29</v>
      </c>
      <c r="D92" s="383">
        <v>673834.28</v>
      </c>
      <c r="E92" s="383">
        <v>754753.01</v>
      </c>
      <c r="F92" s="212"/>
      <c r="G92" s="212"/>
      <c r="H92" s="212"/>
      <c r="I92" s="212"/>
      <c r="J92" s="212"/>
      <c r="K92" s="212"/>
      <c r="L92" s="212"/>
      <c r="M92" s="1123">
        <f>+O9+8680+5672</f>
        <v>1233766</v>
      </c>
      <c r="N92" s="410">
        <f t="shared" ref="N92:N110" si="19">+Q9</f>
        <v>1265672</v>
      </c>
      <c r="O92" s="386">
        <f t="shared" ref="O92:O102" si="20">+N92-M92</f>
        <v>31906</v>
      </c>
      <c r="P92" s="392">
        <f t="shared" ref="P92:P102" si="21">IF(M92+N92&lt;&gt;0,IF(M92&lt;&gt;0,IF(O92&lt;&gt;0,ROUND((+O92/M92),4),""),1),"")</f>
        <v>2.5899999999999999E-2</v>
      </c>
      <c r="Q92" s="385" t="s">
        <v>2212</v>
      </c>
      <c r="R92" s="572"/>
      <c r="S92" s="386"/>
    </row>
    <row r="93" spans="1:20" x14ac:dyDescent="0.2">
      <c r="A93" s="797">
        <v>5113</v>
      </c>
      <c r="B93" s="387" t="s">
        <v>1141</v>
      </c>
      <c r="C93" s="391">
        <v>10745.01</v>
      </c>
      <c r="D93" s="383">
        <f>105.98+10950.18</f>
        <v>11056.16</v>
      </c>
      <c r="E93" s="383">
        <v>10477.32</v>
      </c>
      <c r="F93" s="212"/>
      <c r="G93" s="212"/>
      <c r="H93" s="212"/>
      <c r="I93" s="212"/>
      <c r="J93" s="212"/>
      <c r="K93" s="212"/>
      <c r="L93" s="212"/>
      <c r="M93" s="410">
        <f t="shared" ref="M93:M110" si="22">+O10</f>
        <v>15306</v>
      </c>
      <c r="N93" s="410">
        <f t="shared" si="19"/>
        <v>15998</v>
      </c>
      <c r="O93" s="386">
        <f t="shared" si="20"/>
        <v>692</v>
      </c>
      <c r="P93" s="392">
        <f t="shared" si="21"/>
        <v>4.5199999999999997E-2</v>
      </c>
      <c r="Q93" s="385" t="s">
        <v>2213</v>
      </c>
      <c r="R93" s="572"/>
      <c r="S93" s="386"/>
    </row>
    <row r="94" spans="1:20" x14ac:dyDescent="0.2">
      <c r="A94" s="795">
        <v>5114</v>
      </c>
      <c r="B94" s="387" t="s">
        <v>1142</v>
      </c>
      <c r="C94" s="391">
        <f>95.03+22206.8</f>
        <v>22301.829999999998</v>
      </c>
      <c r="D94" s="391">
        <f>15705.21+1162.29</f>
        <v>16867.5</v>
      </c>
      <c r="E94" s="391">
        <v>22998.86</v>
      </c>
      <c r="F94" s="212"/>
      <c r="G94" s="212"/>
      <c r="H94" s="212"/>
      <c r="I94" s="212"/>
      <c r="J94" s="212"/>
      <c r="K94" s="212"/>
      <c r="L94" s="212"/>
      <c r="M94" s="410">
        <f t="shared" si="22"/>
        <v>16332</v>
      </c>
      <c r="N94" s="410">
        <f t="shared" si="19"/>
        <v>16000</v>
      </c>
      <c r="O94" s="386">
        <f t="shared" si="20"/>
        <v>-332</v>
      </c>
      <c r="P94" s="392">
        <f t="shared" si="21"/>
        <v>-2.0299999999999999E-2</v>
      </c>
      <c r="Q94" s="385" t="s">
        <v>2214</v>
      </c>
      <c r="R94" s="572"/>
      <c r="S94" s="386"/>
    </row>
    <row r="95" spans="1:20" x14ac:dyDescent="0.2">
      <c r="A95" s="795">
        <v>5132</v>
      </c>
      <c r="B95" s="387" t="s">
        <v>1143</v>
      </c>
      <c r="C95" s="391">
        <v>133928.87</v>
      </c>
      <c r="D95" s="391">
        <v>109534.24</v>
      </c>
      <c r="E95" s="391">
        <v>122687.36</v>
      </c>
      <c r="F95" s="212"/>
      <c r="G95" s="212"/>
      <c r="H95" s="212"/>
      <c r="I95" s="212"/>
      <c r="J95" s="212"/>
      <c r="K95" s="212"/>
      <c r="L95" s="212"/>
      <c r="M95" s="410">
        <f t="shared" si="22"/>
        <v>142000</v>
      </c>
      <c r="N95" s="410">
        <f t="shared" si="19"/>
        <v>145000</v>
      </c>
      <c r="O95" s="386">
        <f t="shared" si="20"/>
        <v>3000</v>
      </c>
      <c r="P95" s="392">
        <f t="shared" si="21"/>
        <v>2.1100000000000001E-2</v>
      </c>
      <c r="Q95" s="385" t="s">
        <v>2213</v>
      </c>
      <c r="R95" s="572"/>
      <c r="S95" s="386"/>
    </row>
    <row r="96" spans="1:20" x14ac:dyDescent="0.2">
      <c r="A96" s="795">
        <v>5135</v>
      </c>
      <c r="B96" s="387" t="s">
        <v>1144</v>
      </c>
      <c r="C96" s="391">
        <v>13416.61</v>
      </c>
      <c r="D96" s="391">
        <v>8222.52</v>
      </c>
      <c r="E96" s="391">
        <v>6134.34</v>
      </c>
      <c r="F96" s="212"/>
      <c r="G96" s="212"/>
      <c r="H96" s="212"/>
      <c r="I96" s="212"/>
      <c r="J96" s="212"/>
      <c r="K96" s="212"/>
      <c r="L96" s="212"/>
      <c r="M96" s="410">
        <f t="shared" si="22"/>
        <v>8000</v>
      </c>
      <c r="N96" s="410">
        <f t="shared" si="19"/>
        <v>8000</v>
      </c>
      <c r="O96" s="386">
        <f t="shared" si="20"/>
        <v>0</v>
      </c>
      <c r="P96" s="392" t="str">
        <f t="shared" si="21"/>
        <v/>
      </c>
      <c r="Q96" s="385"/>
      <c r="R96" s="572"/>
      <c r="S96" s="386"/>
    </row>
    <row r="97" spans="1:19" x14ac:dyDescent="0.2">
      <c r="A97" s="795">
        <v>5141</v>
      </c>
      <c r="B97" s="387" t="s">
        <v>1145</v>
      </c>
      <c r="C97" s="391">
        <v>76334.600000000006</v>
      </c>
      <c r="D97" s="391">
        <v>84591.45</v>
      </c>
      <c r="E97" s="391">
        <v>89808.42</v>
      </c>
      <c r="F97" s="212"/>
      <c r="G97" s="212"/>
      <c r="H97" s="212"/>
      <c r="I97" s="212"/>
      <c r="J97" s="212"/>
      <c r="K97" s="212"/>
      <c r="L97" s="212"/>
      <c r="M97" s="410">
        <f t="shared" si="22"/>
        <v>103783</v>
      </c>
      <c r="N97" s="410">
        <f t="shared" si="19"/>
        <v>131449.08899999998</v>
      </c>
      <c r="O97" s="386">
        <f t="shared" si="20"/>
        <v>27666.088999999978</v>
      </c>
      <c r="P97" s="392">
        <f t="shared" si="21"/>
        <v>0.2666</v>
      </c>
      <c r="Q97" s="385" t="s">
        <v>2215</v>
      </c>
      <c r="R97" s="572"/>
      <c r="S97" s="386"/>
    </row>
    <row r="98" spans="1:19" x14ac:dyDescent="0.2">
      <c r="A98" s="795">
        <v>5142</v>
      </c>
      <c r="B98" s="387" t="s">
        <v>1146</v>
      </c>
      <c r="C98" s="391">
        <v>9209.4</v>
      </c>
      <c r="D98" s="391">
        <v>9918.3799999999992</v>
      </c>
      <c r="E98" s="391">
        <v>10383.99</v>
      </c>
      <c r="F98" s="212"/>
      <c r="G98" s="212"/>
      <c r="H98" s="212"/>
      <c r="I98" s="212"/>
      <c r="J98" s="212"/>
      <c r="K98" s="212"/>
      <c r="L98" s="212"/>
      <c r="M98" s="410">
        <f t="shared" si="22"/>
        <v>19164</v>
      </c>
      <c r="N98" s="410">
        <f t="shared" si="19"/>
        <v>20000</v>
      </c>
      <c r="O98" s="386">
        <f t="shared" si="20"/>
        <v>836</v>
      </c>
      <c r="P98" s="392">
        <f t="shared" si="21"/>
        <v>4.36E-2</v>
      </c>
      <c r="Q98" s="385" t="s">
        <v>2216</v>
      </c>
      <c r="R98" s="572"/>
      <c r="S98" s="386"/>
    </row>
    <row r="99" spans="1:19" x14ac:dyDescent="0.2">
      <c r="A99" s="795">
        <v>5143</v>
      </c>
      <c r="B99" s="387" t="s">
        <v>1147</v>
      </c>
      <c r="C99" s="391">
        <v>36513.300000000003</v>
      </c>
      <c r="D99" s="391">
        <v>45805.83</v>
      </c>
      <c r="E99" s="391">
        <v>52853.36</v>
      </c>
      <c r="F99" s="212"/>
      <c r="G99" s="212"/>
      <c r="H99" s="212"/>
      <c r="I99" s="212"/>
      <c r="J99" s="212"/>
      <c r="K99" s="212"/>
      <c r="L99" s="212"/>
      <c r="M99" s="410">
        <f t="shared" si="22"/>
        <v>72095</v>
      </c>
      <c r="N99" s="410">
        <f t="shared" si="19"/>
        <v>72095</v>
      </c>
      <c r="O99" s="386">
        <f t="shared" si="20"/>
        <v>0</v>
      </c>
      <c r="P99" s="392" t="str">
        <f t="shared" si="21"/>
        <v/>
      </c>
      <c r="Q99" s="385"/>
      <c r="R99" s="572"/>
      <c r="S99" s="386"/>
    </row>
    <row r="100" spans="1:19" x14ac:dyDescent="0.2">
      <c r="A100" s="795">
        <v>5144</v>
      </c>
      <c r="B100" s="387" t="s">
        <v>27</v>
      </c>
      <c r="C100" s="391">
        <v>3200</v>
      </c>
      <c r="D100" s="391">
        <v>3200</v>
      </c>
      <c r="E100" s="391">
        <v>2900</v>
      </c>
      <c r="F100" s="212"/>
      <c r="G100" s="212"/>
      <c r="H100" s="212"/>
      <c r="I100" s="212"/>
      <c r="J100" s="212"/>
      <c r="K100" s="212"/>
      <c r="L100" s="212"/>
      <c r="M100" s="410">
        <f t="shared" si="22"/>
        <v>700</v>
      </c>
      <c r="N100" s="410">
        <f t="shared" si="19"/>
        <v>700</v>
      </c>
      <c r="O100" s="386">
        <f t="shared" si="20"/>
        <v>0</v>
      </c>
      <c r="P100" s="392" t="str">
        <f t="shared" si="21"/>
        <v/>
      </c>
      <c r="Q100" s="385"/>
      <c r="R100" s="572"/>
      <c r="S100" s="386"/>
    </row>
    <row r="101" spans="1:19" x14ac:dyDescent="0.2">
      <c r="A101" s="795">
        <v>5145</v>
      </c>
      <c r="B101" s="387" t="s">
        <v>1148</v>
      </c>
      <c r="C101" s="393">
        <v>2988.86</v>
      </c>
      <c r="D101" s="393">
        <v>3254.28</v>
      </c>
      <c r="E101" s="393">
        <v>3467.77</v>
      </c>
      <c r="F101" s="212"/>
      <c r="G101" s="212"/>
      <c r="H101" s="212"/>
      <c r="I101" s="212"/>
      <c r="J101" s="212"/>
      <c r="K101" s="212"/>
      <c r="L101" s="212"/>
      <c r="M101" s="410">
        <f t="shared" si="22"/>
        <v>4280</v>
      </c>
      <c r="N101" s="410">
        <f t="shared" si="19"/>
        <v>4280</v>
      </c>
      <c r="O101" s="386">
        <f t="shared" si="20"/>
        <v>0</v>
      </c>
      <c r="P101" s="392" t="str">
        <f t="shared" si="21"/>
        <v/>
      </c>
      <c r="Q101" s="385"/>
      <c r="R101" s="572"/>
      <c r="S101" s="386"/>
    </row>
    <row r="102" spans="1:19" x14ac:dyDescent="0.2">
      <c r="A102" s="795">
        <v>5147</v>
      </c>
      <c r="B102" s="387" t="s">
        <v>1149</v>
      </c>
      <c r="C102" s="393"/>
      <c r="D102" s="393"/>
      <c r="E102" s="393"/>
      <c r="F102" s="212"/>
      <c r="G102" s="212"/>
      <c r="H102" s="212"/>
      <c r="I102" s="212"/>
      <c r="J102" s="212"/>
      <c r="K102" s="212"/>
      <c r="L102" s="212"/>
      <c r="M102" s="410">
        <f t="shared" si="22"/>
        <v>4000</v>
      </c>
      <c r="N102" s="410">
        <f t="shared" si="19"/>
        <v>4000</v>
      </c>
      <c r="O102" s="386">
        <f t="shared" si="20"/>
        <v>0</v>
      </c>
      <c r="P102" s="392" t="str">
        <f t="shared" si="21"/>
        <v/>
      </c>
      <c r="Q102" s="385"/>
      <c r="R102" s="572"/>
      <c r="S102" s="386"/>
    </row>
    <row r="103" spans="1:19" x14ac:dyDescent="0.2">
      <c r="A103" s="795">
        <v>5148</v>
      </c>
      <c r="B103" s="387" t="s">
        <v>1150</v>
      </c>
      <c r="C103" s="393"/>
      <c r="D103" s="393"/>
      <c r="E103" s="393"/>
      <c r="F103" s="212"/>
      <c r="G103" s="212"/>
      <c r="H103" s="212"/>
      <c r="I103" s="212"/>
      <c r="J103" s="212"/>
      <c r="K103" s="212"/>
      <c r="L103" s="212"/>
      <c r="M103" s="410">
        <f t="shared" si="22"/>
        <v>1500</v>
      </c>
      <c r="N103" s="410">
        <f t="shared" si="19"/>
        <v>1500</v>
      </c>
      <c r="O103" s="386"/>
      <c r="P103" s="392"/>
      <c r="Q103" s="385"/>
      <c r="R103" s="572"/>
      <c r="S103" s="386"/>
    </row>
    <row r="104" spans="1:19" x14ac:dyDescent="0.2">
      <c r="A104" s="795">
        <v>5149</v>
      </c>
      <c r="B104" s="387" t="s">
        <v>1001</v>
      </c>
      <c r="C104" s="393"/>
      <c r="D104" s="393"/>
      <c r="E104" s="393"/>
      <c r="F104" s="212"/>
      <c r="G104" s="212"/>
      <c r="H104" s="212"/>
      <c r="I104" s="212"/>
      <c r="J104" s="212"/>
      <c r="K104" s="212"/>
      <c r="L104" s="212"/>
      <c r="M104" s="410">
        <f t="shared" si="22"/>
        <v>3000</v>
      </c>
      <c r="N104" s="410">
        <f t="shared" si="19"/>
        <v>3000</v>
      </c>
      <c r="O104" s="386"/>
      <c r="P104" s="392"/>
      <c r="Q104" s="385"/>
      <c r="R104" s="572"/>
      <c r="S104" s="386"/>
    </row>
    <row r="105" spans="1:19" x14ac:dyDescent="0.2">
      <c r="A105" s="795">
        <v>5151</v>
      </c>
      <c r="B105" s="387" t="s">
        <v>1151</v>
      </c>
      <c r="C105" s="393">
        <v>44408.6</v>
      </c>
      <c r="D105" s="393">
        <v>8051.52</v>
      </c>
      <c r="E105" s="393">
        <v>7516.41</v>
      </c>
      <c r="F105" s="212"/>
      <c r="G105" s="212"/>
      <c r="H105" s="212"/>
      <c r="I105" s="212"/>
      <c r="J105" s="212"/>
      <c r="K105" s="212"/>
      <c r="L105" s="212"/>
      <c r="M105" s="410">
        <f t="shared" si="22"/>
        <v>0</v>
      </c>
      <c r="N105" s="410">
        <f t="shared" si="19"/>
        <v>0</v>
      </c>
      <c r="O105" s="386">
        <f t="shared" ref="O105:O121" si="23">+N105-M105</f>
        <v>0</v>
      </c>
      <c r="P105" s="392" t="str">
        <f t="shared" ref="P105:P121" si="24">IF(M105+N105&lt;&gt;0,IF(M105&lt;&gt;0,IF(O105&lt;&gt;0,ROUND((+O105/M105),4),""),1),"")</f>
        <v/>
      </c>
      <c r="Q105" s="385"/>
      <c r="R105" s="572"/>
      <c r="S105" s="386"/>
    </row>
    <row r="106" spans="1:19" x14ac:dyDescent="0.2">
      <c r="A106" s="795">
        <v>5152</v>
      </c>
      <c r="B106" s="387" t="s">
        <v>1152</v>
      </c>
      <c r="C106" s="393">
        <v>4330.43</v>
      </c>
      <c r="D106" s="393">
        <v>716.25</v>
      </c>
      <c r="E106" s="393">
        <v>751.63</v>
      </c>
      <c r="F106" s="212"/>
      <c r="G106" s="212"/>
      <c r="H106" s="212"/>
      <c r="I106" s="212"/>
      <c r="J106" s="212"/>
      <c r="K106" s="212"/>
      <c r="L106" s="212"/>
      <c r="M106" s="410">
        <f t="shared" si="22"/>
        <v>0</v>
      </c>
      <c r="N106" s="410">
        <f t="shared" si="19"/>
        <v>0</v>
      </c>
      <c r="O106" s="386">
        <f t="shared" si="23"/>
        <v>0</v>
      </c>
      <c r="P106" s="392" t="str">
        <f t="shared" si="24"/>
        <v/>
      </c>
      <c r="Q106" s="385"/>
      <c r="R106" s="572"/>
      <c r="S106" s="386"/>
    </row>
    <row r="107" spans="1:19" x14ac:dyDescent="0.2">
      <c r="A107" s="795">
        <v>5153</v>
      </c>
      <c r="B107" s="387" t="s">
        <v>1153</v>
      </c>
      <c r="C107" s="393">
        <v>2110.3200000000002</v>
      </c>
      <c r="D107" s="393">
        <v>237.36</v>
      </c>
      <c r="E107" s="393">
        <v>249.28</v>
      </c>
      <c r="F107" s="212"/>
      <c r="G107" s="212"/>
      <c r="H107" s="212"/>
      <c r="I107" s="212"/>
      <c r="J107" s="212"/>
      <c r="K107" s="212"/>
      <c r="L107" s="212"/>
      <c r="M107" s="410">
        <f t="shared" si="22"/>
        <v>0</v>
      </c>
      <c r="N107" s="410">
        <f t="shared" si="19"/>
        <v>0</v>
      </c>
      <c r="O107" s="386">
        <f t="shared" si="23"/>
        <v>0</v>
      </c>
      <c r="P107" s="392" t="str">
        <f t="shared" si="24"/>
        <v/>
      </c>
      <c r="Q107" s="385"/>
      <c r="R107" s="572"/>
      <c r="S107" s="386"/>
    </row>
    <row r="108" spans="1:19" x14ac:dyDescent="0.2">
      <c r="A108" s="795">
        <v>5191</v>
      </c>
      <c r="B108" s="387" t="s">
        <v>1154</v>
      </c>
      <c r="C108" s="393">
        <v>1250</v>
      </c>
      <c r="D108" s="393">
        <v>1250</v>
      </c>
      <c r="E108" s="393">
        <v>2000</v>
      </c>
      <c r="F108" s="212"/>
      <c r="G108" s="212"/>
      <c r="H108" s="212"/>
      <c r="I108" s="212"/>
      <c r="J108" s="212"/>
      <c r="K108" s="212"/>
      <c r="L108" s="212"/>
      <c r="M108" s="410">
        <f t="shared" si="22"/>
        <v>7500</v>
      </c>
      <c r="N108" s="410">
        <f t="shared" si="19"/>
        <v>8000</v>
      </c>
      <c r="O108" s="386">
        <f t="shared" si="23"/>
        <v>500</v>
      </c>
      <c r="P108" s="392">
        <f t="shared" si="24"/>
        <v>6.6699999999999995E-2</v>
      </c>
      <c r="Q108" s="385" t="s">
        <v>2217</v>
      </c>
      <c r="R108" s="572"/>
      <c r="S108" s="386"/>
    </row>
    <row r="109" spans="1:19" x14ac:dyDescent="0.2">
      <c r="A109" s="795">
        <v>5193</v>
      </c>
      <c r="B109" s="387" t="s">
        <v>1155</v>
      </c>
      <c r="C109" s="393"/>
      <c r="D109" s="393"/>
      <c r="E109" s="393"/>
      <c r="F109" s="212"/>
      <c r="G109" s="212"/>
      <c r="H109" s="212"/>
      <c r="I109" s="212"/>
      <c r="J109" s="212"/>
      <c r="K109" s="212"/>
      <c r="L109" s="212"/>
      <c r="M109" s="410">
        <f t="shared" si="22"/>
        <v>0</v>
      </c>
      <c r="N109" s="410">
        <f t="shared" si="19"/>
        <v>0</v>
      </c>
      <c r="O109" s="386">
        <f t="shared" si="23"/>
        <v>0</v>
      </c>
      <c r="P109" s="392" t="str">
        <f t="shared" si="24"/>
        <v/>
      </c>
      <c r="Q109" s="385"/>
      <c r="R109" s="572"/>
      <c r="S109" s="386"/>
    </row>
    <row r="110" spans="1:19" x14ac:dyDescent="0.2">
      <c r="A110" s="795">
        <v>5195</v>
      </c>
      <c r="B110" s="387" t="s">
        <v>1156</v>
      </c>
      <c r="C110" s="393">
        <v>15543.38</v>
      </c>
      <c r="D110" s="393">
        <v>42221.279999999999</v>
      </c>
      <c r="E110" s="393">
        <v>32224.55</v>
      </c>
      <c r="F110" s="212"/>
      <c r="G110" s="212"/>
      <c r="H110" s="212"/>
      <c r="I110" s="212"/>
      <c r="J110" s="212"/>
      <c r="K110" s="212"/>
      <c r="L110" s="212"/>
      <c r="M110" s="410">
        <f t="shared" si="22"/>
        <v>43000</v>
      </c>
      <c r="N110" s="410">
        <f t="shared" si="19"/>
        <v>45000</v>
      </c>
      <c r="O110" s="386">
        <f t="shared" si="23"/>
        <v>2000</v>
      </c>
      <c r="P110" s="392">
        <f t="shared" si="24"/>
        <v>4.65E-2</v>
      </c>
      <c r="Q110" s="385" t="s">
        <v>2218</v>
      </c>
      <c r="R110" s="572"/>
      <c r="S110" s="386"/>
    </row>
    <row r="111" spans="1:19" x14ac:dyDescent="0.2">
      <c r="A111" s="795">
        <v>5242</v>
      </c>
      <c r="B111" s="387" t="s">
        <v>1157</v>
      </c>
      <c r="C111" s="391">
        <v>1923.55</v>
      </c>
      <c r="D111" s="391">
        <v>1658.62</v>
      </c>
      <c r="E111" s="391">
        <v>1894.84</v>
      </c>
      <c r="F111" s="212"/>
      <c r="G111" s="212"/>
      <c r="H111" s="212"/>
      <c r="I111" s="212"/>
      <c r="J111" s="212"/>
      <c r="K111" s="212"/>
      <c r="L111" s="212"/>
      <c r="M111" s="410">
        <f t="shared" ref="M111:M121" si="25">+O30</f>
        <v>1750</v>
      </c>
      <c r="N111" s="410">
        <f t="shared" ref="N111:N121" si="26">+Q30</f>
        <v>1750</v>
      </c>
      <c r="O111" s="386">
        <f t="shared" si="23"/>
        <v>0</v>
      </c>
      <c r="P111" s="392" t="str">
        <f t="shared" si="24"/>
        <v/>
      </c>
      <c r="Q111" s="385"/>
      <c r="R111" s="572"/>
      <c r="S111" s="386"/>
    </row>
    <row r="112" spans="1:19" x14ac:dyDescent="0.2">
      <c r="A112" s="795">
        <v>5247</v>
      </c>
      <c r="B112" s="387" t="s">
        <v>1158</v>
      </c>
      <c r="C112" s="391"/>
      <c r="D112" s="391"/>
      <c r="E112" s="391"/>
      <c r="F112" s="212"/>
      <c r="G112" s="212"/>
      <c r="H112" s="212"/>
      <c r="I112" s="212"/>
      <c r="J112" s="212"/>
      <c r="K112" s="212"/>
      <c r="L112" s="212"/>
      <c r="M112" s="410">
        <f t="shared" si="25"/>
        <v>26000</v>
      </c>
      <c r="N112" s="410">
        <f t="shared" si="26"/>
        <v>31900</v>
      </c>
      <c r="O112" s="386">
        <f t="shared" si="23"/>
        <v>5900</v>
      </c>
      <c r="P112" s="392">
        <f t="shared" si="24"/>
        <v>0.22689999999999999</v>
      </c>
      <c r="Q112" s="385" t="s">
        <v>2219</v>
      </c>
      <c r="R112" s="572"/>
      <c r="S112" s="386"/>
    </row>
    <row r="113" spans="1:19" x14ac:dyDescent="0.2">
      <c r="A113" s="795">
        <v>5250</v>
      </c>
      <c r="B113" s="387" t="s">
        <v>1159</v>
      </c>
      <c r="C113" s="391">
        <v>27200.82</v>
      </c>
      <c r="D113" s="391">
        <v>21469.42</v>
      </c>
      <c r="E113" s="391">
        <v>28516.33</v>
      </c>
      <c r="F113" s="212"/>
      <c r="G113" s="212"/>
      <c r="H113" s="212"/>
      <c r="I113" s="212"/>
      <c r="J113" s="212"/>
      <c r="K113" s="212"/>
      <c r="L113" s="212"/>
      <c r="M113" s="410">
        <f t="shared" si="25"/>
        <v>14500</v>
      </c>
      <c r="N113" s="410">
        <f t="shared" si="26"/>
        <v>15500</v>
      </c>
      <c r="O113" s="386">
        <f t="shared" si="23"/>
        <v>1000</v>
      </c>
      <c r="P113" s="392">
        <f t="shared" si="24"/>
        <v>6.9000000000000006E-2</v>
      </c>
      <c r="Q113" s="385" t="s">
        <v>2157</v>
      </c>
      <c r="R113" s="572"/>
      <c r="S113" s="386"/>
    </row>
    <row r="114" spans="1:19" x14ac:dyDescent="0.2">
      <c r="A114" s="795">
        <v>5260</v>
      </c>
      <c r="B114" s="387" t="s">
        <v>1160</v>
      </c>
      <c r="C114" s="398"/>
      <c r="D114" s="398"/>
      <c r="E114" s="398"/>
      <c r="F114" s="212"/>
      <c r="G114" s="212"/>
      <c r="H114" s="212"/>
      <c r="I114" s="212"/>
      <c r="J114" s="212"/>
      <c r="K114" s="212"/>
      <c r="L114" s="212"/>
      <c r="M114" s="410">
        <f t="shared" si="25"/>
        <v>1360</v>
      </c>
      <c r="N114" s="410">
        <f t="shared" si="26"/>
        <v>1360</v>
      </c>
      <c r="O114" s="386">
        <f t="shared" si="23"/>
        <v>0</v>
      </c>
      <c r="P114" s="392" t="str">
        <f t="shared" si="24"/>
        <v/>
      </c>
      <c r="Q114" s="385"/>
      <c r="R114" s="572"/>
      <c r="S114" s="386"/>
    </row>
    <row r="115" spans="1:19" x14ac:dyDescent="0.2">
      <c r="A115" s="795">
        <v>5314</v>
      </c>
      <c r="B115" s="387" t="s">
        <v>1161</v>
      </c>
      <c r="C115" s="398"/>
      <c r="D115" s="398"/>
      <c r="E115" s="398"/>
      <c r="F115" s="212"/>
      <c r="G115" s="212"/>
      <c r="H115" s="212"/>
      <c r="I115" s="212"/>
      <c r="J115" s="212"/>
      <c r="K115" s="212"/>
      <c r="L115" s="212"/>
      <c r="M115" s="410">
        <f t="shared" si="25"/>
        <v>8000</v>
      </c>
      <c r="N115" s="410">
        <f t="shared" si="26"/>
        <v>6000</v>
      </c>
      <c r="O115" s="386">
        <f t="shared" si="23"/>
        <v>-2000</v>
      </c>
      <c r="P115" s="392">
        <f t="shared" si="24"/>
        <v>-0.25</v>
      </c>
      <c r="Q115" s="386" t="s">
        <v>2220</v>
      </c>
      <c r="R115" s="386"/>
      <c r="S115" s="386"/>
    </row>
    <row r="116" spans="1:19" x14ac:dyDescent="0.2">
      <c r="A116" s="795">
        <v>5315</v>
      </c>
      <c r="B116" s="387" t="s">
        <v>1162</v>
      </c>
      <c r="C116" s="398">
        <v>11637.02</v>
      </c>
      <c r="D116" s="398">
        <v>0</v>
      </c>
      <c r="E116" s="398">
        <v>3445.6</v>
      </c>
      <c r="F116" s="212"/>
      <c r="G116" s="212"/>
      <c r="H116" s="212"/>
      <c r="I116" s="212"/>
      <c r="J116" s="212"/>
      <c r="K116" s="212"/>
      <c r="L116" s="212"/>
      <c r="M116" s="410">
        <f t="shared" si="25"/>
        <v>0</v>
      </c>
      <c r="N116" s="410">
        <f t="shared" si="26"/>
        <v>0</v>
      </c>
      <c r="O116" s="386">
        <f t="shared" si="23"/>
        <v>0</v>
      </c>
      <c r="P116" s="392" t="str">
        <f t="shared" si="24"/>
        <v/>
      </c>
      <c r="Q116" s="385"/>
      <c r="R116" s="572"/>
      <c r="S116" s="386"/>
    </row>
    <row r="117" spans="1:19" x14ac:dyDescent="0.2">
      <c r="A117" s="795">
        <v>5318</v>
      </c>
      <c r="B117" s="387" t="s">
        <v>1163</v>
      </c>
      <c r="C117" s="391">
        <v>389.48</v>
      </c>
      <c r="D117" s="391">
        <v>414.14</v>
      </c>
      <c r="E117" s="391">
        <v>251.14</v>
      </c>
      <c r="F117" s="212"/>
      <c r="G117" s="212"/>
      <c r="H117" s="212"/>
      <c r="I117" s="212"/>
      <c r="J117" s="212"/>
      <c r="K117" s="212"/>
      <c r="L117" s="212"/>
      <c r="M117" s="410">
        <f t="shared" si="25"/>
        <v>300</v>
      </c>
      <c r="N117" s="410">
        <f t="shared" si="26"/>
        <v>300</v>
      </c>
      <c r="O117" s="386">
        <f t="shared" si="23"/>
        <v>0</v>
      </c>
      <c r="P117" s="392" t="str">
        <f t="shared" si="24"/>
        <v/>
      </c>
      <c r="Q117" s="385"/>
      <c r="R117" s="572"/>
      <c r="S117" s="386"/>
    </row>
    <row r="118" spans="1:19" x14ac:dyDescent="0.2">
      <c r="A118" s="795">
        <v>5319</v>
      </c>
      <c r="B118" s="387" t="s">
        <v>1164</v>
      </c>
      <c r="C118" s="391">
        <v>377</v>
      </c>
      <c r="D118" s="391">
        <v>365</v>
      </c>
      <c r="E118" s="391">
        <v>225</v>
      </c>
      <c r="F118" s="212"/>
      <c r="G118" s="212"/>
      <c r="H118" s="212"/>
      <c r="I118" s="212"/>
      <c r="J118" s="212"/>
      <c r="K118" s="212"/>
      <c r="L118" s="212"/>
      <c r="M118" s="410">
        <f t="shared" si="25"/>
        <v>300</v>
      </c>
      <c r="N118" s="410">
        <f t="shared" si="26"/>
        <v>300</v>
      </c>
      <c r="O118" s="386">
        <f t="shared" si="23"/>
        <v>0</v>
      </c>
      <c r="P118" s="392" t="str">
        <f t="shared" si="24"/>
        <v/>
      </c>
      <c r="Q118" s="385"/>
      <c r="R118" s="572"/>
      <c r="S118" s="386"/>
    </row>
    <row r="119" spans="1:19" x14ac:dyDescent="0.2">
      <c r="A119" s="795">
        <v>5341</v>
      </c>
      <c r="B119" s="387" t="s">
        <v>862</v>
      </c>
      <c r="C119" s="391">
        <v>9988.5499999999993</v>
      </c>
      <c r="D119" s="391">
        <v>9838.16</v>
      </c>
      <c r="E119" s="391">
        <v>9610.84</v>
      </c>
      <c r="F119" s="212"/>
      <c r="G119" s="212"/>
      <c r="H119" s="212"/>
      <c r="I119" s="212"/>
      <c r="J119" s="212"/>
      <c r="K119" s="212"/>
      <c r="L119" s="212"/>
      <c r="M119" s="410">
        <f t="shared" si="25"/>
        <v>10800</v>
      </c>
      <c r="N119" s="410">
        <f t="shared" si="26"/>
        <v>12000</v>
      </c>
      <c r="O119" s="386">
        <f t="shared" si="23"/>
        <v>1200</v>
      </c>
      <c r="P119" s="392">
        <f t="shared" si="24"/>
        <v>0.1111</v>
      </c>
      <c r="Q119" s="386" t="s">
        <v>2221</v>
      </c>
      <c r="R119" s="386"/>
      <c r="S119" s="386"/>
    </row>
    <row r="120" spans="1:19" x14ac:dyDescent="0.2">
      <c r="A120" s="795">
        <v>5344</v>
      </c>
      <c r="B120" s="387" t="s">
        <v>832</v>
      </c>
      <c r="C120" s="391">
        <v>485.47</v>
      </c>
      <c r="D120" s="391">
        <v>433.04</v>
      </c>
      <c r="E120" s="391">
        <v>431.03</v>
      </c>
      <c r="F120" s="212"/>
      <c r="G120" s="212"/>
      <c r="H120" s="212"/>
      <c r="I120" s="212"/>
      <c r="J120" s="212"/>
      <c r="K120" s="212"/>
      <c r="L120" s="212"/>
      <c r="M120" s="410">
        <f t="shared" si="25"/>
        <v>550</v>
      </c>
      <c r="N120" s="410">
        <f t="shared" si="26"/>
        <v>550</v>
      </c>
      <c r="O120" s="386">
        <f t="shared" si="23"/>
        <v>0</v>
      </c>
      <c r="P120" s="392" t="str">
        <f t="shared" si="24"/>
        <v/>
      </c>
      <c r="Q120" s="386"/>
      <c r="R120" s="386"/>
      <c r="S120" s="386"/>
    </row>
    <row r="121" spans="1:19" ht="13.5" thickBot="1" x14ac:dyDescent="0.25">
      <c r="A121" s="795">
        <v>5345</v>
      </c>
      <c r="B121" s="387" t="s">
        <v>863</v>
      </c>
      <c r="C121" s="391">
        <v>60</v>
      </c>
      <c r="D121" s="391">
        <v>312.44</v>
      </c>
      <c r="E121" s="391">
        <v>834.4</v>
      </c>
      <c r="F121" s="212"/>
      <c r="G121" s="212"/>
      <c r="H121" s="212"/>
      <c r="I121" s="212"/>
      <c r="J121" s="212"/>
      <c r="K121" s="212"/>
      <c r="L121" s="212"/>
      <c r="M121" s="410">
        <f t="shared" si="25"/>
        <v>500</v>
      </c>
      <c r="N121" s="410">
        <f t="shared" si="26"/>
        <v>500</v>
      </c>
      <c r="O121" s="386">
        <f t="shared" si="23"/>
        <v>0</v>
      </c>
      <c r="P121" s="392" t="str">
        <f t="shared" si="24"/>
        <v/>
      </c>
      <c r="Q121" s="385"/>
      <c r="R121" s="572"/>
      <c r="S121" s="386"/>
    </row>
    <row r="122" spans="1:19" ht="13.5" thickTop="1" x14ac:dyDescent="0.2">
      <c r="A122" s="789"/>
      <c r="B122" s="367"/>
      <c r="C122" s="368" t="s">
        <v>280</v>
      </c>
      <c r="D122" s="369" t="s">
        <v>280</v>
      </c>
      <c r="E122" s="369" t="s">
        <v>280</v>
      </c>
      <c r="F122" s="212"/>
      <c r="G122" s="212"/>
      <c r="H122" s="212"/>
      <c r="I122" s="212"/>
      <c r="J122" s="212"/>
      <c r="K122" s="212"/>
      <c r="L122" s="212"/>
      <c r="M122" s="370" t="s">
        <v>279</v>
      </c>
      <c r="N122" s="371" t="s">
        <v>826</v>
      </c>
      <c r="O122" s="372" t="s">
        <v>840</v>
      </c>
      <c r="P122" s="371" t="s">
        <v>841</v>
      </c>
      <c r="Q122" s="373"/>
      <c r="R122" s="569"/>
      <c r="S122" s="372"/>
    </row>
    <row r="123" spans="1:19" ht="13.5" thickBot="1" x14ac:dyDescent="0.25">
      <c r="A123" s="790" t="s">
        <v>825</v>
      </c>
      <c r="B123" s="374"/>
      <c r="C123" s="375" t="s">
        <v>267</v>
      </c>
      <c r="D123" s="375" t="s">
        <v>268</v>
      </c>
      <c r="E123" s="376" t="s">
        <v>269</v>
      </c>
      <c r="F123" s="212"/>
      <c r="G123" s="212"/>
      <c r="H123" s="212"/>
      <c r="I123" s="212"/>
      <c r="J123" s="212"/>
      <c r="K123" s="212"/>
      <c r="L123" s="212"/>
      <c r="M123" s="377" t="s">
        <v>276</v>
      </c>
      <c r="N123" s="377" t="s">
        <v>277</v>
      </c>
      <c r="O123" s="376" t="s">
        <v>843</v>
      </c>
      <c r="P123" s="378" t="s">
        <v>843</v>
      </c>
      <c r="Q123" s="379" t="s">
        <v>844</v>
      </c>
      <c r="R123" s="570"/>
      <c r="S123" s="377"/>
    </row>
    <row r="124" spans="1:19" ht="13.5" thickTop="1" x14ac:dyDescent="0.2">
      <c r="A124" s="795">
        <v>5350</v>
      </c>
      <c r="B124" s="387" t="s">
        <v>1061</v>
      </c>
      <c r="C124" s="383">
        <v>4888</v>
      </c>
      <c r="D124" s="383">
        <v>8902</v>
      </c>
      <c r="E124" s="383">
        <v>2516</v>
      </c>
      <c r="F124" s="212"/>
      <c r="G124" s="212"/>
      <c r="H124" s="212"/>
      <c r="I124" s="212"/>
      <c r="J124" s="212"/>
      <c r="K124" s="212"/>
      <c r="L124" s="212"/>
      <c r="M124" s="390">
        <f t="shared" ref="M124:M134" si="27">+O41</f>
        <v>9900</v>
      </c>
      <c r="N124" s="410">
        <f t="shared" ref="N124:N134" si="28">+Q41</f>
        <v>2100</v>
      </c>
      <c r="O124" s="386">
        <f t="shared" ref="O124:O136" si="29">+N124-M124</f>
        <v>-7800</v>
      </c>
      <c r="P124" s="392">
        <f t="shared" ref="P124:P136" si="30">IF(M124+N124&lt;&gt;0,IF(M124&lt;&gt;0,IF(O124&lt;&gt;0,ROUND((+O124/M124),4),""),1),"")</f>
        <v>-0.78790000000000004</v>
      </c>
      <c r="Q124" s="385" t="s">
        <v>2222</v>
      </c>
      <c r="R124" s="572"/>
      <c r="S124" s="386"/>
    </row>
    <row r="125" spans="1:19" x14ac:dyDescent="0.2">
      <c r="A125" s="795">
        <v>5451</v>
      </c>
      <c r="B125" s="387" t="s">
        <v>1165</v>
      </c>
      <c r="C125" s="383">
        <v>151.84</v>
      </c>
      <c r="D125" s="383">
        <v>313.04000000000002</v>
      </c>
      <c r="E125" s="383">
        <v>240.78</v>
      </c>
      <c r="F125" s="212"/>
      <c r="G125" s="212"/>
      <c r="H125" s="212"/>
      <c r="I125" s="212"/>
      <c r="J125" s="212"/>
      <c r="K125" s="212"/>
      <c r="L125" s="212"/>
      <c r="M125" s="390">
        <f t="shared" si="27"/>
        <v>300</v>
      </c>
      <c r="N125" s="410">
        <f t="shared" si="28"/>
        <v>500</v>
      </c>
      <c r="O125" s="386">
        <f t="shared" si="29"/>
        <v>200</v>
      </c>
      <c r="P125" s="392">
        <f t="shared" si="30"/>
        <v>0.66669999999999996</v>
      </c>
      <c r="Q125" s="385"/>
      <c r="R125" s="572"/>
      <c r="S125" s="386"/>
    </row>
    <row r="126" spans="1:19" x14ac:dyDescent="0.2">
      <c r="A126" s="795">
        <v>5480</v>
      </c>
      <c r="B126" s="387" t="s">
        <v>1166</v>
      </c>
      <c r="C126" s="383">
        <f>68522.52-C127</f>
        <v>31988.520000000004</v>
      </c>
      <c r="D126" s="383">
        <v>20804.080000000002</v>
      </c>
      <c r="E126" s="383">
        <v>25094.28</v>
      </c>
      <c r="F126" s="212"/>
      <c r="G126" s="212"/>
      <c r="H126" s="212"/>
      <c r="I126" s="212"/>
      <c r="J126" s="212"/>
      <c r="K126" s="212"/>
      <c r="L126" s="212"/>
      <c r="M126" s="390">
        <f t="shared" si="27"/>
        <v>28000</v>
      </c>
      <c r="N126" s="410">
        <f t="shared" si="28"/>
        <v>30000</v>
      </c>
      <c r="O126" s="386">
        <f t="shared" si="29"/>
        <v>2000</v>
      </c>
      <c r="P126" s="392">
        <f t="shared" si="30"/>
        <v>7.1400000000000005E-2</v>
      </c>
      <c r="Q126" s="386" t="s">
        <v>1206</v>
      </c>
      <c r="R126" s="386"/>
      <c r="S126" s="386"/>
    </row>
    <row r="127" spans="1:19" x14ac:dyDescent="0.2">
      <c r="A127" s="795">
        <v>5481</v>
      </c>
      <c r="B127" s="387" t="s">
        <v>1167</v>
      </c>
      <c r="C127" s="383">
        <v>36534</v>
      </c>
      <c r="D127" s="383">
        <v>40525.1</v>
      </c>
      <c r="E127" s="383">
        <v>37560.18</v>
      </c>
      <c r="F127" s="212"/>
      <c r="G127" s="212"/>
      <c r="H127" s="212"/>
      <c r="I127" s="212"/>
      <c r="J127" s="212"/>
      <c r="K127" s="212"/>
      <c r="L127" s="212"/>
      <c r="M127" s="390">
        <f t="shared" si="27"/>
        <v>33000</v>
      </c>
      <c r="N127" s="410">
        <f t="shared" si="28"/>
        <v>34000</v>
      </c>
      <c r="O127" s="386">
        <f t="shared" si="29"/>
        <v>1000</v>
      </c>
      <c r="P127" s="392">
        <f t="shared" si="30"/>
        <v>3.0300000000000001E-2</v>
      </c>
      <c r="Q127" s="386" t="s">
        <v>1206</v>
      </c>
      <c r="R127" s="386"/>
      <c r="S127" s="386"/>
    </row>
    <row r="128" spans="1:19" x14ac:dyDescent="0.2">
      <c r="A128" s="795">
        <v>5501</v>
      </c>
      <c r="B128" s="387" t="s">
        <v>1168</v>
      </c>
      <c r="C128" s="391"/>
      <c r="D128" s="383">
        <v>1000</v>
      </c>
      <c r="E128" s="383"/>
      <c r="F128" s="212"/>
      <c r="G128" s="212"/>
      <c r="H128" s="212"/>
      <c r="I128" s="212"/>
      <c r="J128" s="212"/>
      <c r="K128" s="212"/>
      <c r="L128" s="212"/>
      <c r="M128" s="390">
        <f t="shared" si="27"/>
        <v>0</v>
      </c>
      <c r="N128" s="410">
        <f t="shared" si="28"/>
        <v>0</v>
      </c>
      <c r="O128" s="386">
        <f t="shared" si="29"/>
        <v>0</v>
      </c>
      <c r="P128" s="392" t="str">
        <f t="shared" si="30"/>
        <v/>
      </c>
      <c r="Q128" s="385"/>
      <c r="R128" s="572"/>
      <c r="S128" s="386"/>
    </row>
    <row r="129" spans="1:20" x14ac:dyDescent="0.2">
      <c r="A129" s="795">
        <v>5580</v>
      </c>
      <c r="B129" s="387" t="s">
        <v>1169</v>
      </c>
      <c r="C129" s="391">
        <v>17942.53</v>
      </c>
      <c r="D129" s="391">
        <v>17659.2</v>
      </c>
      <c r="E129" s="391">
        <v>20857.36</v>
      </c>
      <c r="F129" s="212"/>
      <c r="G129" s="212"/>
      <c r="H129" s="212"/>
      <c r="I129" s="212"/>
      <c r="J129" s="212"/>
      <c r="K129" s="212"/>
      <c r="L129" s="212"/>
      <c r="M129" s="390">
        <f t="shared" si="27"/>
        <v>16000</v>
      </c>
      <c r="N129" s="410">
        <f t="shared" si="28"/>
        <v>17000</v>
      </c>
      <c r="O129" s="386">
        <f t="shared" si="29"/>
        <v>1000</v>
      </c>
      <c r="P129" s="392">
        <f t="shared" si="30"/>
        <v>6.25E-2</v>
      </c>
      <c r="Q129" s="386" t="s">
        <v>1206</v>
      </c>
      <c r="R129" s="572"/>
      <c r="S129" s="386"/>
    </row>
    <row r="130" spans="1:20" x14ac:dyDescent="0.2">
      <c r="A130" s="795">
        <v>5581</v>
      </c>
      <c r="B130" s="387" t="s">
        <v>866</v>
      </c>
      <c r="C130" s="391">
        <v>22.95</v>
      </c>
      <c r="D130" s="391">
        <v>144.53</v>
      </c>
      <c r="E130" s="391">
        <v>40</v>
      </c>
      <c r="F130" s="212"/>
      <c r="G130" s="212"/>
      <c r="H130" s="212"/>
      <c r="I130" s="212"/>
      <c r="J130" s="212"/>
      <c r="K130" s="212"/>
      <c r="L130" s="212"/>
      <c r="M130" s="390">
        <f t="shared" si="27"/>
        <v>400</v>
      </c>
      <c r="N130" s="410">
        <f t="shared" si="28"/>
        <v>600</v>
      </c>
      <c r="O130" s="386">
        <f t="shared" si="29"/>
        <v>200</v>
      </c>
      <c r="P130" s="392">
        <f t="shared" si="30"/>
        <v>0.5</v>
      </c>
      <c r="Q130" s="385"/>
      <c r="R130" s="572"/>
      <c r="S130" s="386"/>
    </row>
    <row r="131" spans="1:20" x14ac:dyDescent="0.2">
      <c r="A131" s="795">
        <v>5582</v>
      </c>
      <c r="B131" s="387" t="s">
        <v>1170</v>
      </c>
      <c r="C131" s="391">
        <v>13164.59</v>
      </c>
      <c r="D131" s="391">
        <v>14612.48</v>
      </c>
      <c r="E131" s="391">
        <v>13045.12</v>
      </c>
      <c r="F131" s="212"/>
      <c r="G131" s="212"/>
      <c r="H131" s="212"/>
      <c r="I131" s="212"/>
      <c r="J131" s="212"/>
      <c r="K131" s="212"/>
      <c r="L131" s="212"/>
      <c r="M131" s="390">
        <f t="shared" si="27"/>
        <v>22200</v>
      </c>
      <c r="N131" s="410">
        <f t="shared" si="28"/>
        <v>22200</v>
      </c>
      <c r="O131" s="386">
        <f t="shared" si="29"/>
        <v>0</v>
      </c>
      <c r="P131" s="392" t="str">
        <f t="shared" si="30"/>
        <v/>
      </c>
      <c r="Q131" s="385" t="s">
        <v>1201</v>
      </c>
      <c r="R131" s="572"/>
      <c r="S131" s="386"/>
    </row>
    <row r="132" spans="1:20" x14ac:dyDescent="0.2">
      <c r="A132" s="795">
        <v>5585</v>
      </c>
      <c r="B132" s="387" t="s">
        <v>1171</v>
      </c>
      <c r="C132" s="383"/>
      <c r="D132" s="391">
        <v>8296</v>
      </c>
      <c r="E132" s="391">
        <v>5859.25</v>
      </c>
      <c r="F132" s="212"/>
      <c r="G132" s="212"/>
      <c r="H132" s="212"/>
      <c r="I132" s="212"/>
      <c r="J132" s="212"/>
      <c r="K132" s="212"/>
      <c r="L132" s="212"/>
      <c r="M132" s="390">
        <f t="shared" si="27"/>
        <v>5900</v>
      </c>
      <c r="N132" s="410">
        <f t="shared" si="28"/>
        <v>6100</v>
      </c>
      <c r="O132" s="386">
        <f t="shared" si="29"/>
        <v>200</v>
      </c>
      <c r="P132" s="392">
        <f t="shared" si="30"/>
        <v>3.39E-2</v>
      </c>
      <c r="Q132" s="386" t="s">
        <v>1206</v>
      </c>
      <c r="R132" s="572"/>
      <c r="S132" s="386"/>
    </row>
    <row r="133" spans="1:20" x14ac:dyDescent="0.2">
      <c r="A133" s="795">
        <v>5710</v>
      </c>
      <c r="B133" s="387" t="s">
        <v>1207</v>
      </c>
      <c r="C133" s="383">
        <v>4091</v>
      </c>
      <c r="D133" s="391">
        <v>4364.99</v>
      </c>
      <c r="E133" s="391">
        <v>2125.65</v>
      </c>
      <c r="F133" s="212"/>
      <c r="G133" s="212"/>
      <c r="H133" s="212"/>
      <c r="I133" s="212"/>
      <c r="J133" s="212"/>
      <c r="K133" s="212"/>
      <c r="L133" s="212"/>
      <c r="M133" s="390">
        <f t="shared" si="27"/>
        <v>1900</v>
      </c>
      <c r="N133" s="410">
        <f t="shared" si="28"/>
        <v>2500</v>
      </c>
      <c r="O133" s="386">
        <f t="shared" si="29"/>
        <v>600</v>
      </c>
      <c r="P133" s="392">
        <f t="shared" si="30"/>
        <v>0.31580000000000003</v>
      </c>
      <c r="Q133" s="386" t="s">
        <v>1206</v>
      </c>
      <c r="R133" s="572"/>
      <c r="S133" s="386"/>
    </row>
    <row r="134" spans="1:20" x14ac:dyDescent="0.2">
      <c r="A134" s="795">
        <v>5730</v>
      </c>
      <c r="B134" s="387" t="s">
        <v>870</v>
      </c>
      <c r="C134" s="391">
        <v>1430</v>
      </c>
      <c r="D134" s="383">
        <v>1708</v>
      </c>
      <c r="E134" s="383">
        <v>1620</v>
      </c>
      <c r="F134" s="212"/>
      <c r="G134" s="212"/>
      <c r="H134" s="212"/>
      <c r="I134" s="212"/>
      <c r="J134" s="212"/>
      <c r="K134" s="212"/>
      <c r="L134" s="212"/>
      <c r="M134" s="390">
        <f t="shared" si="27"/>
        <v>2700</v>
      </c>
      <c r="N134" s="410">
        <f t="shared" si="28"/>
        <v>2700</v>
      </c>
      <c r="O134" s="386">
        <f t="shared" si="29"/>
        <v>0</v>
      </c>
      <c r="P134" s="392" t="str">
        <f t="shared" si="30"/>
        <v/>
      </c>
      <c r="Q134" s="385"/>
      <c r="R134" s="572"/>
      <c r="S134" s="386"/>
    </row>
    <row r="135" spans="1:20" ht="13.5" thickBot="1" x14ac:dyDescent="0.25">
      <c r="A135" s="795">
        <v>5740</v>
      </c>
      <c r="B135" s="387" t="s">
        <v>984</v>
      </c>
      <c r="C135" s="389">
        <v>11660</v>
      </c>
      <c r="D135" s="389">
        <v>15136</v>
      </c>
      <c r="E135" s="389">
        <v>18476</v>
      </c>
      <c r="F135" s="212"/>
      <c r="G135" s="212"/>
      <c r="H135" s="212"/>
      <c r="I135" s="212"/>
      <c r="J135" s="212"/>
      <c r="K135" s="212"/>
      <c r="L135" s="212"/>
      <c r="M135" s="390">
        <f>+O53</f>
        <v>34000</v>
      </c>
      <c r="N135" s="410">
        <f>+Q53</f>
        <v>41500</v>
      </c>
      <c r="O135" s="386">
        <f t="shared" si="29"/>
        <v>7500</v>
      </c>
      <c r="P135" s="392">
        <f t="shared" si="30"/>
        <v>0.22059999999999999</v>
      </c>
      <c r="Q135" s="385" t="s">
        <v>1206</v>
      </c>
      <c r="R135" s="572"/>
      <c r="S135" s="386"/>
    </row>
    <row r="136" spans="1:20" ht="13.5" thickBot="1" x14ac:dyDescent="0.25">
      <c r="A136" s="795">
        <v>5800</v>
      </c>
      <c r="B136" s="387" t="s">
        <v>538</v>
      </c>
      <c r="C136" s="389">
        <v>36895.4</v>
      </c>
      <c r="D136" s="389">
        <v>39483.5</v>
      </c>
      <c r="E136" s="389">
        <v>39102.5</v>
      </c>
      <c r="F136" s="212"/>
      <c r="G136" s="212"/>
      <c r="H136" s="212"/>
      <c r="I136" s="212"/>
      <c r="J136" s="212"/>
      <c r="K136" s="212"/>
      <c r="L136" s="212"/>
      <c r="M136" s="390">
        <f>+O56</f>
        <v>54000</v>
      </c>
      <c r="N136" s="410">
        <f>+Q56</f>
        <v>68100</v>
      </c>
      <c r="O136" s="386">
        <f t="shared" si="29"/>
        <v>14100</v>
      </c>
      <c r="P136" s="392">
        <f t="shared" si="30"/>
        <v>0.2611</v>
      </c>
      <c r="Q136" s="385"/>
      <c r="R136" s="572"/>
      <c r="S136" s="386"/>
    </row>
    <row r="138" spans="1:20" x14ac:dyDescent="0.2">
      <c r="A138" s="774"/>
      <c r="B138" s="4" t="s">
        <v>846</v>
      </c>
      <c r="C138" s="23"/>
      <c r="D138" s="23"/>
      <c r="E138" s="23"/>
      <c r="F138" s="23"/>
      <c r="G138" s="23"/>
      <c r="H138" s="212"/>
      <c r="I138" s="212"/>
      <c r="J138" s="212"/>
      <c r="K138" s="212"/>
      <c r="L138" s="212"/>
      <c r="M138" s="616">
        <f>SUM(M92:M136)</f>
        <v>1946786</v>
      </c>
      <c r="N138" s="616">
        <f>SUM(N92:N136)</f>
        <v>2038154.0889999999</v>
      </c>
      <c r="O138" s="25">
        <f>+N138-M138</f>
        <v>91368.08899999992</v>
      </c>
      <c r="P138" s="617">
        <f>IF(M138+N138&lt;&gt;0,IF(M138&lt;&gt;0,IF(O138&lt;&gt;0,ROUND((+O138/M138),4),""),1),"")</f>
        <v>4.6899999999999997E-2</v>
      </c>
    </row>
    <row r="139" spans="1:20" s="43" customFormat="1" ht="14.25" x14ac:dyDescent="0.2">
      <c r="A139" s="773"/>
      <c r="C139" s="126"/>
      <c r="D139" s="126"/>
      <c r="E139" s="126"/>
      <c r="F139" s="126"/>
      <c r="G139" s="126"/>
      <c r="H139" s="126"/>
      <c r="I139" s="126"/>
      <c r="J139" s="126"/>
      <c r="K139" s="126"/>
      <c r="L139" s="126"/>
      <c r="M139" s="126"/>
      <c r="N139" s="126"/>
      <c r="O139" s="126"/>
      <c r="Q139" s="126"/>
      <c r="R139" s="126"/>
      <c r="S139" s="126"/>
      <c r="T139" s="126"/>
    </row>
  </sheetData>
  <phoneticPr fontId="0" type="noConversion"/>
  <hyperlinks>
    <hyperlink ref="A1" location="'Working Budget with funding det'!A1" display="Main " xr:uid="{00000000-0004-0000-1900-000000000000}"/>
    <hyperlink ref="B1" location="'Table of Contents'!A1" display="TOC" xr:uid="{00000000-0004-0000-1900-000001000000}"/>
  </hyperlinks>
  <pageMargins left="0.75" right="0.75" top="1" bottom="1" header="0.5" footer="0.5"/>
  <pageSetup scale="86" fitToHeight="5" orientation="landscape" r:id="rId1"/>
  <headerFooter alignWithMargins="0">
    <oddFooter>&amp;L&amp;D     &amp;T&amp;C&amp;F&amp;R&amp;A  &amp;P</oddFooter>
  </headerFooter>
  <rowBreaks count="1" manualBreakCount="1">
    <brk id="89"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9F75-35BF-438F-8552-38FC224CCA1C}">
  <sheetPr>
    <tabColor rgb="FF92D050"/>
    <pageSetUpPr fitToPage="1"/>
  </sheetPr>
  <dimension ref="A4:K34"/>
  <sheetViews>
    <sheetView topLeftCell="F11" zoomScaleNormal="100" workbookViewId="0">
      <selection activeCell="J23" sqref="J23"/>
    </sheetView>
  </sheetViews>
  <sheetFormatPr defaultColWidth="9.33203125" defaultRowHeight="15.75" x14ac:dyDescent="0.25"/>
  <cols>
    <col min="1" max="4" width="19.83203125" style="981" hidden="1" customWidth="1"/>
    <col min="5" max="5" width="0" style="981" hidden="1" customWidth="1"/>
    <col min="6" max="6" width="9.33203125" style="981"/>
    <col min="7" max="7" width="32.6640625" style="981" customWidth="1"/>
    <col min="8" max="9" width="21" style="981" customWidth="1"/>
    <col min="10" max="10" width="26.1640625" style="981" customWidth="1"/>
    <col min="11" max="11" width="23" style="981" customWidth="1"/>
    <col min="12" max="16384" width="9.33203125" style="981"/>
  </cols>
  <sheetData>
    <row r="4" spans="1:11" ht="18.75" x14ac:dyDescent="0.3">
      <c r="A4" s="980" t="s">
        <v>160</v>
      </c>
      <c r="G4" s="980" t="s">
        <v>161</v>
      </c>
      <c r="J4" s="982"/>
      <c r="K4" s="983"/>
    </row>
    <row r="5" spans="1:11" x14ac:dyDescent="0.25">
      <c r="J5" s="982"/>
      <c r="K5" s="983"/>
    </row>
    <row r="6" spans="1:11" x14ac:dyDescent="0.25">
      <c r="A6" s="984" t="s">
        <v>162</v>
      </c>
      <c r="G6" s="996" t="s">
        <v>163</v>
      </c>
      <c r="H6" s="997"/>
      <c r="I6" s="997"/>
      <c r="J6" s="998"/>
      <c r="K6" s="999"/>
    </row>
    <row r="7" spans="1:11" x14ac:dyDescent="0.25">
      <c r="A7" s="984"/>
      <c r="G7" s="1000"/>
      <c r="J7" s="1001"/>
      <c r="K7" s="1002"/>
    </row>
    <row r="8" spans="1:11" x14ac:dyDescent="0.25">
      <c r="A8" s="985" t="s">
        <v>164</v>
      </c>
      <c r="B8" s="986">
        <v>783752</v>
      </c>
      <c r="C8" s="987" t="s">
        <v>165</v>
      </c>
      <c r="D8" s="988" t="s">
        <v>166</v>
      </c>
      <c r="G8" s="1003" t="s">
        <v>167</v>
      </c>
      <c r="J8" s="1001">
        <v>20207538.93</v>
      </c>
      <c r="K8" s="1002"/>
    </row>
    <row r="9" spans="1:11" x14ac:dyDescent="0.25">
      <c r="A9" s="989" t="s">
        <v>168</v>
      </c>
      <c r="B9" s="990">
        <v>745330</v>
      </c>
      <c r="C9" s="991">
        <f>+B8-B9</f>
        <v>38422</v>
      </c>
      <c r="D9" s="992"/>
      <c r="G9" s="1003"/>
      <c r="J9" s="1001"/>
      <c r="K9" s="1002"/>
    </row>
    <row r="10" spans="1:11" x14ac:dyDescent="0.25">
      <c r="A10" s="989" t="s">
        <v>169</v>
      </c>
      <c r="B10" s="990">
        <v>707076</v>
      </c>
      <c r="C10" s="991">
        <f>+B8-B10</f>
        <v>76676</v>
      </c>
      <c r="D10" s="992">
        <f>+C10-C9</f>
        <v>38254</v>
      </c>
      <c r="G10" s="1003" t="s">
        <v>170</v>
      </c>
      <c r="H10" s="981" t="s">
        <v>171</v>
      </c>
      <c r="I10" s="981" t="s">
        <v>172</v>
      </c>
      <c r="J10" s="1001" t="s">
        <v>173</v>
      </c>
      <c r="K10" s="1002" t="s">
        <v>174</v>
      </c>
    </row>
    <row r="11" spans="1:11" x14ac:dyDescent="0.25">
      <c r="A11" s="989" t="s">
        <v>175</v>
      </c>
      <c r="B11" s="990">
        <v>668631</v>
      </c>
      <c r="C11" s="991">
        <f>+B8-B11</f>
        <v>115121</v>
      </c>
      <c r="D11" s="992">
        <f>+C11-C10</f>
        <v>38445</v>
      </c>
      <c r="G11" s="1003" t="s">
        <v>176</v>
      </c>
      <c r="H11" s="1004">
        <v>0.57297799999999999</v>
      </c>
      <c r="J11" s="1001">
        <f>(+J8*H11)</f>
        <v>11578475.241033539</v>
      </c>
      <c r="K11" s="1002"/>
    </row>
    <row r="12" spans="1:11" x14ac:dyDescent="0.25">
      <c r="A12" s="989" t="s">
        <v>177</v>
      </c>
      <c r="B12" s="990">
        <v>630125</v>
      </c>
      <c r="C12" s="991">
        <f>+B8-B12</f>
        <v>153627</v>
      </c>
      <c r="D12" s="992">
        <f t="shared" ref="D12:D13" si="0">+C12-C11</f>
        <v>38506</v>
      </c>
      <c r="G12" s="1003" t="s">
        <v>178</v>
      </c>
      <c r="H12" s="1004">
        <v>0.42702200000000001</v>
      </c>
      <c r="J12" s="1001">
        <f>(+J8*H12)</f>
        <v>8629063.6889664605</v>
      </c>
      <c r="K12" s="1002"/>
    </row>
    <row r="13" spans="1:11" x14ac:dyDescent="0.25">
      <c r="A13" s="989" t="s">
        <v>179</v>
      </c>
      <c r="B13" s="990">
        <v>591892</v>
      </c>
      <c r="C13" s="990">
        <f>+B8-B13</f>
        <v>191860</v>
      </c>
      <c r="D13" s="992">
        <f t="shared" si="0"/>
        <v>38233</v>
      </c>
      <c r="G13" s="1003"/>
      <c r="J13" s="1001"/>
      <c r="K13" s="1002"/>
    </row>
    <row r="14" spans="1:11" x14ac:dyDescent="0.25">
      <c r="A14" s="993" t="s">
        <v>180</v>
      </c>
      <c r="B14" s="994"/>
      <c r="C14" s="994"/>
      <c r="D14" s="995"/>
      <c r="G14" s="1003"/>
      <c r="J14" s="1001"/>
      <c r="K14" s="1002"/>
    </row>
    <row r="15" spans="1:11" x14ac:dyDescent="0.25">
      <c r="G15" s="1000" t="s">
        <v>181</v>
      </c>
      <c r="J15" s="1001"/>
      <c r="K15" s="1002"/>
    </row>
    <row r="16" spans="1:11" x14ac:dyDescent="0.25">
      <c r="G16" s="1003" t="s">
        <v>170</v>
      </c>
      <c r="H16" s="981" t="s">
        <v>171</v>
      </c>
      <c r="I16" s="981" t="s">
        <v>172</v>
      </c>
      <c r="J16" s="1001" t="s">
        <v>173</v>
      </c>
      <c r="K16" s="1002" t="s">
        <v>174</v>
      </c>
    </row>
    <row r="17" spans="7:11" x14ac:dyDescent="0.25">
      <c r="G17" s="1003" t="s">
        <v>176</v>
      </c>
      <c r="H17" s="1004">
        <v>0.57297799999999999</v>
      </c>
      <c r="I17" s="981">
        <v>690791491</v>
      </c>
      <c r="J17" s="1001">
        <v>11577665.390000001</v>
      </c>
      <c r="K17" s="1005">
        <f>ROUND(((+J17/I17)*1000),2)</f>
        <v>16.760000000000002</v>
      </c>
    </row>
    <row r="18" spans="7:11" x14ac:dyDescent="0.25">
      <c r="G18" s="1003" t="s">
        <v>178</v>
      </c>
      <c r="H18" s="1004">
        <v>0.42702200000000001</v>
      </c>
      <c r="I18" s="981">
        <f>1024894222-I17</f>
        <v>334102731</v>
      </c>
      <c r="J18" s="1001">
        <f>20207538.93-J17</f>
        <v>8629873.5399999991</v>
      </c>
      <c r="K18" s="1005">
        <f>ROUND(((+J18/I18)*1000),2)</f>
        <v>25.83</v>
      </c>
    </row>
    <row r="19" spans="7:11" x14ac:dyDescent="0.25">
      <c r="G19" s="1003"/>
      <c r="J19" s="1001"/>
      <c r="K19" s="1002"/>
    </row>
    <row r="20" spans="7:11" x14ac:dyDescent="0.25">
      <c r="G20" s="1003"/>
      <c r="J20" s="1001"/>
      <c r="K20" s="1002"/>
    </row>
    <row r="21" spans="7:11" x14ac:dyDescent="0.25">
      <c r="G21" s="1000" t="s">
        <v>182</v>
      </c>
      <c r="J21" s="1001"/>
      <c r="K21" s="1002"/>
    </row>
    <row r="22" spans="7:11" x14ac:dyDescent="0.25">
      <c r="G22" s="1003" t="s">
        <v>183</v>
      </c>
      <c r="J22" s="1014">
        <v>38000</v>
      </c>
      <c r="K22" s="1002" t="s">
        <v>184</v>
      </c>
    </row>
    <row r="23" spans="7:11" x14ac:dyDescent="0.25">
      <c r="G23" s="1003" t="s">
        <v>176</v>
      </c>
      <c r="H23" s="1004">
        <v>0.57297799999999999</v>
      </c>
      <c r="I23" s="981">
        <v>690791491</v>
      </c>
      <c r="J23" s="1001">
        <f>(+J22*H23)</f>
        <v>21773.164000000001</v>
      </c>
      <c r="K23" s="1006">
        <f>ROUND(((+J23/I23)*1000),4)</f>
        <v>3.15E-2</v>
      </c>
    </row>
    <row r="24" spans="7:11" x14ac:dyDescent="0.25">
      <c r="G24" s="1003" t="s">
        <v>178</v>
      </c>
      <c r="H24" s="1004">
        <v>0.42702200000000001</v>
      </c>
      <c r="I24" s="981">
        <f>1024894222-I23</f>
        <v>334102731</v>
      </c>
      <c r="J24" s="1001">
        <f>(+J22*H24)</f>
        <v>16226.836000000001</v>
      </c>
      <c r="K24" s="1007">
        <f>ROUND(((+J24/I24)*1000),4)</f>
        <v>4.8599999999999997E-2</v>
      </c>
    </row>
    <row r="25" spans="7:11" x14ac:dyDescent="0.25">
      <c r="G25" s="1003"/>
      <c r="J25" s="1001"/>
      <c r="K25" s="1002"/>
    </row>
    <row r="26" spans="7:11" x14ac:dyDescent="0.25">
      <c r="G26" s="1003"/>
      <c r="J26" s="1001"/>
      <c r="K26" s="1002"/>
    </row>
    <row r="27" spans="7:11" x14ac:dyDescent="0.25">
      <c r="G27" s="1003"/>
      <c r="K27" s="1008"/>
    </row>
    <row r="28" spans="7:11" x14ac:dyDescent="0.25">
      <c r="G28" s="1000" t="s">
        <v>185</v>
      </c>
      <c r="K28" s="1008"/>
    </row>
    <row r="29" spans="7:11" x14ac:dyDescent="0.25">
      <c r="G29" s="1003" t="s">
        <v>186</v>
      </c>
      <c r="H29" s="1009" t="s">
        <v>187</v>
      </c>
      <c r="I29" s="1010" t="s">
        <v>188</v>
      </c>
      <c r="J29" s="1009" t="s">
        <v>184</v>
      </c>
      <c r="K29" s="1015" t="s">
        <v>189</v>
      </c>
    </row>
    <row r="30" spans="7:11" x14ac:dyDescent="0.25">
      <c r="G30" s="1013">
        <f>J22</f>
        <v>38000</v>
      </c>
      <c r="H30" s="1011">
        <v>235150</v>
      </c>
      <c r="I30" s="1011">
        <f>H30/1000</f>
        <v>235.15</v>
      </c>
      <c r="J30" s="1012">
        <f>K23</f>
        <v>3.15E-2</v>
      </c>
      <c r="K30" s="1016">
        <f>I30*J30</f>
        <v>7.4072250000000004</v>
      </c>
    </row>
    <row r="32" spans="7:11" x14ac:dyDescent="0.25">
      <c r="G32" s="981" t="s">
        <v>190</v>
      </c>
    </row>
    <row r="33" spans="7:7" x14ac:dyDescent="0.25">
      <c r="G33" s="981" t="s">
        <v>191</v>
      </c>
    </row>
    <row r="34" spans="7:7" x14ac:dyDescent="0.25">
      <c r="G34" s="981" t="s">
        <v>192</v>
      </c>
    </row>
  </sheetData>
  <pageMargins left="0.7" right="0.7" top="0.75" bottom="0.75" header="0.3" footer="0.3"/>
  <pageSetup scale="81" orientation="portrait" verticalDpi="1200" r:id="rId1"/>
  <headerFooter>
    <oddHeader>&amp;C&amp;"+,Bold"&amp;16Tax Rate Impact Calculator</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pageSetUpPr fitToPage="1"/>
  </sheetPr>
  <dimension ref="A1:W159"/>
  <sheetViews>
    <sheetView topLeftCell="A27" zoomScaleNormal="100" workbookViewId="0">
      <selection activeCell="B28" sqref="B28"/>
    </sheetView>
  </sheetViews>
  <sheetFormatPr defaultRowHeight="12.75" x14ac:dyDescent="0.2"/>
  <cols>
    <col min="1" max="1" width="11.6640625" style="783" customWidth="1"/>
    <col min="2" max="2" width="35.83203125" customWidth="1"/>
    <col min="3" max="3" width="14.1640625" style="1" hidden="1" customWidth="1"/>
    <col min="4" max="12" width="14.83203125" style="106" hidden="1" customWidth="1"/>
    <col min="13" max="15" width="14.83203125" style="106" customWidth="1"/>
    <col min="16" max="16" width="14.83203125" customWidth="1"/>
    <col min="17" max="20" width="14.83203125" style="1" customWidth="1"/>
    <col min="21" max="23" width="14.83203125" customWidth="1"/>
    <col min="24" max="24" width="5.5" customWidth="1"/>
  </cols>
  <sheetData>
    <row r="1" spans="1:23" x14ac:dyDescent="0.2">
      <c r="A1" s="772" t="s">
        <v>847</v>
      </c>
      <c r="B1" s="308" t="s">
        <v>197</v>
      </c>
      <c r="D1" s="212"/>
      <c r="E1" s="212"/>
      <c r="F1" s="212"/>
      <c r="G1" s="212"/>
      <c r="H1" s="212"/>
      <c r="I1" s="212"/>
      <c r="J1" s="212"/>
      <c r="K1" s="212"/>
      <c r="L1" s="212"/>
      <c r="M1" s="212"/>
      <c r="N1" s="212"/>
      <c r="O1" s="212"/>
    </row>
    <row r="2" spans="1:23" ht="15" x14ac:dyDescent="0.25">
      <c r="A2" s="773" t="s">
        <v>1138</v>
      </c>
      <c r="B2" s="43"/>
      <c r="D2" s="212"/>
      <c r="E2" s="126"/>
      <c r="F2" s="212"/>
      <c r="G2" s="212"/>
      <c r="H2" s="212"/>
      <c r="I2" s="126" t="s">
        <v>816</v>
      </c>
      <c r="J2" s="126"/>
      <c r="K2" s="126"/>
      <c r="L2" s="126"/>
      <c r="M2" s="126"/>
      <c r="N2" s="126"/>
      <c r="O2" s="126"/>
      <c r="P2" s="58" t="s">
        <v>638</v>
      </c>
    </row>
    <row r="3" spans="1:23" ht="13.5" thickBot="1" x14ac:dyDescent="0.25">
      <c r="A3" s="774"/>
      <c r="B3" s="4"/>
      <c r="C3" s="23"/>
      <c r="D3" s="23"/>
      <c r="E3" s="23"/>
      <c r="F3" s="23"/>
      <c r="G3" s="23"/>
      <c r="H3" s="23"/>
      <c r="I3" s="23"/>
      <c r="J3" s="23"/>
      <c r="K3" s="23"/>
      <c r="L3" s="23"/>
      <c r="M3" s="23"/>
      <c r="N3" s="23"/>
      <c r="O3" s="23"/>
      <c r="P3" s="4"/>
      <c r="Q3" s="23"/>
      <c r="R3" s="23"/>
      <c r="S3" s="23"/>
      <c r="T3" s="4"/>
      <c r="W3" s="4"/>
    </row>
    <row r="4" spans="1:23"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3"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3" x14ac:dyDescent="0.2">
      <c r="A6" s="776"/>
      <c r="B6" s="202"/>
      <c r="C6" s="113"/>
      <c r="D6" s="113"/>
      <c r="E6" s="113"/>
      <c r="F6" s="113"/>
      <c r="G6" s="113"/>
      <c r="H6" s="113"/>
      <c r="I6" s="83"/>
      <c r="J6" s="83"/>
      <c r="K6" s="83"/>
      <c r="L6" s="83"/>
      <c r="M6" s="83"/>
      <c r="N6" s="83"/>
      <c r="O6" s="83"/>
      <c r="P6" s="113"/>
      <c r="Q6" s="83" t="s">
        <v>823</v>
      </c>
      <c r="R6" s="83" t="s">
        <v>585</v>
      </c>
      <c r="S6" s="45" t="s">
        <v>824</v>
      </c>
    </row>
    <row r="7" spans="1:23"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3" ht="13.5" thickTop="1" x14ac:dyDescent="0.2">
      <c r="A8" s="779">
        <v>5112</v>
      </c>
      <c r="B8" s="203" t="s">
        <v>849</v>
      </c>
      <c r="C8" s="116">
        <v>162036.5</v>
      </c>
      <c r="D8" s="13">
        <v>177911.22</v>
      </c>
      <c r="E8" s="13">
        <v>172306.06</v>
      </c>
      <c r="F8" s="13">
        <v>184213.02</v>
      </c>
      <c r="G8" s="13">
        <v>188880.71</v>
      </c>
      <c r="H8" s="13">
        <v>191317.08</v>
      </c>
      <c r="I8" s="13">
        <v>212220.73</v>
      </c>
      <c r="J8" s="13">
        <v>203727.91</v>
      </c>
      <c r="K8" s="14">
        <v>215125</v>
      </c>
      <c r="L8" s="128">
        <v>210414.88</v>
      </c>
      <c r="M8" s="14">
        <v>223269</v>
      </c>
      <c r="N8" s="128">
        <v>230861.27</v>
      </c>
      <c r="O8" s="14">
        <f>1929+296679</f>
        <v>298608</v>
      </c>
      <c r="P8" s="13">
        <v>135418.49</v>
      </c>
      <c r="Q8" s="14">
        <f>SUM(P36:P41)</f>
        <v>316466.09999999998</v>
      </c>
      <c r="R8" s="19"/>
      <c r="S8" s="19"/>
    </row>
    <row r="9" spans="1:23" x14ac:dyDescent="0.2">
      <c r="A9" s="779">
        <v>5114</v>
      </c>
      <c r="B9" s="60" t="s">
        <v>850</v>
      </c>
      <c r="C9" s="116">
        <v>1658.24</v>
      </c>
      <c r="D9" s="13">
        <v>4438.01</v>
      </c>
      <c r="E9" s="13">
        <v>4948.5200000000004</v>
      </c>
      <c r="F9" s="13">
        <v>2984</v>
      </c>
      <c r="G9" s="13">
        <v>18353.25</v>
      </c>
      <c r="H9" s="13">
        <v>28209.75</v>
      </c>
      <c r="I9" s="13">
        <v>22377.5</v>
      </c>
      <c r="J9" s="13">
        <v>33291</v>
      </c>
      <c r="K9" s="14">
        <v>23000</v>
      </c>
      <c r="L9" s="13">
        <v>20821.5</v>
      </c>
      <c r="M9" s="14">
        <v>23000</v>
      </c>
      <c r="N9" s="13">
        <v>25026.75</v>
      </c>
      <c r="O9" s="14">
        <v>17000</v>
      </c>
      <c r="P9" s="13">
        <v>9325</v>
      </c>
      <c r="Q9" s="14">
        <v>17000</v>
      </c>
      <c r="R9" s="14"/>
      <c r="S9" s="14"/>
    </row>
    <row r="10" spans="1:23" x14ac:dyDescent="0.2">
      <c r="A10" s="779">
        <v>5132</v>
      </c>
      <c r="B10" s="60" t="s">
        <v>1143</v>
      </c>
      <c r="C10" s="116">
        <v>41720.449999999997</v>
      </c>
      <c r="D10" s="13">
        <v>42947.98</v>
      </c>
      <c r="E10" s="13">
        <v>61676.62</v>
      </c>
      <c r="F10" s="13">
        <v>45731.57</v>
      </c>
      <c r="G10" s="13">
        <v>33275.79</v>
      </c>
      <c r="H10" s="13">
        <v>51173.09</v>
      </c>
      <c r="I10" s="13">
        <v>35035.449999999997</v>
      </c>
      <c r="J10" s="13">
        <v>44602.27</v>
      </c>
      <c r="K10" s="14">
        <f>525+35000</f>
        <v>35525</v>
      </c>
      <c r="L10" s="13">
        <v>31759.93</v>
      </c>
      <c r="M10" s="14">
        <v>34000</v>
      </c>
      <c r="N10" s="13">
        <v>49051.41</v>
      </c>
      <c r="O10" s="14">
        <f>1472+30000</f>
        <v>31472</v>
      </c>
      <c r="P10" s="13">
        <v>27357.16</v>
      </c>
      <c r="Q10" s="14">
        <v>32000</v>
      </c>
      <c r="R10" s="14"/>
      <c r="S10" s="14"/>
      <c r="U10" s="343"/>
    </row>
    <row r="11" spans="1:23" x14ac:dyDescent="0.2">
      <c r="A11" s="779">
        <v>5142</v>
      </c>
      <c r="B11" s="60" t="s">
        <v>1146</v>
      </c>
      <c r="C11" s="116">
        <v>2549.08</v>
      </c>
      <c r="D11" s="13">
        <v>2494.06</v>
      </c>
      <c r="E11" s="13">
        <v>2480.2600000000002</v>
      </c>
      <c r="F11" s="13">
        <v>2517.29</v>
      </c>
      <c r="G11" s="13">
        <v>2498.44</v>
      </c>
      <c r="H11" s="13">
        <v>2503.4499999999998</v>
      </c>
      <c r="I11" s="13">
        <v>2513.67</v>
      </c>
      <c r="J11" s="13">
        <v>3376.1</v>
      </c>
      <c r="K11" s="14">
        <f>1022+2600</f>
        <v>3622</v>
      </c>
      <c r="L11" s="13">
        <v>3512.88</v>
      </c>
      <c r="M11" s="14">
        <f>1022+2600</f>
        <v>3622</v>
      </c>
      <c r="N11" s="13">
        <v>3478.3</v>
      </c>
      <c r="O11" s="14">
        <f>1460+1022+2600</f>
        <v>5082</v>
      </c>
      <c r="P11" s="13">
        <v>2476.38</v>
      </c>
      <c r="Q11" s="14">
        <f>1022+2600</f>
        <v>3622</v>
      </c>
      <c r="R11" s="14"/>
      <c r="S11" s="14"/>
    </row>
    <row r="12" spans="1:23" x14ac:dyDescent="0.2">
      <c r="A12" s="779">
        <v>5143</v>
      </c>
      <c r="B12" s="60" t="s">
        <v>1147</v>
      </c>
      <c r="C12" s="116">
        <v>7301.66</v>
      </c>
      <c r="D12" s="13">
        <v>8317.19</v>
      </c>
      <c r="E12" s="13">
        <v>8418.2999999999993</v>
      </c>
      <c r="F12" s="13">
        <v>9545.08</v>
      </c>
      <c r="G12" s="13">
        <v>9298.68</v>
      </c>
      <c r="H12" s="13">
        <v>8980.2800000000007</v>
      </c>
      <c r="I12" s="13">
        <v>10419.469999999999</v>
      </c>
      <c r="J12" s="13">
        <v>10129.64</v>
      </c>
      <c r="K12" s="14">
        <f>3352+9600</f>
        <v>12952</v>
      </c>
      <c r="L12" s="13">
        <v>11789</v>
      </c>
      <c r="M12" s="14">
        <v>14000</v>
      </c>
      <c r="N12" s="13">
        <v>14173.48</v>
      </c>
      <c r="O12" s="14">
        <v>14000</v>
      </c>
      <c r="P12" s="13">
        <v>7436.09</v>
      </c>
      <c r="Q12" s="14">
        <v>22000</v>
      </c>
      <c r="R12" s="14"/>
      <c r="S12" s="14"/>
    </row>
    <row r="13" spans="1:23" x14ac:dyDescent="0.2">
      <c r="A13" s="779">
        <v>5144</v>
      </c>
      <c r="B13" s="60" t="s">
        <v>27</v>
      </c>
      <c r="C13" s="228"/>
      <c r="D13" s="35">
        <v>0</v>
      </c>
      <c r="E13" s="35"/>
      <c r="F13" s="35">
        <v>150</v>
      </c>
      <c r="G13" s="35">
        <v>1000</v>
      </c>
      <c r="H13" s="35">
        <v>1300</v>
      </c>
      <c r="I13" s="35">
        <v>1300</v>
      </c>
      <c r="J13" s="35">
        <v>1300</v>
      </c>
      <c r="K13" s="36">
        <v>1300</v>
      </c>
      <c r="L13" s="218">
        <v>1300</v>
      </c>
      <c r="M13" s="36">
        <v>1900</v>
      </c>
      <c r="N13" s="218">
        <v>1100</v>
      </c>
      <c r="O13" s="36">
        <f>100+1100</f>
        <v>1200</v>
      </c>
      <c r="P13" s="13">
        <v>1200</v>
      </c>
      <c r="Q13" s="36">
        <v>1200</v>
      </c>
      <c r="R13" s="14"/>
      <c r="S13" s="36"/>
    </row>
    <row r="14" spans="1:23" x14ac:dyDescent="0.2">
      <c r="A14" s="779">
        <v>5145</v>
      </c>
      <c r="B14" s="60" t="s">
        <v>1208</v>
      </c>
      <c r="C14" s="228">
        <v>230.8</v>
      </c>
      <c r="D14" s="35">
        <v>300.04000000000002</v>
      </c>
      <c r="E14" s="35">
        <v>300.04000000000002</v>
      </c>
      <c r="F14" s="35">
        <v>305.81</v>
      </c>
      <c r="G14" s="35">
        <v>300.04000000000002</v>
      </c>
      <c r="H14" s="35">
        <v>300.04000000000002</v>
      </c>
      <c r="I14" s="35">
        <v>300.04000000000002</v>
      </c>
      <c r="J14" s="35">
        <v>300.04000000000002</v>
      </c>
      <c r="K14" s="36">
        <v>300</v>
      </c>
      <c r="L14" s="35">
        <v>305.81</v>
      </c>
      <c r="M14" s="36">
        <v>300</v>
      </c>
      <c r="N14" s="35">
        <v>300.04000000000002</v>
      </c>
      <c r="O14" s="36">
        <v>300</v>
      </c>
      <c r="P14" s="13">
        <v>144.25</v>
      </c>
      <c r="Q14" s="36">
        <v>300</v>
      </c>
      <c r="R14" s="14"/>
      <c r="S14" s="36"/>
    </row>
    <row r="15" spans="1:23" x14ac:dyDescent="0.2">
      <c r="A15" s="779">
        <v>5146</v>
      </c>
      <c r="B15" s="60" t="s">
        <v>1209</v>
      </c>
      <c r="C15" s="228">
        <v>2172.0100000000002</v>
      </c>
      <c r="D15" s="35">
        <v>4324.59</v>
      </c>
      <c r="E15" s="35">
        <v>6508.59</v>
      </c>
      <c r="F15" s="35">
        <v>9039.4</v>
      </c>
      <c r="G15" s="35">
        <v>8737</v>
      </c>
      <c r="H15" s="35">
        <v>8626</v>
      </c>
      <c r="I15" s="35">
        <v>8706</v>
      </c>
      <c r="J15" s="35">
        <v>8792</v>
      </c>
      <c r="K15" s="36">
        <v>8760</v>
      </c>
      <c r="L15" s="35">
        <v>5808</v>
      </c>
      <c r="M15" s="36"/>
      <c r="N15" s="35"/>
      <c r="O15" s="36"/>
      <c r="P15" s="128"/>
      <c r="Q15" s="36"/>
      <c r="R15" s="14"/>
      <c r="S15" s="36"/>
      <c r="U15" s="343"/>
    </row>
    <row r="16" spans="1:23" x14ac:dyDescent="0.2">
      <c r="A16" s="779">
        <v>5193</v>
      </c>
      <c r="B16" s="60" t="s">
        <v>1210</v>
      </c>
      <c r="C16" s="228"/>
      <c r="D16" s="35">
        <v>1648.06</v>
      </c>
      <c r="E16" s="35"/>
      <c r="F16" s="35"/>
      <c r="G16" s="35"/>
      <c r="H16" s="35"/>
      <c r="I16" s="35"/>
      <c r="J16" s="35">
        <v>948.04</v>
      </c>
      <c r="K16" s="36"/>
      <c r="L16" s="35"/>
      <c r="M16" s="36"/>
      <c r="N16" s="35">
        <v>3595.2</v>
      </c>
      <c r="O16" s="36"/>
      <c r="P16" s="13"/>
      <c r="Q16" s="36"/>
      <c r="R16" s="14"/>
      <c r="S16" s="36"/>
      <c r="U16" s="343"/>
    </row>
    <row r="17" spans="1:23" hidden="1" x14ac:dyDescent="0.2">
      <c r="A17" s="779">
        <v>5194</v>
      </c>
      <c r="B17" s="60" t="s">
        <v>1211</v>
      </c>
      <c r="C17" s="228"/>
      <c r="D17" s="35">
        <v>1609.12</v>
      </c>
      <c r="E17" s="35"/>
      <c r="F17" s="35"/>
      <c r="G17" s="35"/>
      <c r="H17" s="35"/>
      <c r="I17" s="35"/>
      <c r="J17" s="35"/>
      <c r="K17" s="36"/>
      <c r="L17" s="35"/>
      <c r="M17" s="36"/>
      <c r="N17" s="35"/>
      <c r="O17" s="36"/>
      <c r="P17" s="13"/>
      <c r="Q17" s="36"/>
      <c r="R17" s="14"/>
      <c r="S17" s="36"/>
      <c r="U17" s="343"/>
    </row>
    <row r="18" spans="1:23" ht="13.5" thickBot="1" x14ac:dyDescent="0.25">
      <c r="A18" s="779">
        <v>5195</v>
      </c>
      <c r="B18" s="60" t="s">
        <v>1156</v>
      </c>
      <c r="C18" s="228">
        <v>850.14</v>
      </c>
      <c r="D18" s="35">
        <v>631.98</v>
      </c>
      <c r="E18" s="35">
        <v>1038.2</v>
      </c>
      <c r="F18" s="35">
        <v>1465.07</v>
      </c>
      <c r="G18" s="35">
        <v>924.2</v>
      </c>
      <c r="H18" s="35">
        <v>588.15</v>
      </c>
      <c r="I18" s="35">
        <v>2471.3200000000002</v>
      </c>
      <c r="J18" s="35">
        <v>1315.54</v>
      </c>
      <c r="K18" s="36">
        <v>3000</v>
      </c>
      <c r="L18" s="35"/>
      <c r="M18" s="36">
        <v>2600</v>
      </c>
      <c r="N18" s="35">
        <v>207.37</v>
      </c>
      <c r="O18" s="36">
        <v>2600</v>
      </c>
      <c r="P18" s="13">
        <v>925.48</v>
      </c>
      <c r="Q18" s="36">
        <v>1500</v>
      </c>
      <c r="R18" s="14"/>
      <c r="S18" s="36"/>
      <c r="U18" s="343"/>
    </row>
    <row r="19" spans="1:23" x14ac:dyDescent="0.2">
      <c r="A19" s="779"/>
      <c r="B19" s="17" t="s">
        <v>828</v>
      </c>
      <c r="C19" s="30">
        <f t="shared" ref="C19:P19" si="0">SUM(C8:C18)</f>
        <v>218518.88</v>
      </c>
      <c r="D19" s="30">
        <f t="shared" si="0"/>
        <v>244622.25000000003</v>
      </c>
      <c r="E19" s="30">
        <f t="shared" si="0"/>
        <v>257676.59</v>
      </c>
      <c r="F19" s="30">
        <f>SUM(F8:F18)</f>
        <v>255951.24</v>
      </c>
      <c r="G19" s="30">
        <f>SUM(G8:G18)</f>
        <v>263268.11000000004</v>
      </c>
      <c r="H19" s="30">
        <f>SUM(H8:H18)</f>
        <v>292997.84000000003</v>
      </c>
      <c r="I19" s="30">
        <f t="shared" si="0"/>
        <v>295344.17999999993</v>
      </c>
      <c r="J19" s="30">
        <f t="shared" si="0"/>
        <v>307782.53999999992</v>
      </c>
      <c r="K19" s="31">
        <f>SUM(K8:K18)</f>
        <v>303584</v>
      </c>
      <c r="L19" s="30">
        <f t="shared" ref="L19:O19" si="1">SUM(L8:L18)</f>
        <v>285712</v>
      </c>
      <c r="M19" s="31">
        <f t="shared" si="1"/>
        <v>302691</v>
      </c>
      <c r="N19" s="30">
        <f t="shared" si="1"/>
        <v>327793.81999999995</v>
      </c>
      <c r="O19" s="31">
        <f t="shared" si="1"/>
        <v>370262</v>
      </c>
      <c r="P19" s="30">
        <f t="shared" si="0"/>
        <v>184282.85</v>
      </c>
      <c r="Q19" s="31">
        <f>SUM(Q8:Q18)</f>
        <v>394088.1</v>
      </c>
      <c r="R19" s="31">
        <f>SUM(R8:R18)</f>
        <v>0</v>
      </c>
      <c r="S19" s="31">
        <f>SUM(S8:S18)</f>
        <v>0</v>
      </c>
    </row>
    <row r="20" spans="1:23" x14ac:dyDescent="0.2">
      <c r="A20" s="779"/>
      <c r="B20" s="17"/>
      <c r="C20" s="18"/>
      <c r="D20" s="18"/>
      <c r="E20" s="18"/>
      <c r="F20" s="18"/>
      <c r="G20" s="18"/>
      <c r="H20" s="18"/>
      <c r="I20" s="18"/>
      <c r="J20" s="18"/>
      <c r="K20" s="19"/>
      <c r="L20" s="18"/>
      <c r="M20" s="19"/>
      <c r="N20" s="18"/>
      <c r="O20" s="19"/>
      <c r="P20" s="18"/>
      <c r="Q20" s="19"/>
      <c r="R20" s="19"/>
      <c r="S20" s="19"/>
    </row>
    <row r="21" spans="1:23" x14ac:dyDescent="0.2">
      <c r="A21" s="779">
        <v>5310</v>
      </c>
      <c r="B21" s="12" t="s">
        <v>1212</v>
      </c>
      <c r="C21" s="18"/>
      <c r="D21" s="18"/>
      <c r="E21" s="18">
        <v>1916.6</v>
      </c>
      <c r="F21" s="18">
        <v>3000</v>
      </c>
      <c r="G21" s="18">
        <v>3000</v>
      </c>
      <c r="H21" s="18">
        <v>3000</v>
      </c>
      <c r="I21" s="18">
        <v>3000</v>
      </c>
      <c r="J21" s="18">
        <v>3000</v>
      </c>
      <c r="K21" s="19">
        <v>3000</v>
      </c>
      <c r="L21" s="18"/>
      <c r="M21" s="19"/>
      <c r="N21" s="18"/>
      <c r="O21" s="19"/>
      <c r="P21" s="18"/>
      <c r="Q21" s="19">
        <v>0</v>
      </c>
      <c r="R21" s="19"/>
      <c r="S21" s="19"/>
    </row>
    <row r="22" spans="1:23" x14ac:dyDescent="0.2">
      <c r="A22" s="779">
        <v>5314</v>
      </c>
      <c r="B22" s="12" t="s">
        <v>860</v>
      </c>
      <c r="C22" s="18">
        <v>338</v>
      </c>
      <c r="D22" s="18">
        <v>726.4</v>
      </c>
      <c r="E22" s="18">
        <v>554</v>
      </c>
      <c r="F22" s="18">
        <v>1043</v>
      </c>
      <c r="G22" s="18">
        <v>1401</v>
      </c>
      <c r="H22" s="18">
        <v>449.99</v>
      </c>
      <c r="I22" s="18">
        <v>0</v>
      </c>
      <c r="J22" s="18">
        <v>249</v>
      </c>
      <c r="K22" s="19">
        <v>3000</v>
      </c>
      <c r="L22" s="18">
        <v>524</v>
      </c>
      <c r="M22" s="19">
        <v>4300</v>
      </c>
      <c r="N22" s="18">
        <v>717</v>
      </c>
      <c r="O22" s="19">
        <v>4300</v>
      </c>
      <c r="P22" s="18"/>
      <c r="Q22" s="19">
        <v>1000</v>
      </c>
      <c r="R22" s="19"/>
      <c r="S22" s="19"/>
      <c r="U22" s="343"/>
    </row>
    <row r="23" spans="1:23" ht="13.5" thickBot="1" x14ac:dyDescent="0.25">
      <c r="A23" s="779">
        <v>5710</v>
      </c>
      <c r="B23" s="12" t="s">
        <v>869</v>
      </c>
      <c r="C23" s="15">
        <v>973.49</v>
      </c>
      <c r="D23" s="15">
        <v>1718.11</v>
      </c>
      <c r="E23" s="15">
        <v>868.43</v>
      </c>
      <c r="F23" s="15">
        <v>1101.28</v>
      </c>
      <c r="G23" s="15">
        <v>592.77</v>
      </c>
      <c r="H23" s="15">
        <v>812.24</v>
      </c>
      <c r="I23" s="15">
        <v>1364.58</v>
      </c>
      <c r="J23" s="15">
        <v>2047.52</v>
      </c>
      <c r="K23" s="16">
        <v>2000</v>
      </c>
      <c r="L23" s="15"/>
      <c r="M23" s="16">
        <v>3300</v>
      </c>
      <c r="N23" s="15">
        <v>253.66</v>
      </c>
      <c r="O23" s="16">
        <v>3300</v>
      </c>
      <c r="P23" s="15">
        <v>396.88</v>
      </c>
      <c r="Q23" s="16">
        <v>500</v>
      </c>
      <c r="R23" s="16"/>
      <c r="S23" s="16"/>
      <c r="U23" s="343"/>
    </row>
    <row r="24" spans="1:23" x14ac:dyDescent="0.2">
      <c r="A24" s="779"/>
      <c r="B24" s="17" t="s">
        <v>838</v>
      </c>
      <c r="C24" s="18">
        <f t="shared" ref="C24:P24" si="2">SUM(C21:C23)</f>
        <v>1311.49</v>
      </c>
      <c r="D24" s="18">
        <f t="shared" si="2"/>
        <v>2444.5099999999998</v>
      </c>
      <c r="E24" s="18">
        <f t="shared" si="2"/>
        <v>3339.0299999999997</v>
      </c>
      <c r="F24" s="18">
        <f>SUM(F21:F23)</f>
        <v>5144.28</v>
      </c>
      <c r="G24" s="18">
        <f>SUM(G21:G23)</f>
        <v>4993.7700000000004</v>
      </c>
      <c r="H24" s="18">
        <f>SUM(H21:H23)</f>
        <v>4262.2299999999996</v>
      </c>
      <c r="I24" s="18">
        <f t="shared" si="2"/>
        <v>4364.58</v>
      </c>
      <c r="J24" s="18">
        <f t="shared" ref="J24" si="3">SUM(J21:J23)</f>
        <v>5296.52</v>
      </c>
      <c r="K24" s="227">
        <f>SUM(K21:K23)</f>
        <v>8000</v>
      </c>
      <c r="L24" s="112">
        <f t="shared" ref="L24:O24" si="4">SUM(L21:L23)</f>
        <v>524</v>
      </c>
      <c r="M24" s="227">
        <f t="shared" si="4"/>
        <v>7600</v>
      </c>
      <c r="N24" s="112">
        <f t="shared" ref="N24" si="5">SUM(N21:N23)</f>
        <v>970.66</v>
      </c>
      <c r="O24" s="227">
        <f t="shared" si="4"/>
        <v>7600</v>
      </c>
      <c r="P24" s="18">
        <f t="shared" si="2"/>
        <v>396.88</v>
      </c>
      <c r="Q24" s="227">
        <f>SUM(Q21:Q23)</f>
        <v>1500</v>
      </c>
      <c r="R24" s="227">
        <f>+Q24</f>
        <v>1500</v>
      </c>
      <c r="S24" s="227">
        <f>SUM(S21:S23)</f>
        <v>0</v>
      </c>
    </row>
    <row r="25" spans="1:23" x14ac:dyDescent="0.2">
      <c r="A25" s="779"/>
      <c r="B25" s="17"/>
      <c r="C25" s="18"/>
      <c r="D25" s="18"/>
      <c r="E25" s="18"/>
      <c r="F25" s="18"/>
      <c r="G25" s="18"/>
      <c r="H25" s="18"/>
      <c r="I25" s="18"/>
      <c r="J25" s="18"/>
      <c r="K25" s="19"/>
      <c r="L25" s="112"/>
      <c r="M25" s="19"/>
      <c r="N25" s="112"/>
      <c r="O25" s="19"/>
      <c r="P25" s="18"/>
      <c r="Q25" s="19"/>
      <c r="R25" s="19"/>
      <c r="S25" s="19"/>
    </row>
    <row r="26" spans="1:23" ht="13.5" thickBot="1" x14ac:dyDescent="0.25">
      <c r="A26" s="780"/>
      <c r="B26" s="20" t="s">
        <v>1213</v>
      </c>
      <c r="C26" s="21">
        <f t="shared" ref="C26:Q26" si="6">+C24+C19</f>
        <v>219830.37</v>
      </c>
      <c r="D26" s="21">
        <f t="shared" si="6"/>
        <v>247066.76000000004</v>
      </c>
      <c r="E26" s="21">
        <f t="shared" si="6"/>
        <v>261015.62</v>
      </c>
      <c r="F26" s="21">
        <f t="shared" si="6"/>
        <v>261095.52</v>
      </c>
      <c r="G26" s="21">
        <f t="shared" si="6"/>
        <v>268261.88000000006</v>
      </c>
      <c r="H26" s="21">
        <f t="shared" si="6"/>
        <v>297260.07</v>
      </c>
      <c r="I26" s="21">
        <f t="shared" si="6"/>
        <v>299708.75999999995</v>
      </c>
      <c r="J26" s="21">
        <f t="shared" ref="J26" si="7">+J24+J19</f>
        <v>313079.05999999994</v>
      </c>
      <c r="K26" s="284">
        <f t="shared" ref="K26:O26" si="8">+K24+K19</f>
        <v>311584</v>
      </c>
      <c r="L26" s="273">
        <f t="shared" si="8"/>
        <v>286236</v>
      </c>
      <c r="M26" s="284">
        <f t="shared" si="8"/>
        <v>310291</v>
      </c>
      <c r="N26" s="273">
        <f t="shared" ref="N26" si="9">+N24+N19</f>
        <v>328764.47999999992</v>
      </c>
      <c r="O26" s="284">
        <f t="shared" si="8"/>
        <v>377862</v>
      </c>
      <c r="P26" s="21">
        <f t="shared" si="6"/>
        <v>184679.73</v>
      </c>
      <c r="Q26" s="284">
        <f t="shared" si="6"/>
        <v>395588.1</v>
      </c>
      <c r="R26" s="284">
        <f>+Q26</f>
        <v>395588.1</v>
      </c>
      <c r="S26" s="284">
        <f>+Q26</f>
        <v>395588.1</v>
      </c>
    </row>
    <row r="27" spans="1:23" ht="13.5" thickTop="1" x14ac:dyDescent="0.2">
      <c r="A27" s="774"/>
      <c r="B27" s="4"/>
      <c r="C27" s="23"/>
      <c r="D27" s="23"/>
      <c r="E27" s="23"/>
      <c r="F27" s="23"/>
      <c r="G27" s="23"/>
      <c r="H27" s="23"/>
      <c r="I27" s="23"/>
      <c r="J27" s="23"/>
      <c r="K27" s="23"/>
      <c r="L27" s="23"/>
      <c r="M27" s="23"/>
      <c r="N27" s="23"/>
      <c r="O27" s="23"/>
      <c r="P27" s="199" t="s">
        <v>843</v>
      </c>
      <c r="Q27" s="1116">
        <f>+Q26-O26</f>
        <v>17726.099999999977</v>
      </c>
      <c r="R27" s="1117">
        <f>ROUND((+Q27/O26),4)</f>
        <v>4.6899999999999997E-2</v>
      </c>
      <c r="S27" s="73"/>
      <c r="T27" s="23"/>
      <c r="U27" s="73"/>
      <c r="V27" s="25"/>
      <c r="W27" s="25"/>
    </row>
    <row r="28" spans="1:23" x14ac:dyDescent="0.2">
      <c r="A28" s="839">
        <v>44944</v>
      </c>
      <c r="B28" s="4" t="s">
        <v>2424</v>
      </c>
      <c r="C28" s="23"/>
      <c r="D28" s="23"/>
      <c r="E28" s="23"/>
      <c r="F28" s="23"/>
      <c r="G28" s="23"/>
      <c r="H28" s="23"/>
      <c r="I28" s="23"/>
      <c r="J28" s="23"/>
      <c r="K28" s="23"/>
      <c r="L28" s="23"/>
      <c r="M28" s="23"/>
      <c r="N28" s="23"/>
      <c r="O28" s="23"/>
      <c r="P28" s="199"/>
      <c r="Q28" s="208"/>
      <c r="R28" s="208"/>
      <c r="S28" s="208"/>
      <c r="T28" s="208"/>
      <c r="U28" s="25"/>
      <c r="V28" s="25"/>
      <c r="W28" s="25"/>
    </row>
    <row r="29" spans="1:23" x14ac:dyDescent="0.2">
      <c r="A29" s="839"/>
      <c r="B29" s="4"/>
      <c r="C29" s="23"/>
      <c r="D29" s="23"/>
      <c r="E29" s="23"/>
      <c r="F29" s="23"/>
      <c r="G29" s="23"/>
      <c r="H29" s="23"/>
      <c r="I29" s="23"/>
      <c r="J29" s="23"/>
      <c r="K29" s="23"/>
      <c r="L29" s="23"/>
      <c r="M29" s="23"/>
      <c r="N29" s="23"/>
      <c r="O29" s="23"/>
      <c r="P29" s="199"/>
      <c r="Q29" s="208"/>
      <c r="R29" s="208"/>
      <c r="S29" s="208"/>
      <c r="T29" s="208"/>
      <c r="U29" s="25"/>
      <c r="V29" s="25"/>
      <c r="W29" s="25"/>
    </row>
    <row r="30" spans="1:23" x14ac:dyDescent="0.2">
      <c r="A30" s="840"/>
      <c r="B30" s="4"/>
      <c r="C30" s="97"/>
      <c r="D30" s="97"/>
      <c r="E30" s="97"/>
      <c r="F30" s="97"/>
      <c r="G30" s="97"/>
      <c r="H30" s="97"/>
      <c r="I30" s="97"/>
      <c r="J30" s="97"/>
      <c r="K30" s="97"/>
      <c r="L30" s="97"/>
      <c r="M30" s="97"/>
      <c r="N30" s="97"/>
      <c r="O30" s="97"/>
      <c r="P30" s="199"/>
      <c r="Q30" s="302"/>
      <c r="R30" s="302"/>
      <c r="S30" s="302"/>
      <c r="T30" s="302"/>
      <c r="U30" s="25"/>
      <c r="V30" s="25"/>
      <c r="W30" s="25"/>
    </row>
    <row r="31" spans="1:23" x14ac:dyDescent="0.2">
      <c r="A31" s="774" t="s">
        <v>911</v>
      </c>
      <c r="B31" s="4"/>
      <c r="D31" s="212"/>
      <c r="E31" s="212"/>
      <c r="F31" s="212"/>
      <c r="G31" s="212"/>
      <c r="H31" s="212"/>
      <c r="I31" s="212"/>
      <c r="J31" s="212"/>
      <c r="K31" s="212"/>
      <c r="L31" s="212"/>
      <c r="M31" s="212"/>
      <c r="N31" s="212"/>
      <c r="O31" s="212"/>
    </row>
    <row r="32" spans="1:23" ht="13.5" thickBot="1" x14ac:dyDescent="0.25">
      <c r="A32" s="774"/>
      <c r="B32" s="4"/>
      <c r="D32" s="212"/>
      <c r="E32" s="212"/>
      <c r="F32" s="212"/>
      <c r="G32" s="212"/>
      <c r="H32" s="212"/>
      <c r="I32" s="212"/>
      <c r="J32" s="212"/>
      <c r="K32" s="212"/>
      <c r="L32" s="212"/>
      <c r="M32" s="212"/>
      <c r="N32" s="212"/>
      <c r="O32" s="212"/>
    </row>
    <row r="33" spans="1:20" ht="13.5" thickTop="1" x14ac:dyDescent="0.2">
      <c r="A33" s="781" t="s">
        <v>872</v>
      </c>
      <c r="B33" s="99"/>
      <c r="D33" s="212"/>
      <c r="E33" s="212"/>
      <c r="F33" s="212"/>
      <c r="G33" s="212"/>
      <c r="H33" s="212"/>
      <c r="I33" s="212"/>
      <c r="J33" s="212"/>
      <c r="K33" s="212"/>
      <c r="L33" s="212"/>
      <c r="M33" s="269" t="s">
        <v>873</v>
      </c>
      <c r="N33" s="138" t="s">
        <v>1214</v>
      </c>
      <c r="O33" s="139" t="s">
        <v>1215</v>
      </c>
      <c r="P33" s="140" t="s">
        <v>875</v>
      </c>
      <c r="Q33"/>
      <c r="R33"/>
      <c r="S33" s="205" t="s">
        <v>876</v>
      </c>
      <c r="T33"/>
    </row>
    <row r="34" spans="1:20" ht="13.5" thickBot="1" x14ac:dyDescent="0.25">
      <c r="A34" s="782" t="s">
        <v>877</v>
      </c>
      <c r="B34" s="101" t="s">
        <v>878</v>
      </c>
      <c r="D34" s="212"/>
      <c r="E34" s="212"/>
      <c r="F34" s="212"/>
      <c r="G34" s="212"/>
      <c r="H34" s="212"/>
      <c r="I34" s="212"/>
      <c r="J34" s="212"/>
      <c r="K34" s="212"/>
      <c r="L34" s="212"/>
      <c r="M34" s="287">
        <v>45108</v>
      </c>
      <c r="N34" s="141" t="s">
        <v>879</v>
      </c>
      <c r="O34" s="142" t="s">
        <v>880</v>
      </c>
      <c r="P34" s="142" t="s">
        <v>881</v>
      </c>
      <c r="Q34" s="107" t="s">
        <v>882</v>
      </c>
      <c r="R34" s="107"/>
      <c r="S34" s="107" t="s">
        <v>571</v>
      </c>
      <c r="T34" s="107" t="s">
        <v>883</v>
      </c>
    </row>
    <row r="35" spans="1:20" ht="13.5" thickTop="1" x14ac:dyDescent="0.2">
      <c r="A35" s="817"/>
      <c r="B35" s="203" t="s">
        <v>1216</v>
      </c>
      <c r="D35" s="212"/>
      <c r="E35" s="212"/>
      <c r="F35" s="212"/>
      <c r="G35" s="212"/>
      <c r="H35" s="212"/>
      <c r="I35" s="212"/>
      <c r="J35" s="212"/>
      <c r="K35" s="212"/>
      <c r="L35" s="212"/>
      <c r="M35" s="275"/>
      <c r="N35" s="92"/>
      <c r="O35" s="204"/>
      <c r="P35" s="204"/>
      <c r="Q35"/>
      <c r="R35"/>
      <c r="S35"/>
      <c r="T35"/>
    </row>
    <row r="36" spans="1:20" x14ac:dyDescent="0.2">
      <c r="A36" s="909">
        <v>38544</v>
      </c>
      <c r="B36" s="102" t="s">
        <v>1217</v>
      </c>
      <c r="D36" s="212"/>
      <c r="E36" s="212"/>
      <c r="F36" s="212"/>
      <c r="G36" s="212"/>
      <c r="H36" s="212"/>
      <c r="I36" s="212"/>
      <c r="J36" s="212"/>
      <c r="K36" s="212"/>
      <c r="L36" s="212"/>
      <c r="M36" s="18" t="s">
        <v>889</v>
      </c>
      <c r="N36" s="18">
        <f>+'NAGE &amp; Non-Union Wages'!L8</f>
        <v>30.02</v>
      </c>
      <c r="O36" s="19">
        <f>+'To Do and Changes'!E23</f>
        <v>2080</v>
      </c>
      <c r="P36" s="137">
        <f t="shared" ref="P36:P41" si="10">ROUND((+N36*O36),2)</f>
        <v>62441.599999999999</v>
      </c>
      <c r="Q36" s="906">
        <v>38544</v>
      </c>
      <c r="R36" s="906"/>
      <c r="S36" s="908">
        <v>18</v>
      </c>
      <c r="T36">
        <v>900</v>
      </c>
    </row>
    <row r="37" spans="1:20" x14ac:dyDescent="0.2">
      <c r="A37" s="910" t="s">
        <v>1218</v>
      </c>
      <c r="B37" s="60" t="s">
        <v>1219</v>
      </c>
      <c r="D37" s="212"/>
      <c r="E37" s="212"/>
      <c r="F37" s="212"/>
      <c r="G37" s="212"/>
      <c r="H37" s="212"/>
      <c r="I37" s="212"/>
      <c r="J37" s="212"/>
      <c r="K37" s="212"/>
      <c r="L37" s="212"/>
      <c r="M37" s="13" t="s">
        <v>1220</v>
      </c>
      <c r="N37" s="136">
        <f>+'NAGE &amp; Non-Union Wages'!E7</f>
        <v>23.74</v>
      </c>
      <c r="O37" s="14">
        <v>1975</v>
      </c>
      <c r="P37" s="137">
        <f t="shared" si="10"/>
        <v>46886.5</v>
      </c>
      <c r="Q37" s="907" t="s">
        <v>1218</v>
      </c>
      <c r="R37" s="907"/>
      <c r="S37" s="301" t="s">
        <v>1221</v>
      </c>
      <c r="T37"/>
    </row>
    <row r="38" spans="1:20" x14ac:dyDescent="0.2">
      <c r="A38" s="910" t="s">
        <v>1222</v>
      </c>
      <c r="B38" s="60" t="s">
        <v>1223</v>
      </c>
      <c r="D38" s="212"/>
      <c r="E38" s="212"/>
      <c r="F38" s="212"/>
      <c r="G38" s="212"/>
      <c r="H38" s="212"/>
      <c r="I38" s="212"/>
      <c r="J38" s="212"/>
      <c r="K38" s="212"/>
      <c r="L38" s="212"/>
      <c r="M38" s="13" t="s">
        <v>992</v>
      </c>
      <c r="N38" s="136">
        <f>+'NAGE &amp; Non-Union Wages'!I7</f>
        <v>26.09</v>
      </c>
      <c r="O38" s="14">
        <v>1975</v>
      </c>
      <c r="P38" s="137">
        <f t="shared" si="10"/>
        <v>51527.75</v>
      </c>
      <c r="Q38" s="907" t="s">
        <v>1222</v>
      </c>
      <c r="R38" s="907"/>
      <c r="S38" s="301" t="s">
        <v>1224</v>
      </c>
      <c r="T38"/>
    </row>
    <row r="39" spans="1:20" x14ac:dyDescent="0.2">
      <c r="A39" s="910" t="s">
        <v>1225</v>
      </c>
      <c r="B39" s="60" t="s">
        <v>1226</v>
      </c>
      <c r="D39" s="212"/>
      <c r="E39" s="212"/>
      <c r="F39" s="212"/>
      <c r="G39" s="212"/>
      <c r="H39" s="212"/>
      <c r="I39" s="212"/>
      <c r="J39" s="212"/>
      <c r="K39" s="212"/>
      <c r="L39" s="212"/>
      <c r="M39" s="13" t="s">
        <v>1055</v>
      </c>
      <c r="N39" s="136">
        <f>+'NAGE &amp; Non-Union Wages'!L7</f>
        <v>27.81</v>
      </c>
      <c r="O39" s="14">
        <v>1975</v>
      </c>
      <c r="P39" s="137">
        <f t="shared" si="10"/>
        <v>54924.75</v>
      </c>
      <c r="Q39" s="907" t="s">
        <v>1225</v>
      </c>
      <c r="R39" s="907"/>
      <c r="S39" s="301" t="s">
        <v>1227</v>
      </c>
      <c r="T39">
        <v>300</v>
      </c>
    </row>
    <row r="40" spans="1:20" x14ac:dyDescent="0.2">
      <c r="A40" s="70">
        <v>44503</v>
      </c>
      <c r="B40" s="60" t="s">
        <v>1228</v>
      </c>
      <c r="D40" s="212"/>
      <c r="E40" s="212"/>
      <c r="F40" s="212"/>
      <c r="G40" s="212"/>
      <c r="H40" s="212"/>
      <c r="I40" s="212"/>
      <c r="J40" s="212"/>
      <c r="K40" s="212"/>
      <c r="L40" s="212"/>
      <c r="M40" s="128" t="s">
        <v>1055</v>
      </c>
      <c r="N40" s="128">
        <f>+'NAGE &amp; Non-Union Wages'!L7</f>
        <v>27.81</v>
      </c>
      <c r="O40" s="14">
        <v>1975</v>
      </c>
      <c r="P40" s="137">
        <f t="shared" si="10"/>
        <v>54924.75</v>
      </c>
      <c r="Q40" s="207" t="s">
        <v>1229</v>
      </c>
      <c r="R40" s="207"/>
      <c r="S40" s="301" t="s">
        <v>1221</v>
      </c>
      <c r="T40"/>
    </row>
    <row r="41" spans="1:20" x14ac:dyDescent="0.2">
      <c r="A41" s="134">
        <v>44836</v>
      </c>
      <c r="B41" s="60" t="s">
        <v>1230</v>
      </c>
      <c r="D41" s="212"/>
      <c r="E41" s="212"/>
      <c r="F41" s="212"/>
      <c r="G41" s="212"/>
      <c r="H41" s="212"/>
      <c r="I41" s="212"/>
      <c r="J41" s="212"/>
      <c r="K41" s="212"/>
      <c r="L41" s="212"/>
      <c r="M41" s="135" t="s">
        <v>1231</v>
      </c>
      <c r="N41" s="136">
        <f>+'NAGE &amp; Non-Union Wages'!D7</f>
        <v>23.17</v>
      </c>
      <c r="O41" s="14">
        <v>1975</v>
      </c>
      <c r="P41" s="137">
        <f t="shared" si="10"/>
        <v>45760.75</v>
      </c>
      <c r="Q41" s="1084">
        <v>44836</v>
      </c>
      <c r="R41"/>
      <c r="S41" s="1085">
        <v>1</v>
      </c>
    </row>
    <row r="42" spans="1:20" x14ac:dyDescent="0.2">
      <c r="C42" s="212"/>
      <c r="D42" s="212"/>
      <c r="E42" s="212"/>
      <c r="F42" s="212"/>
      <c r="G42" s="212"/>
      <c r="H42" s="212"/>
      <c r="I42" s="212"/>
      <c r="J42" s="212"/>
      <c r="K42" s="212"/>
      <c r="L42" s="212"/>
      <c r="M42" s="212"/>
      <c r="N42" s="212"/>
      <c r="O42" s="212"/>
      <c r="Q42" s="1083"/>
    </row>
    <row r="43" spans="1:20" ht="13.5" thickBot="1" x14ac:dyDescent="0.25">
      <c r="C43" s="212"/>
      <c r="D43" s="212"/>
      <c r="E43" s="212"/>
      <c r="F43" s="212"/>
      <c r="G43" s="212"/>
      <c r="H43" s="212"/>
      <c r="I43" s="212"/>
      <c r="J43" s="212"/>
      <c r="K43" s="212"/>
      <c r="L43" s="212"/>
      <c r="M43" s="212"/>
      <c r="N43" s="212"/>
      <c r="O43" s="212"/>
    </row>
    <row r="44" spans="1:20" ht="13.5" thickTop="1" x14ac:dyDescent="0.2">
      <c r="A44" s="789"/>
      <c r="B44" s="367"/>
      <c r="C44" s="368" t="s">
        <v>280</v>
      </c>
      <c r="D44" s="369" t="s">
        <v>280</v>
      </c>
      <c r="E44" s="369" t="s">
        <v>280</v>
      </c>
      <c r="F44" s="212"/>
      <c r="G44" s="212"/>
      <c r="H44" s="212"/>
      <c r="I44" s="212"/>
      <c r="J44" s="212"/>
      <c r="K44" s="212"/>
      <c r="L44" s="212"/>
      <c r="M44" s="370" t="s">
        <v>279</v>
      </c>
      <c r="N44" s="371" t="s">
        <v>826</v>
      </c>
      <c r="O44" s="372" t="s">
        <v>840</v>
      </c>
      <c r="P44" s="371" t="s">
        <v>841</v>
      </c>
      <c r="Q44" s="373"/>
      <c r="R44" s="569"/>
      <c r="S44" s="372"/>
    </row>
    <row r="45" spans="1:20" ht="13.5" thickBot="1" x14ac:dyDescent="0.25">
      <c r="A45" s="790" t="s">
        <v>825</v>
      </c>
      <c r="B45" s="374"/>
      <c r="C45" s="375" t="s">
        <v>267</v>
      </c>
      <c r="D45" s="375" t="s">
        <v>268</v>
      </c>
      <c r="E45" s="376" t="s">
        <v>269</v>
      </c>
      <c r="F45" s="212"/>
      <c r="G45" s="212"/>
      <c r="H45" s="212"/>
      <c r="I45" s="212"/>
      <c r="J45" s="212"/>
      <c r="K45" s="212"/>
      <c r="L45" s="212"/>
      <c r="M45" s="377" t="s">
        <v>277</v>
      </c>
      <c r="N45" s="377" t="s">
        <v>571</v>
      </c>
      <c r="O45" s="376" t="s">
        <v>843</v>
      </c>
      <c r="P45" s="378" t="s">
        <v>843</v>
      </c>
      <c r="Q45" s="379" t="s">
        <v>844</v>
      </c>
      <c r="R45" s="570"/>
      <c r="S45" s="377"/>
    </row>
    <row r="46" spans="1:20" ht="13.5" thickTop="1" x14ac:dyDescent="0.2">
      <c r="A46" s="795">
        <v>5112</v>
      </c>
      <c r="B46" s="387" t="s">
        <v>849</v>
      </c>
      <c r="C46" s="391">
        <v>162036.5</v>
      </c>
      <c r="D46" s="391">
        <v>177911.22</v>
      </c>
      <c r="E46" s="391">
        <v>172306.06</v>
      </c>
      <c r="F46" s="212"/>
      <c r="G46" s="212"/>
      <c r="H46" s="212"/>
      <c r="I46" s="212"/>
      <c r="J46" s="212"/>
      <c r="K46" s="212"/>
      <c r="L46" s="212"/>
      <c r="M46" s="390">
        <f t="shared" ref="M46:M56" si="11">+O8</f>
        <v>298608</v>
      </c>
      <c r="N46" s="411">
        <f t="shared" ref="N46:N56" si="12">+Q8</f>
        <v>316466.09999999998</v>
      </c>
      <c r="O46" s="386">
        <f t="shared" ref="O46:O59" si="13">+N46-M46</f>
        <v>17858.099999999977</v>
      </c>
      <c r="P46" s="392">
        <f t="shared" ref="P46:P59" si="14">IF(M46+N46&lt;&gt;0,IF(M46&lt;&gt;0,IF(O46&lt;&gt;0,ROUND((+O46/M46),4),""),1),"")</f>
        <v>5.9799999999999999E-2</v>
      </c>
      <c r="Q46" s="385" t="s">
        <v>2223</v>
      </c>
      <c r="R46" s="572"/>
      <c r="S46" s="386"/>
    </row>
    <row r="47" spans="1:20" x14ac:dyDescent="0.2">
      <c r="A47" s="795">
        <v>5114</v>
      </c>
      <c r="B47" s="387" t="s">
        <v>850</v>
      </c>
      <c r="C47" s="391">
        <v>1658.24</v>
      </c>
      <c r="D47" s="391">
        <v>4438.01</v>
      </c>
      <c r="E47" s="391">
        <v>4948.5200000000004</v>
      </c>
      <c r="F47" s="212"/>
      <c r="G47" s="212"/>
      <c r="H47" s="212"/>
      <c r="I47" s="212"/>
      <c r="J47" s="212"/>
      <c r="K47" s="212"/>
      <c r="L47" s="212"/>
      <c r="M47" s="390">
        <f t="shared" si="11"/>
        <v>17000</v>
      </c>
      <c r="N47" s="411">
        <f t="shared" si="12"/>
        <v>17000</v>
      </c>
      <c r="O47" s="386">
        <f t="shared" si="13"/>
        <v>0</v>
      </c>
      <c r="P47" s="392" t="str">
        <f t="shared" si="14"/>
        <v/>
      </c>
      <c r="Q47" s="385"/>
      <c r="R47" s="572"/>
      <c r="S47" s="386"/>
    </row>
    <row r="48" spans="1:20" x14ac:dyDescent="0.2">
      <c r="A48" s="795">
        <v>5132</v>
      </c>
      <c r="B48" s="387" t="s">
        <v>1143</v>
      </c>
      <c r="C48" s="391">
        <v>41720.449999999997</v>
      </c>
      <c r="D48" s="391">
        <v>42947.98</v>
      </c>
      <c r="E48" s="391">
        <v>61676.62</v>
      </c>
      <c r="F48" s="212"/>
      <c r="G48" s="212"/>
      <c r="H48" s="212"/>
      <c r="I48" s="212"/>
      <c r="J48" s="212"/>
      <c r="K48" s="212"/>
      <c r="L48" s="212"/>
      <c r="M48" s="390">
        <f t="shared" si="11"/>
        <v>31472</v>
      </c>
      <c r="N48" s="411">
        <f t="shared" si="12"/>
        <v>32000</v>
      </c>
      <c r="O48" s="386">
        <f t="shared" si="13"/>
        <v>528</v>
      </c>
      <c r="P48" s="392">
        <f t="shared" si="14"/>
        <v>1.6799999999999999E-2</v>
      </c>
      <c r="Q48" s="385" t="s">
        <v>2224</v>
      </c>
      <c r="R48" s="572"/>
      <c r="S48" s="386"/>
    </row>
    <row r="49" spans="1:20" x14ac:dyDescent="0.2">
      <c r="A49" s="795">
        <v>5142</v>
      </c>
      <c r="B49" s="387" t="s">
        <v>1146</v>
      </c>
      <c r="C49" s="391">
        <v>2549.08</v>
      </c>
      <c r="D49" s="391">
        <v>2494.06</v>
      </c>
      <c r="E49" s="391">
        <v>2480.2600000000002</v>
      </c>
      <c r="F49" s="212"/>
      <c r="G49" s="212"/>
      <c r="H49" s="212"/>
      <c r="I49" s="212"/>
      <c r="J49" s="212"/>
      <c r="K49" s="212"/>
      <c r="L49" s="212"/>
      <c r="M49" s="390">
        <f t="shared" si="11"/>
        <v>5082</v>
      </c>
      <c r="N49" s="411">
        <f t="shared" si="12"/>
        <v>3622</v>
      </c>
      <c r="O49" s="386">
        <f t="shared" si="13"/>
        <v>-1460</v>
      </c>
      <c r="P49" s="392">
        <f t="shared" si="14"/>
        <v>-0.2873</v>
      </c>
      <c r="Q49" s="385"/>
      <c r="R49" s="572"/>
      <c r="S49" s="386"/>
    </row>
    <row r="50" spans="1:20" x14ac:dyDescent="0.2">
      <c r="A50" s="795">
        <v>5143</v>
      </c>
      <c r="B50" s="387" t="s">
        <v>1147</v>
      </c>
      <c r="C50" s="391">
        <v>7301.66</v>
      </c>
      <c r="D50" s="391">
        <v>8317.19</v>
      </c>
      <c r="E50" s="391">
        <v>8418.2999999999993</v>
      </c>
      <c r="F50" s="212"/>
      <c r="G50" s="212"/>
      <c r="H50" s="212"/>
      <c r="I50" s="212"/>
      <c r="J50" s="212"/>
      <c r="K50" s="212"/>
      <c r="L50" s="212"/>
      <c r="M50" s="390">
        <f t="shared" si="11"/>
        <v>14000</v>
      </c>
      <c r="N50" s="411">
        <f t="shared" si="12"/>
        <v>22000</v>
      </c>
      <c r="O50" s="386">
        <f t="shared" si="13"/>
        <v>8000</v>
      </c>
      <c r="P50" s="392">
        <f t="shared" si="14"/>
        <v>0.57140000000000002</v>
      </c>
      <c r="Q50" s="385" t="s">
        <v>2225</v>
      </c>
      <c r="R50" s="572"/>
      <c r="S50" s="386"/>
    </row>
    <row r="51" spans="1:20" x14ac:dyDescent="0.2">
      <c r="A51" s="795">
        <v>5144</v>
      </c>
      <c r="B51" s="387" t="s">
        <v>27</v>
      </c>
      <c r="C51" s="393"/>
      <c r="D51" s="393">
        <v>0</v>
      </c>
      <c r="E51" s="393"/>
      <c r="F51" s="212"/>
      <c r="G51" s="212"/>
      <c r="H51" s="212"/>
      <c r="I51" s="212"/>
      <c r="J51" s="212"/>
      <c r="K51" s="212"/>
      <c r="L51" s="212"/>
      <c r="M51" s="390">
        <f t="shared" si="11"/>
        <v>1200</v>
      </c>
      <c r="N51" s="411">
        <f t="shared" si="12"/>
        <v>1200</v>
      </c>
      <c r="O51" s="386">
        <f t="shared" si="13"/>
        <v>0</v>
      </c>
      <c r="P51" s="392" t="str">
        <f t="shared" si="14"/>
        <v/>
      </c>
      <c r="Q51" s="385"/>
      <c r="R51" s="572"/>
      <c r="S51" s="386"/>
    </row>
    <row r="52" spans="1:20" x14ac:dyDescent="0.2">
      <c r="A52" s="795">
        <v>5145</v>
      </c>
      <c r="B52" s="387" t="s">
        <v>1208</v>
      </c>
      <c r="C52" s="393">
        <v>230.8</v>
      </c>
      <c r="D52" s="393">
        <v>300.04000000000002</v>
      </c>
      <c r="E52" s="393">
        <v>300.04000000000002</v>
      </c>
      <c r="F52" s="212"/>
      <c r="G52" s="212"/>
      <c r="H52" s="212"/>
      <c r="I52" s="212"/>
      <c r="J52" s="212"/>
      <c r="K52" s="212"/>
      <c r="L52" s="212"/>
      <c r="M52" s="390">
        <f t="shared" si="11"/>
        <v>300</v>
      </c>
      <c r="N52" s="411">
        <f t="shared" si="12"/>
        <v>300</v>
      </c>
      <c r="O52" s="386">
        <f t="shared" si="13"/>
        <v>0</v>
      </c>
      <c r="P52" s="392" t="str">
        <f t="shared" si="14"/>
        <v/>
      </c>
      <c r="Q52" s="385"/>
      <c r="R52" s="572"/>
      <c r="S52" s="386"/>
    </row>
    <row r="53" spans="1:20" x14ac:dyDescent="0.2">
      <c r="A53" s="795">
        <v>5146</v>
      </c>
      <c r="B53" s="387" t="s">
        <v>1209</v>
      </c>
      <c r="C53" s="393">
        <v>2172.0100000000002</v>
      </c>
      <c r="D53" s="393">
        <v>4324.59</v>
      </c>
      <c r="E53" s="393">
        <v>6508.59</v>
      </c>
      <c r="F53" s="212"/>
      <c r="G53" s="212"/>
      <c r="H53" s="212"/>
      <c r="I53" s="212"/>
      <c r="J53" s="212"/>
      <c r="K53" s="212"/>
      <c r="L53" s="212"/>
      <c r="M53" s="390">
        <f t="shared" si="11"/>
        <v>0</v>
      </c>
      <c r="N53" s="411">
        <f t="shared" si="12"/>
        <v>0</v>
      </c>
      <c r="O53" s="386">
        <f t="shared" si="13"/>
        <v>0</v>
      </c>
      <c r="P53" s="392" t="str">
        <f t="shared" si="14"/>
        <v/>
      </c>
      <c r="Q53" s="385"/>
      <c r="R53" s="572"/>
      <c r="S53" s="386"/>
    </row>
    <row r="54" spans="1:20" x14ac:dyDescent="0.2">
      <c r="A54" s="795">
        <v>5193</v>
      </c>
      <c r="B54" s="387" t="s">
        <v>1210</v>
      </c>
      <c r="C54" s="393"/>
      <c r="D54" s="393">
        <v>1648.06</v>
      </c>
      <c r="E54" s="393"/>
      <c r="F54" s="212"/>
      <c r="G54" s="212"/>
      <c r="H54" s="212"/>
      <c r="I54" s="212"/>
      <c r="J54" s="212"/>
      <c r="K54" s="212"/>
      <c r="L54" s="212"/>
      <c r="M54" s="390">
        <f t="shared" si="11"/>
        <v>0</v>
      </c>
      <c r="N54" s="411">
        <f t="shared" si="12"/>
        <v>0</v>
      </c>
      <c r="O54" s="386">
        <f t="shared" si="13"/>
        <v>0</v>
      </c>
      <c r="P54" s="392" t="str">
        <f t="shared" si="14"/>
        <v/>
      </c>
      <c r="Q54" s="385"/>
      <c r="R54" s="572"/>
      <c r="S54" s="386"/>
    </row>
    <row r="55" spans="1:20" hidden="1" x14ac:dyDescent="0.2">
      <c r="A55" s="795">
        <v>5194</v>
      </c>
      <c r="B55" s="387" t="s">
        <v>1211</v>
      </c>
      <c r="C55" s="393"/>
      <c r="D55" s="393">
        <v>1609.12</v>
      </c>
      <c r="E55" s="393"/>
      <c r="F55" s="212"/>
      <c r="G55" s="212"/>
      <c r="H55" s="212"/>
      <c r="I55" s="212"/>
      <c r="J55" s="212"/>
      <c r="K55" s="212"/>
      <c r="L55" s="212"/>
      <c r="M55" s="390">
        <f t="shared" si="11"/>
        <v>0</v>
      </c>
      <c r="N55" s="411">
        <f t="shared" si="12"/>
        <v>0</v>
      </c>
      <c r="O55" s="386">
        <f t="shared" si="13"/>
        <v>0</v>
      </c>
      <c r="P55" s="392" t="str">
        <f t="shared" si="14"/>
        <v/>
      </c>
      <c r="Q55" s="385"/>
      <c r="R55" s="572"/>
      <c r="S55" s="386"/>
    </row>
    <row r="56" spans="1:20" x14ac:dyDescent="0.2">
      <c r="A56" s="795">
        <v>5195</v>
      </c>
      <c r="B56" s="387" t="s">
        <v>1156</v>
      </c>
      <c r="C56" s="393">
        <v>850.14</v>
      </c>
      <c r="D56" s="393">
        <v>631.98</v>
      </c>
      <c r="E56" s="393">
        <v>1038.2</v>
      </c>
      <c r="F56" s="212"/>
      <c r="G56" s="212"/>
      <c r="H56" s="212"/>
      <c r="I56" s="212"/>
      <c r="J56" s="212"/>
      <c r="K56" s="212"/>
      <c r="L56" s="212"/>
      <c r="M56" s="390">
        <f t="shared" si="11"/>
        <v>2600</v>
      </c>
      <c r="N56" s="411">
        <f t="shared" si="12"/>
        <v>1500</v>
      </c>
      <c r="O56" s="386">
        <f t="shared" si="13"/>
        <v>-1100</v>
      </c>
      <c r="P56" s="392">
        <f t="shared" si="14"/>
        <v>-0.42309999999999998</v>
      </c>
      <c r="Q56" s="385" t="s">
        <v>2226</v>
      </c>
      <c r="R56" s="572"/>
      <c r="S56" s="386"/>
    </row>
    <row r="57" spans="1:20" x14ac:dyDescent="0.2">
      <c r="A57" s="795">
        <v>5310</v>
      </c>
      <c r="B57" s="387" t="s">
        <v>1212</v>
      </c>
      <c r="C57" s="383"/>
      <c r="D57" s="383"/>
      <c r="E57" s="383">
        <v>1916.6</v>
      </c>
      <c r="F57" s="212"/>
      <c r="G57" s="212"/>
      <c r="H57" s="212"/>
      <c r="I57" s="212"/>
      <c r="J57" s="212"/>
      <c r="K57" s="212"/>
      <c r="L57" s="212"/>
      <c r="M57" s="390">
        <f>+O21</f>
        <v>0</v>
      </c>
      <c r="N57" s="411">
        <f>+Q21</f>
        <v>0</v>
      </c>
      <c r="O57" s="386">
        <f t="shared" si="13"/>
        <v>0</v>
      </c>
      <c r="P57" s="392" t="str">
        <f t="shared" si="14"/>
        <v/>
      </c>
      <c r="Q57" s="385"/>
      <c r="R57" s="572"/>
      <c r="S57" s="386"/>
    </row>
    <row r="58" spans="1:20" x14ac:dyDescent="0.2">
      <c r="A58" s="795">
        <v>5314</v>
      </c>
      <c r="B58" s="387" t="s">
        <v>860</v>
      </c>
      <c r="C58" s="383">
        <v>338</v>
      </c>
      <c r="D58" s="383">
        <v>726.4</v>
      </c>
      <c r="E58" s="383">
        <v>554</v>
      </c>
      <c r="F58" s="212"/>
      <c r="G58" s="212"/>
      <c r="H58" s="212"/>
      <c r="I58" s="212"/>
      <c r="J58" s="212"/>
      <c r="K58" s="212"/>
      <c r="L58" s="212"/>
      <c r="M58" s="390">
        <f>+O22</f>
        <v>4300</v>
      </c>
      <c r="N58" s="411">
        <f>+Q22</f>
        <v>1000</v>
      </c>
      <c r="O58" s="386">
        <f t="shared" si="13"/>
        <v>-3300</v>
      </c>
      <c r="P58" s="392">
        <f t="shared" si="14"/>
        <v>-0.76739999999999997</v>
      </c>
      <c r="Q58" s="385" t="s">
        <v>2226</v>
      </c>
      <c r="R58" s="572"/>
      <c r="S58" s="386"/>
    </row>
    <row r="59" spans="1:20" ht="13.5" thickBot="1" x14ac:dyDescent="0.25">
      <c r="A59" s="795">
        <v>5710</v>
      </c>
      <c r="B59" s="387" t="s">
        <v>869</v>
      </c>
      <c r="C59" s="389">
        <v>973.49</v>
      </c>
      <c r="D59" s="389">
        <v>1718.11</v>
      </c>
      <c r="E59" s="389">
        <v>868.43</v>
      </c>
      <c r="F59" s="212"/>
      <c r="G59" s="212"/>
      <c r="H59" s="212"/>
      <c r="I59" s="212"/>
      <c r="J59" s="212"/>
      <c r="K59" s="212"/>
      <c r="L59" s="212"/>
      <c r="M59" s="390">
        <f>+O23</f>
        <v>3300</v>
      </c>
      <c r="N59" s="411">
        <f>+Q23</f>
        <v>500</v>
      </c>
      <c r="O59" s="386">
        <f t="shared" si="13"/>
        <v>-2800</v>
      </c>
      <c r="P59" s="392">
        <f t="shared" si="14"/>
        <v>-0.84850000000000003</v>
      </c>
      <c r="Q59" s="385" t="s">
        <v>2226</v>
      </c>
      <c r="R59" s="572"/>
      <c r="S59" s="386"/>
    </row>
    <row r="60" spans="1:20" x14ac:dyDescent="0.2">
      <c r="C60" s="212"/>
      <c r="D60" s="212"/>
      <c r="E60" s="212"/>
      <c r="F60" s="212"/>
      <c r="G60" s="212"/>
      <c r="H60" s="212"/>
      <c r="I60" s="212"/>
      <c r="J60" s="212"/>
      <c r="K60" s="212"/>
      <c r="L60" s="212"/>
      <c r="M60" s="212"/>
      <c r="N60" s="212"/>
      <c r="O60" s="212"/>
    </row>
    <row r="61" spans="1:20" ht="15" x14ac:dyDescent="0.2">
      <c r="A61" s="774"/>
      <c r="B61" s="4" t="s">
        <v>846</v>
      </c>
      <c r="C61" s="23"/>
      <c r="D61" s="23"/>
      <c r="E61" s="23"/>
      <c r="F61" s="23"/>
      <c r="G61" s="23"/>
      <c r="H61" s="212"/>
      <c r="I61" s="212"/>
      <c r="J61" s="212"/>
      <c r="K61" s="212"/>
      <c r="L61" s="212"/>
      <c r="M61" s="616">
        <f>SUM(M46:M59)</f>
        <v>377862</v>
      </c>
      <c r="N61" s="616">
        <f>SUM(N46:N59)</f>
        <v>395588.1</v>
      </c>
      <c r="O61" s="25">
        <f>+N61-M61</f>
        <v>17726.099999999977</v>
      </c>
      <c r="P61" s="617">
        <f>IF(M61+N61&lt;&gt;0,IF(M61&lt;&gt;0,IF(O61&lt;&gt;0,ROUND((+O61/M61),4),""),1),"")</f>
        <v>4.6899999999999997E-2</v>
      </c>
      <c r="Q61" s="497"/>
      <c r="R61" s="497"/>
      <c r="S61" s="497"/>
    </row>
    <row r="62" spans="1:20" x14ac:dyDescent="0.2">
      <c r="B62" s="4"/>
      <c r="C62" s="212"/>
      <c r="D62" s="212"/>
      <c r="E62" s="212"/>
      <c r="F62" s="212"/>
      <c r="G62" s="212"/>
      <c r="H62" s="212"/>
      <c r="I62" s="212"/>
      <c r="J62" s="212"/>
      <c r="K62" s="212"/>
      <c r="L62" s="212"/>
      <c r="M62" s="212"/>
      <c r="N62" s="212"/>
      <c r="O62" s="212"/>
    </row>
    <row r="63" spans="1:20" x14ac:dyDescent="0.2">
      <c r="B63" s="4"/>
      <c r="C63" s="212"/>
      <c r="D63" s="212"/>
      <c r="E63" s="212"/>
      <c r="F63" s="212"/>
      <c r="G63" s="212"/>
      <c r="H63" s="212"/>
      <c r="I63" s="212"/>
      <c r="J63" s="212"/>
      <c r="K63" s="212"/>
      <c r="L63" s="212"/>
      <c r="M63" s="212"/>
      <c r="N63" s="212"/>
      <c r="O63" s="212"/>
    </row>
    <row r="64" spans="1:20" s="4" customFormat="1" x14ac:dyDescent="0.2">
      <c r="A64" s="774"/>
      <c r="C64" s="23"/>
      <c r="D64" s="23"/>
      <c r="E64" s="23"/>
      <c r="F64" s="23"/>
      <c r="G64" s="23"/>
      <c r="H64" s="23"/>
      <c r="I64" s="23"/>
      <c r="J64" s="23"/>
      <c r="K64" s="23"/>
      <c r="L64" s="23"/>
      <c r="M64" s="23"/>
      <c r="N64" s="23"/>
      <c r="O64" s="23"/>
      <c r="Q64" s="23"/>
      <c r="R64" s="23"/>
      <c r="S64" s="23"/>
      <c r="T64" s="23"/>
    </row>
    <row r="65" spans="1:20" s="4" customFormat="1" x14ac:dyDescent="0.2">
      <c r="A65" s="774"/>
      <c r="C65" s="23"/>
      <c r="D65" s="23"/>
      <c r="E65" s="23"/>
      <c r="F65" s="23"/>
      <c r="G65" s="23"/>
      <c r="H65" s="23"/>
      <c r="I65" s="23"/>
      <c r="J65" s="23"/>
      <c r="K65" s="23"/>
      <c r="L65" s="23"/>
      <c r="M65" s="23"/>
      <c r="N65" s="23"/>
      <c r="O65" s="23"/>
      <c r="Q65" s="23"/>
      <c r="R65" s="23"/>
      <c r="S65" s="23"/>
      <c r="T65" s="23"/>
    </row>
    <row r="66" spans="1:20" s="4" customFormat="1" ht="14.25" x14ac:dyDescent="0.2">
      <c r="A66" s="773"/>
      <c r="C66" s="23"/>
      <c r="D66" s="23"/>
      <c r="E66" s="23"/>
      <c r="F66" s="23"/>
      <c r="G66" s="23"/>
      <c r="H66" s="23"/>
      <c r="I66" s="23"/>
      <c r="J66" s="23"/>
      <c r="K66" s="23"/>
      <c r="L66" s="23"/>
      <c r="M66" s="23"/>
      <c r="N66" s="23"/>
      <c r="O66" s="23"/>
      <c r="Q66" s="23"/>
      <c r="R66" s="23"/>
      <c r="S66" s="23"/>
      <c r="T66" s="23"/>
    </row>
    <row r="67" spans="1:20" s="4" customFormat="1" ht="14.25" x14ac:dyDescent="0.2">
      <c r="A67" s="773"/>
      <c r="C67" s="23"/>
      <c r="D67" s="23"/>
      <c r="E67" s="23"/>
      <c r="F67" s="23"/>
      <c r="G67" s="23"/>
      <c r="H67" s="23"/>
      <c r="I67" s="23"/>
      <c r="J67" s="23"/>
      <c r="K67" s="23"/>
      <c r="L67" s="23"/>
      <c r="M67" s="23"/>
      <c r="N67" s="23"/>
      <c r="O67" s="23"/>
      <c r="Q67" s="23"/>
      <c r="R67" s="23"/>
      <c r="S67" s="23"/>
      <c r="T67" s="23"/>
    </row>
    <row r="68" spans="1:20" s="4" customFormat="1" ht="14.25" x14ac:dyDescent="0.2">
      <c r="A68" s="773"/>
      <c r="C68" s="23"/>
      <c r="D68" s="23"/>
      <c r="E68" s="23"/>
      <c r="F68" s="23"/>
      <c r="G68" s="23"/>
      <c r="H68" s="23"/>
      <c r="I68" s="23"/>
      <c r="J68" s="23"/>
      <c r="K68" s="23"/>
      <c r="L68" s="23"/>
      <c r="M68" s="23"/>
      <c r="N68" s="23"/>
      <c r="O68" s="23"/>
      <c r="Q68" s="23"/>
      <c r="R68" s="23"/>
      <c r="S68" s="23"/>
      <c r="T68" s="23"/>
    </row>
    <row r="69" spans="1:20" s="4" customFormat="1" ht="14.25" x14ac:dyDescent="0.2">
      <c r="A69" s="818"/>
      <c r="C69" s="23"/>
      <c r="D69" s="23"/>
      <c r="E69" s="23"/>
      <c r="F69" s="23"/>
      <c r="G69" s="23"/>
      <c r="H69" s="23"/>
      <c r="I69" s="23"/>
      <c r="J69" s="23"/>
      <c r="K69" s="23"/>
      <c r="L69" s="23"/>
      <c r="M69" s="23"/>
      <c r="N69" s="23"/>
      <c r="O69" s="23"/>
      <c r="Q69" s="23"/>
      <c r="R69" s="23"/>
      <c r="S69" s="23"/>
      <c r="T69" s="23"/>
    </row>
    <row r="70" spans="1:20" s="4" customFormat="1" x14ac:dyDescent="0.2">
      <c r="A70" s="774"/>
      <c r="C70" s="23"/>
      <c r="D70" s="23"/>
      <c r="E70" s="23"/>
      <c r="F70" s="23"/>
      <c r="G70" s="23"/>
      <c r="H70" s="23"/>
      <c r="I70" s="23"/>
      <c r="J70" s="23"/>
      <c r="K70" s="23"/>
      <c r="L70" s="23"/>
      <c r="M70" s="23"/>
      <c r="N70" s="23"/>
      <c r="O70" s="23"/>
      <c r="Q70" s="23"/>
      <c r="R70" s="23"/>
      <c r="S70" s="23"/>
      <c r="T70" s="23"/>
    </row>
    <row r="71" spans="1:20" x14ac:dyDescent="0.2">
      <c r="C71" s="212"/>
      <c r="D71" s="212"/>
      <c r="E71" s="212"/>
      <c r="F71" s="212"/>
      <c r="G71" s="212"/>
      <c r="H71" s="212"/>
      <c r="I71" s="212"/>
      <c r="J71" s="212"/>
      <c r="K71" s="212"/>
      <c r="L71" s="212"/>
      <c r="M71" s="212"/>
      <c r="N71" s="212"/>
      <c r="O71" s="212"/>
    </row>
    <row r="72" spans="1:20" x14ac:dyDescent="0.2">
      <c r="C72" s="212"/>
      <c r="D72" s="212"/>
      <c r="E72" s="212"/>
      <c r="F72" s="212"/>
      <c r="G72" s="212"/>
      <c r="H72" s="212"/>
      <c r="I72" s="212"/>
      <c r="J72" s="212"/>
      <c r="K72" s="212"/>
      <c r="L72" s="212"/>
      <c r="M72" s="212"/>
      <c r="N72" s="212"/>
      <c r="O72" s="212"/>
    </row>
    <row r="73" spans="1:20" x14ac:dyDescent="0.2">
      <c r="C73" s="212"/>
      <c r="D73" s="212"/>
      <c r="E73" s="212"/>
      <c r="F73" s="212"/>
      <c r="G73" s="212"/>
      <c r="H73" s="212"/>
      <c r="I73" s="212"/>
      <c r="J73" s="212"/>
      <c r="K73" s="212"/>
      <c r="L73" s="212"/>
      <c r="M73" s="212"/>
      <c r="N73" s="212"/>
      <c r="O73" s="212"/>
    </row>
    <row r="74" spans="1:20" x14ac:dyDescent="0.2">
      <c r="C74" s="212"/>
      <c r="D74" s="212"/>
      <c r="E74" s="212"/>
      <c r="F74" s="212"/>
      <c r="G74" s="212"/>
      <c r="H74" s="212"/>
      <c r="I74" s="212"/>
      <c r="J74" s="212"/>
      <c r="K74" s="212"/>
      <c r="L74" s="212"/>
      <c r="M74" s="212"/>
      <c r="N74" s="212"/>
      <c r="O74" s="212"/>
    </row>
    <row r="75" spans="1:20" x14ac:dyDescent="0.2">
      <c r="C75" s="212"/>
      <c r="D75" s="212"/>
      <c r="E75" s="212"/>
      <c r="F75" s="212"/>
      <c r="G75" s="212"/>
      <c r="H75" s="212"/>
      <c r="I75" s="212"/>
      <c r="J75" s="212"/>
      <c r="K75" s="212"/>
      <c r="L75" s="212"/>
      <c r="M75" s="212"/>
      <c r="N75" s="212"/>
      <c r="O75" s="212"/>
    </row>
    <row r="76" spans="1:20" x14ac:dyDescent="0.2">
      <c r="C76" s="212"/>
      <c r="D76" s="212"/>
      <c r="E76" s="212"/>
      <c r="F76" s="212"/>
      <c r="G76" s="212"/>
      <c r="H76" s="212"/>
      <c r="I76" s="212"/>
      <c r="J76" s="212"/>
      <c r="K76" s="212"/>
      <c r="L76" s="212"/>
      <c r="M76" s="212"/>
      <c r="N76" s="212"/>
      <c r="O76" s="212"/>
    </row>
    <row r="77" spans="1:20" x14ac:dyDescent="0.2">
      <c r="C77" s="212"/>
      <c r="D77" s="212"/>
      <c r="E77" s="212"/>
      <c r="F77" s="212"/>
      <c r="G77" s="212"/>
      <c r="H77" s="212"/>
      <c r="I77" s="212"/>
      <c r="J77" s="212"/>
      <c r="K77" s="212"/>
      <c r="L77" s="212"/>
      <c r="M77" s="212"/>
      <c r="N77" s="212"/>
      <c r="O77" s="212"/>
    </row>
    <row r="78" spans="1:20" x14ac:dyDescent="0.2">
      <c r="C78" s="212"/>
      <c r="D78" s="212"/>
      <c r="E78" s="212"/>
      <c r="F78" s="212"/>
      <c r="G78" s="212"/>
      <c r="H78" s="212"/>
      <c r="I78" s="212"/>
      <c r="J78" s="212"/>
      <c r="K78" s="212"/>
      <c r="L78" s="212"/>
      <c r="M78" s="212"/>
      <c r="N78" s="212"/>
      <c r="O78" s="212"/>
    </row>
    <row r="79" spans="1:20" x14ac:dyDescent="0.2">
      <c r="C79" s="212"/>
      <c r="D79" s="212"/>
      <c r="E79" s="212"/>
      <c r="F79" s="212"/>
      <c r="G79" s="212"/>
      <c r="H79" s="212"/>
      <c r="I79" s="212"/>
      <c r="J79" s="212"/>
      <c r="K79" s="212"/>
      <c r="L79" s="212"/>
      <c r="M79" s="212"/>
      <c r="N79" s="212"/>
      <c r="O79" s="212"/>
    </row>
    <row r="80" spans="1:20" x14ac:dyDescent="0.2">
      <c r="C80" s="212"/>
      <c r="D80" s="212"/>
      <c r="E80" s="212"/>
      <c r="F80" s="212"/>
      <c r="G80" s="212"/>
      <c r="H80" s="212"/>
      <c r="I80" s="212"/>
      <c r="J80" s="212"/>
      <c r="K80" s="212"/>
      <c r="L80" s="212"/>
      <c r="M80" s="212"/>
      <c r="N80" s="212"/>
      <c r="O80" s="212"/>
    </row>
    <row r="81" spans="3:3" x14ac:dyDescent="0.2">
      <c r="C81" s="212"/>
    </row>
    <row r="82" spans="3:3" x14ac:dyDescent="0.2">
      <c r="C82" s="212"/>
    </row>
    <row r="83" spans="3:3" x14ac:dyDescent="0.2">
      <c r="C83" s="212"/>
    </row>
    <row r="84" spans="3:3" x14ac:dyDescent="0.2">
      <c r="C84" s="212"/>
    </row>
    <row r="85" spans="3:3" x14ac:dyDescent="0.2">
      <c r="C85" s="212"/>
    </row>
    <row r="86" spans="3:3" x14ac:dyDescent="0.2">
      <c r="C86" s="212"/>
    </row>
    <row r="87" spans="3:3" x14ac:dyDescent="0.2">
      <c r="C87" s="212"/>
    </row>
    <row r="88" spans="3:3" x14ac:dyDescent="0.2">
      <c r="C88" s="212"/>
    </row>
    <row r="89" spans="3:3" x14ac:dyDescent="0.2">
      <c r="C89" s="212"/>
    </row>
    <row r="90" spans="3:3" x14ac:dyDescent="0.2">
      <c r="C90" s="212"/>
    </row>
    <row r="91" spans="3:3" x14ac:dyDescent="0.2">
      <c r="C91" s="212"/>
    </row>
    <row r="92" spans="3:3" x14ac:dyDescent="0.2">
      <c r="C92" s="212"/>
    </row>
    <row r="93" spans="3:3" x14ac:dyDescent="0.2">
      <c r="C93" s="212"/>
    </row>
    <row r="94" spans="3:3" x14ac:dyDescent="0.2">
      <c r="C94" s="212"/>
    </row>
    <row r="95" spans="3:3" x14ac:dyDescent="0.2">
      <c r="C95" s="212"/>
    </row>
    <row r="96" spans="3:3" x14ac:dyDescent="0.2">
      <c r="C96" s="212"/>
    </row>
    <row r="97" spans="3:3" x14ac:dyDescent="0.2">
      <c r="C97" s="212"/>
    </row>
    <row r="98" spans="3:3" x14ac:dyDescent="0.2">
      <c r="C98" s="212"/>
    </row>
    <row r="99" spans="3:3" x14ac:dyDescent="0.2">
      <c r="C99" s="212"/>
    </row>
    <row r="100" spans="3:3" x14ac:dyDescent="0.2">
      <c r="C100" s="212"/>
    </row>
    <row r="101" spans="3:3" x14ac:dyDescent="0.2">
      <c r="C101" s="212"/>
    </row>
    <row r="102" spans="3:3" x14ac:dyDescent="0.2">
      <c r="C102" s="212"/>
    </row>
    <row r="103" spans="3:3" x14ac:dyDescent="0.2">
      <c r="C103" s="212"/>
    </row>
    <row r="104" spans="3:3" x14ac:dyDescent="0.2">
      <c r="C104" s="212"/>
    </row>
    <row r="105" spans="3:3" x14ac:dyDescent="0.2">
      <c r="C105" s="212"/>
    </row>
    <row r="106" spans="3:3" x14ac:dyDescent="0.2">
      <c r="C106" s="212"/>
    </row>
    <row r="107" spans="3:3" x14ac:dyDescent="0.2">
      <c r="C107" s="212"/>
    </row>
    <row r="108" spans="3:3" x14ac:dyDescent="0.2">
      <c r="C108" s="212"/>
    </row>
    <row r="109" spans="3:3" x14ac:dyDescent="0.2">
      <c r="C109" s="212"/>
    </row>
    <row r="110" spans="3:3" x14ac:dyDescent="0.2">
      <c r="C110" s="212"/>
    </row>
    <row r="111" spans="3:3" x14ac:dyDescent="0.2">
      <c r="C111" s="212"/>
    </row>
    <row r="112" spans="3:3" x14ac:dyDescent="0.2">
      <c r="C112" s="212"/>
    </row>
    <row r="113" spans="3:3" x14ac:dyDescent="0.2">
      <c r="C113" s="212"/>
    </row>
    <row r="114" spans="3:3" x14ac:dyDescent="0.2">
      <c r="C114" s="212"/>
    </row>
    <row r="115" spans="3:3" x14ac:dyDescent="0.2">
      <c r="C115" s="212"/>
    </row>
    <row r="116" spans="3:3" x14ac:dyDescent="0.2">
      <c r="C116" s="212"/>
    </row>
    <row r="117" spans="3:3" x14ac:dyDescent="0.2">
      <c r="C117" s="212"/>
    </row>
    <row r="118" spans="3:3" x14ac:dyDescent="0.2">
      <c r="C118" s="212"/>
    </row>
    <row r="119" spans="3:3" x14ac:dyDescent="0.2">
      <c r="C119" s="212"/>
    </row>
    <row r="120" spans="3:3" x14ac:dyDescent="0.2">
      <c r="C120" s="212"/>
    </row>
    <row r="121" spans="3:3" x14ac:dyDescent="0.2">
      <c r="C121" s="212"/>
    </row>
    <row r="122" spans="3:3" x14ac:dyDescent="0.2">
      <c r="C122" s="212"/>
    </row>
    <row r="123" spans="3:3" x14ac:dyDescent="0.2">
      <c r="C123" s="212"/>
    </row>
    <row r="124" spans="3:3" x14ac:dyDescent="0.2">
      <c r="C124" s="212"/>
    </row>
    <row r="125" spans="3:3" x14ac:dyDescent="0.2">
      <c r="C125" s="212"/>
    </row>
    <row r="126" spans="3:3" x14ac:dyDescent="0.2">
      <c r="C126" s="212"/>
    </row>
    <row r="127" spans="3:3" x14ac:dyDescent="0.2">
      <c r="C127" s="212"/>
    </row>
    <row r="128" spans="3:3" x14ac:dyDescent="0.2">
      <c r="C128" s="212"/>
    </row>
    <row r="129" spans="3:3" x14ac:dyDescent="0.2">
      <c r="C129" s="212"/>
    </row>
    <row r="130" spans="3:3" x14ac:dyDescent="0.2">
      <c r="C130" s="212"/>
    </row>
    <row r="131" spans="3:3" x14ac:dyDescent="0.2">
      <c r="C131" s="212"/>
    </row>
    <row r="132" spans="3:3" x14ac:dyDescent="0.2">
      <c r="C132" s="212"/>
    </row>
    <row r="133" spans="3:3" x14ac:dyDescent="0.2">
      <c r="C133" s="212"/>
    </row>
    <row r="134" spans="3:3" x14ac:dyDescent="0.2">
      <c r="C134" s="212"/>
    </row>
    <row r="135" spans="3:3" x14ac:dyDescent="0.2">
      <c r="C135" s="212"/>
    </row>
    <row r="136" spans="3:3" x14ac:dyDescent="0.2">
      <c r="C136" s="212"/>
    </row>
    <row r="137" spans="3:3" x14ac:dyDescent="0.2">
      <c r="C137" s="212"/>
    </row>
    <row r="138" spans="3:3" x14ac:dyDescent="0.2">
      <c r="C138" s="212"/>
    </row>
    <row r="139" spans="3:3" x14ac:dyDescent="0.2">
      <c r="C139" s="212"/>
    </row>
    <row r="140" spans="3:3" x14ac:dyDescent="0.2">
      <c r="C140" s="212"/>
    </row>
    <row r="141" spans="3:3" x14ac:dyDescent="0.2">
      <c r="C141" s="212"/>
    </row>
    <row r="142" spans="3:3" x14ac:dyDescent="0.2">
      <c r="C142" s="212"/>
    </row>
    <row r="143" spans="3:3" x14ac:dyDescent="0.2">
      <c r="C143" s="212"/>
    </row>
    <row r="144" spans="3:3" x14ac:dyDescent="0.2">
      <c r="C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sheetData>
  <phoneticPr fontId="0" type="noConversion"/>
  <hyperlinks>
    <hyperlink ref="A1" location="'Working Budget with funding det'!A1" display="Main " xr:uid="{00000000-0004-0000-1A00-000000000000}"/>
    <hyperlink ref="B1" location="'Table of Contents'!A1" display="TOC" xr:uid="{00000000-0004-0000-1A00-000001000000}"/>
  </hyperlinks>
  <pageMargins left="0.75" right="0.75" top="1" bottom="1" header="0.5" footer="0.5"/>
  <pageSetup scale="89" fitToHeight="2" orientation="landscape" r:id="rId1"/>
  <headerFooter alignWithMargins="0">
    <oddFooter>&amp;L&amp;D  &amp;T&amp;C&amp;F&amp;R&amp;A</oddFooter>
  </headerFooter>
  <rowBreaks count="1" manualBreakCount="1">
    <brk id="30"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X171"/>
  <sheetViews>
    <sheetView zoomScaleNormal="100" workbookViewId="0">
      <selection activeCell="Q57" sqref="Q57"/>
    </sheetView>
  </sheetViews>
  <sheetFormatPr defaultRowHeight="12.75" x14ac:dyDescent="0.2"/>
  <cols>
    <col min="1" max="1" width="10.83203125" style="783" customWidth="1"/>
    <col min="2" max="2" width="36.6640625" customWidth="1"/>
    <col min="3" max="3" width="14.5" style="1" hidden="1" customWidth="1"/>
    <col min="4" max="12" width="14.5" style="106" hidden="1" customWidth="1"/>
    <col min="13" max="15" width="14.5" style="106" customWidth="1"/>
    <col min="16" max="16" width="14.5" customWidth="1"/>
    <col min="17" max="20" width="14.5" style="1" customWidth="1"/>
    <col min="21" max="23" width="14.5" customWidth="1"/>
    <col min="24" max="24" width="14.6640625" style="2" customWidth="1"/>
  </cols>
  <sheetData>
    <row r="1" spans="1:23" x14ac:dyDescent="0.2">
      <c r="A1" s="772" t="s">
        <v>847</v>
      </c>
      <c r="B1" s="308" t="s">
        <v>197</v>
      </c>
      <c r="D1" s="212"/>
      <c r="E1" s="212"/>
      <c r="F1" s="212"/>
      <c r="G1" s="212"/>
      <c r="H1" s="212"/>
      <c r="I1" s="212"/>
      <c r="J1" s="212"/>
      <c r="K1" s="212"/>
      <c r="L1" s="212"/>
      <c r="M1" s="212"/>
      <c r="N1" s="212"/>
      <c r="O1" s="212"/>
      <c r="T1"/>
    </row>
    <row r="2" spans="1:23" ht="15" x14ac:dyDescent="0.25">
      <c r="A2" s="773" t="s">
        <v>1138</v>
      </c>
      <c r="B2" s="43"/>
      <c r="D2" s="212"/>
      <c r="E2" s="126"/>
      <c r="F2" s="212"/>
      <c r="G2" s="212"/>
      <c r="H2" s="212"/>
      <c r="I2" s="126" t="s">
        <v>816</v>
      </c>
      <c r="J2" s="126"/>
      <c r="K2" s="126"/>
      <c r="L2" s="126"/>
      <c r="M2" s="126"/>
      <c r="N2" s="126"/>
      <c r="O2" s="126"/>
      <c r="P2" s="58" t="s">
        <v>1232</v>
      </c>
      <c r="S2" s="44" t="s">
        <v>1233</v>
      </c>
    </row>
    <row r="3" spans="1:23" ht="13.5" thickBot="1" x14ac:dyDescent="0.25">
      <c r="A3" s="774"/>
      <c r="B3" s="4"/>
      <c r="C3" s="23"/>
      <c r="D3" s="23"/>
      <c r="E3" s="23"/>
      <c r="F3" s="23"/>
      <c r="G3" s="23"/>
      <c r="H3" s="23"/>
      <c r="I3" s="23"/>
      <c r="J3" s="23"/>
      <c r="K3" s="23"/>
      <c r="L3" s="23"/>
      <c r="M3" s="23"/>
      <c r="N3" s="23"/>
      <c r="O3" s="23"/>
      <c r="P3" s="4"/>
      <c r="Q3" s="23"/>
      <c r="R3" s="23"/>
      <c r="S3" s="4"/>
      <c r="T3" s="4"/>
      <c r="W3" s="4"/>
    </row>
    <row r="4" spans="1:23"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3"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3" x14ac:dyDescent="0.2">
      <c r="A6" s="776"/>
      <c r="B6" s="202"/>
      <c r="C6" s="113"/>
      <c r="D6" s="113"/>
      <c r="E6" s="113"/>
      <c r="F6" s="113"/>
      <c r="G6" s="113"/>
      <c r="H6" s="113"/>
      <c r="I6" s="83"/>
      <c r="J6" s="83"/>
      <c r="K6" s="83"/>
      <c r="L6" s="83"/>
      <c r="M6" s="83"/>
      <c r="N6" s="83"/>
      <c r="O6" s="83"/>
      <c r="P6" s="113"/>
      <c r="Q6" s="83" t="s">
        <v>823</v>
      </c>
      <c r="R6" s="83" t="s">
        <v>585</v>
      </c>
      <c r="S6" s="45" t="s">
        <v>824</v>
      </c>
    </row>
    <row r="7" spans="1:23"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3" ht="13.5" thickTop="1" x14ac:dyDescent="0.2">
      <c r="A8" s="778"/>
      <c r="B8" s="157"/>
      <c r="C8" s="115"/>
      <c r="D8" s="268"/>
      <c r="E8" s="268"/>
      <c r="F8" s="268"/>
      <c r="G8" s="268"/>
      <c r="H8" s="268"/>
      <c r="I8" s="268"/>
      <c r="J8" s="268"/>
      <c r="K8" s="146"/>
      <c r="L8" s="146"/>
      <c r="M8" s="146"/>
      <c r="N8" s="146"/>
      <c r="O8" s="146"/>
      <c r="P8" s="59"/>
      <c r="Q8" s="10"/>
      <c r="R8" s="10"/>
      <c r="S8" s="10"/>
    </row>
    <row r="9" spans="1:23" x14ac:dyDescent="0.2">
      <c r="A9" s="779">
        <v>5111</v>
      </c>
      <c r="B9" s="60" t="s">
        <v>1140</v>
      </c>
      <c r="C9" s="116">
        <v>96122.44</v>
      </c>
      <c r="D9" s="13">
        <v>98465.76</v>
      </c>
      <c r="E9" s="13">
        <v>101448.58</v>
      </c>
      <c r="F9" s="13">
        <v>103968.7</v>
      </c>
      <c r="G9" s="13">
        <v>105991</v>
      </c>
      <c r="H9" s="13">
        <v>112846.15</v>
      </c>
      <c r="I9" s="13">
        <v>104318.8</v>
      </c>
      <c r="J9" s="13">
        <v>108008.97</v>
      </c>
      <c r="K9" s="14">
        <v>110824</v>
      </c>
      <c r="L9" s="128">
        <v>115262.13</v>
      </c>
      <c r="M9" s="14">
        <v>113910</v>
      </c>
      <c r="N9" s="128">
        <v>104811.4</v>
      </c>
      <c r="O9" s="14">
        <f>3184+106212</f>
        <v>109396</v>
      </c>
      <c r="P9" s="13">
        <v>52592.17</v>
      </c>
      <c r="Q9" s="14">
        <f>ROUND((+P42+P43),0)</f>
        <v>113851</v>
      </c>
      <c r="R9" s="14"/>
      <c r="S9" s="14"/>
    </row>
    <row r="10" spans="1:23" x14ac:dyDescent="0.2">
      <c r="A10" s="779">
        <v>5124</v>
      </c>
      <c r="B10" s="60" t="s">
        <v>1234</v>
      </c>
      <c r="C10" s="116"/>
      <c r="D10" s="13"/>
      <c r="E10" s="13"/>
      <c r="F10" s="13"/>
      <c r="G10" s="13"/>
      <c r="H10" s="13">
        <v>2692.25</v>
      </c>
      <c r="I10" s="13">
        <v>1874.75</v>
      </c>
      <c r="J10" s="13"/>
      <c r="K10" s="14">
        <v>300</v>
      </c>
      <c r="L10" s="13"/>
      <c r="M10" s="14"/>
      <c r="N10" s="13"/>
      <c r="O10" s="14"/>
      <c r="P10" s="13"/>
      <c r="Q10" s="14"/>
      <c r="R10" s="14"/>
      <c r="S10" s="14"/>
    </row>
    <row r="11" spans="1:23" x14ac:dyDescent="0.2">
      <c r="A11" s="779">
        <v>5140</v>
      </c>
      <c r="B11" s="60" t="s">
        <v>1235</v>
      </c>
      <c r="C11" s="116">
        <v>324.72000000000003</v>
      </c>
      <c r="D11" s="13">
        <v>487.08</v>
      </c>
      <c r="E11" s="13">
        <v>162.36000000000001</v>
      </c>
      <c r="F11" s="13"/>
      <c r="G11" s="13">
        <v>275</v>
      </c>
      <c r="H11" s="13"/>
      <c r="I11" s="13">
        <v>302.5</v>
      </c>
      <c r="J11" s="13">
        <v>464.75</v>
      </c>
      <c r="K11" s="14">
        <v>900</v>
      </c>
      <c r="L11" s="13">
        <v>889</v>
      </c>
      <c r="M11" s="14">
        <v>1150</v>
      </c>
      <c r="N11" s="13">
        <v>1124.6500000000001</v>
      </c>
      <c r="O11" s="14">
        <v>1150</v>
      </c>
      <c r="P11" s="128">
        <v>199.5</v>
      </c>
      <c r="Q11" s="14">
        <v>1150</v>
      </c>
      <c r="R11" s="14"/>
      <c r="S11" s="14"/>
    </row>
    <row r="12" spans="1:23" x14ac:dyDescent="0.2">
      <c r="A12" s="779">
        <v>5141</v>
      </c>
      <c r="B12" s="60" t="s">
        <v>1236</v>
      </c>
      <c r="C12" s="116">
        <v>2976.6</v>
      </c>
      <c r="D12" s="13">
        <v>2408.34</v>
      </c>
      <c r="E12" s="13">
        <v>2841.3</v>
      </c>
      <c r="F12" s="13">
        <v>2282.5</v>
      </c>
      <c r="G12" s="13">
        <v>2530</v>
      </c>
      <c r="H12" s="13">
        <v>2282.5</v>
      </c>
      <c r="I12" s="13">
        <v>2117.5</v>
      </c>
      <c r="J12" s="13">
        <v>2030</v>
      </c>
      <c r="K12" s="14">
        <v>4250</v>
      </c>
      <c r="L12" s="13">
        <v>2275</v>
      </c>
      <c r="M12" s="14">
        <v>3900</v>
      </c>
      <c r="N12" s="13">
        <v>875</v>
      </c>
      <c r="O12" s="14">
        <v>3900</v>
      </c>
      <c r="P12" s="13">
        <v>245</v>
      </c>
      <c r="Q12" s="14">
        <v>3900</v>
      </c>
      <c r="R12" s="14"/>
      <c r="S12" s="14"/>
    </row>
    <row r="13" spans="1:23" x14ac:dyDescent="0.2">
      <c r="A13" s="779">
        <v>5142</v>
      </c>
      <c r="B13" s="60" t="s">
        <v>1237</v>
      </c>
      <c r="C13" s="116">
        <v>2516.58</v>
      </c>
      <c r="D13" s="13">
        <v>2570.6999999999998</v>
      </c>
      <c r="E13" s="13">
        <v>3220.14</v>
      </c>
      <c r="F13" s="13">
        <v>4840</v>
      </c>
      <c r="G13" s="13">
        <v>3685</v>
      </c>
      <c r="H13" s="13">
        <v>3052.5</v>
      </c>
      <c r="I13" s="13">
        <v>4152.5</v>
      </c>
      <c r="J13" s="13">
        <v>4760</v>
      </c>
      <c r="K13" s="14">
        <v>4250</v>
      </c>
      <c r="L13" s="13">
        <v>4620</v>
      </c>
      <c r="M13" s="14">
        <v>3900</v>
      </c>
      <c r="N13" s="13">
        <v>1820</v>
      </c>
      <c r="O13" s="14">
        <v>3900</v>
      </c>
      <c r="P13" s="13">
        <v>455</v>
      </c>
      <c r="Q13" s="14">
        <v>3900</v>
      </c>
      <c r="R13" s="14"/>
      <c r="S13" s="14"/>
    </row>
    <row r="14" spans="1:23" x14ac:dyDescent="0.2">
      <c r="A14" s="779">
        <v>5143</v>
      </c>
      <c r="B14" s="60" t="s">
        <v>1238</v>
      </c>
      <c r="C14" s="116">
        <v>5412</v>
      </c>
      <c r="D14" s="13">
        <v>5709.66</v>
      </c>
      <c r="E14" s="13">
        <v>6332.04</v>
      </c>
      <c r="F14" s="13">
        <v>7727.5</v>
      </c>
      <c r="G14" s="13">
        <v>5940</v>
      </c>
      <c r="H14" s="13">
        <v>4950</v>
      </c>
      <c r="I14" s="13">
        <f>200+4922.5</f>
        <v>5122.5</v>
      </c>
      <c r="J14" s="13">
        <v>8330</v>
      </c>
      <c r="K14" s="14">
        <v>10750</v>
      </c>
      <c r="L14" s="13">
        <v>8295</v>
      </c>
      <c r="M14" s="14">
        <v>10750</v>
      </c>
      <c r="N14" s="13">
        <v>6440</v>
      </c>
      <c r="O14" s="14">
        <v>10750</v>
      </c>
      <c r="P14" s="13">
        <v>2940</v>
      </c>
      <c r="Q14" s="14">
        <v>10750</v>
      </c>
      <c r="R14" s="14"/>
      <c r="S14" s="14"/>
    </row>
    <row r="15" spans="1:23" x14ac:dyDescent="0.2">
      <c r="A15" s="779">
        <v>5144</v>
      </c>
      <c r="B15" s="60" t="s">
        <v>27</v>
      </c>
      <c r="C15" s="228">
        <v>600</v>
      </c>
      <c r="D15" s="35">
        <v>450</v>
      </c>
      <c r="E15" s="35">
        <v>500</v>
      </c>
      <c r="F15" s="35">
        <v>1000</v>
      </c>
      <c r="G15" s="35">
        <v>1900</v>
      </c>
      <c r="H15" s="35">
        <v>800</v>
      </c>
      <c r="I15" s="218">
        <v>800</v>
      </c>
      <c r="J15" s="218">
        <v>900</v>
      </c>
      <c r="K15" s="36">
        <v>900</v>
      </c>
      <c r="L15" s="218">
        <v>900</v>
      </c>
      <c r="M15" s="36">
        <v>900</v>
      </c>
      <c r="N15" s="218">
        <v>900</v>
      </c>
      <c r="O15" s="36">
        <f>100+900</f>
        <v>1000</v>
      </c>
      <c r="P15" s="35"/>
      <c r="Q15" s="36">
        <f>+T43</f>
        <v>1000</v>
      </c>
      <c r="R15" s="36"/>
      <c r="S15" s="36"/>
    </row>
    <row r="16" spans="1:23" ht="13.5" thickBot="1" x14ac:dyDescent="0.25">
      <c r="A16" s="779">
        <v>5145</v>
      </c>
      <c r="B16" s="60" t="s">
        <v>1148</v>
      </c>
      <c r="C16" s="117">
        <v>300.04000000000002</v>
      </c>
      <c r="D16" s="15">
        <v>300.04000000000002</v>
      </c>
      <c r="E16" s="15">
        <v>300.04000000000002</v>
      </c>
      <c r="F16" s="13">
        <v>305.81</v>
      </c>
      <c r="G16" s="13">
        <v>300.04000000000002</v>
      </c>
      <c r="H16" s="13">
        <v>334.66</v>
      </c>
      <c r="I16" s="13">
        <v>300.04000000000002</v>
      </c>
      <c r="J16" s="13">
        <v>300.04000000000002</v>
      </c>
      <c r="K16" s="14">
        <v>300</v>
      </c>
      <c r="L16" s="13">
        <v>317.35000000000002</v>
      </c>
      <c r="M16" s="14">
        <v>300</v>
      </c>
      <c r="N16" s="13">
        <v>300.04000000000002</v>
      </c>
      <c r="O16" s="14">
        <v>300</v>
      </c>
      <c r="P16" s="13">
        <v>144.25</v>
      </c>
      <c r="Q16" s="14">
        <v>300</v>
      </c>
      <c r="R16" s="14"/>
      <c r="S16" s="14"/>
    </row>
    <row r="17" spans="1:20" x14ac:dyDescent="0.2">
      <c r="A17" s="779">
        <v>5146</v>
      </c>
      <c r="B17" s="60" t="s">
        <v>2415</v>
      </c>
      <c r="C17" s="591"/>
      <c r="D17" s="28"/>
      <c r="E17" s="28"/>
      <c r="F17" s="13"/>
      <c r="G17" s="13"/>
      <c r="H17" s="13"/>
      <c r="I17" s="13"/>
      <c r="J17" s="13"/>
      <c r="K17" s="14"/>
      <c r="L17" s="13"/>
      <c r="M17" s="14"/>
      <c r="N17" s="13"/>
      <c r="O17" s="14"/>
      <c r="P17" s="13"/>
      <c r="Q17" s="14">
        <v>2500</v>
      </c>
      <c r="R17" s="14"/>
      <c r="S17" s="14"/>
    </row>
    <row r="18" spans="1:20" x14ac:dyDescent="0.2">
      <c r="A18" s="779">
        <v>5193</v>
      </c>
      <c r="B18" s="60" t="s">
        <v>1046</v>
      </c>
      <c r="C18" s="591"/>
      <c r="D18" s="28"/>
      <c r="E18" s="28"/>
      <c r="F18" s="13"/>
      <c r="G18" s="13"/>
      <c r="H18" s="13">
        <v>3057.16</v>
      </c>
      <c r="I18" s="13"/>
      <c r="J18" s="13"/>
      <c r="K18" s="14"/>
      <c r="L18" s="13"/>
      <c r="M18" s="14"/>
      <c r="N18" s="13"/>
      <c r="O18" s="14"/>
      <c r="P18" s="13"/>
      <c r="Q18" s="14"/>
      <c r="R18" s="14"/>
      <c r="S18" s="14"/>
    </row>
    <row r="19" spans="1:20" ht="13.5" thickBot="1" x14ac:dyDescent="0.25">
      <c r="A19" s="779">
        <v>5194</v>
      </c>
      <c r="B19" s="60" t="s">
        <v>1045</v>
      </c>
      <c r="C19" s="591"/>
      <c r="D19" s="28"/>
      <c r="E19" s="28"/>
      <c r="F19" s="15"/>
      <c r="G19" s="15"/>
      <c r="H19" s="15">
        <v>3500</v>
      </c>
      <c r="I19" s="15"/>
      <c r="J19" s="15"/>
      <c r="K19" s="16"/>
      <c r="L19" s="15"/>
      <c r="M19" s="16"/>
      <c r="N19" s="15"/>
      <c r="O19" s="16"/>
      <c r="P19" s="15"/>
      <c r="Q19" s="16"/>
      <c r="R19" s="16"/>
      <c r="S19" s="16"/>
    </row>
    <row r="20" spans="1:20" x14ac:dyDescent="0.2">
      <c r="A20" s="779"/>
      <c r="B20" s="17" t="s">
        <v>828</v>
      </c>
      <c r="C20" s="18">
        <f t="shared" ref="C20:E20" si="0">SUM(C9:C16)</f>
        <v>108252.38</v>
      </c>
      <c r="D20" s="18">
        <f t="shared" si="0"/>
        <v>110391.57999999999</v>
      </c>
      <c r="E20" s="18">
        <f t="shared" si="0"/>
        <v>114804.45999999999</v>
      </c>
      <c r="F20" s="18">
        <f t="shared" ref="F20:O20" si="1">SUM(F9:F19)</f>
        <v>120124.51</v>
      </c>
      <c r="G20" s="18">
        <f t="shared" si="1"/>
        <v>120621.04</v>
      </c>
      <c r="H20" s="18">
        <f t="shared" si="1"/>
        <v>133515.22</v>
      </c>
      <c r="I20" s="18">
        <f t="shared" si="1"/>
        <v>118988.59</v>
      </c>
      <c r="J20" s="18">
        <f t="shared" si="1"/>
        <v>124793.76</v>
      </c>
      <c r="K20" s="19">
        <f t="shared" si="1"/>
        <v>132474</v>
      </c>
      <c r="L20" s="18">
        <f t="shared" si="1"/>
        <v>132558.48000000001</v>
      </c>
      <c r="M20" s="19">
        <f t="shared" si="1"/>
        <v>134810</v>
      </c>
      <c r="N20" s="18">
        <f t="shared" si="1"/>
        <v>116271.08999999998</v>
      </c>
      <c r="O20" s="19">
        <f t="shared" si="1"/>
        <v>130396</v>
      </c>
      <c r="P20" s="18">
        <f>SUM(P9:P19)</f>
        <v>56575.92</v>
      </c>
      <c r="Q20" s="19">
        <f>SUM(Q9:Q19)</f>
        <v>137351</v>
      </c>
      <c r="R20" s="19"/>
      <c r="S20" s="19">
        <f>+Q20</f>
        <v>137351</v>
      </c>
    </row>
    <row r="21" spans="1:20" x14ac:dyDescent="0.2">
      <c r="A21" s="779"/>
      <c r="B21" s="17"/>
      <c r="C21" s="18"/>
      <c r="D21" s="18"/>
      <c r="E21" s="18"/>
      <c r="F21" s="18"/>
      <c r="G21" s="18"/>
      <c r="H21" s="18"/>
      <c r="I21" s="18"/>
      <c r="J21" s="18"/>
      <c r="K21" s="19"/>
      <c r="L21" s="112"/>
      <c r="M21" s="19"/>
      <c r="N21" s="112"/>
      <c r="O21" s="19"/>
      <c r="P21" s="18"/>
      <c r="Q21" s="19"/>
      <c r="R21" s="19"/>
      <c r="S21" s="19"/>
    </row>
    <row r="22" spans="1:20" x14ac:dyDescent="0.2">
      <c r="A22" s="779"/>
      <c r="B22" s="12"/>
      <c r="C22" s="13"/>
      <c r="D22" s="13"/>
      <c r="E22" s="13"/>
      <c r="F22" s="13"/>
      <c r="G22" s="13"/>
      <c r="H22" s="13"/>
      <c r="I22" s="13"/>
      <c r="J22" s="13"/>
      <c r="K22" s="14"/>
      <c r="L22" s="128"/>
      <c r="M22" s="14"/>
      <c r="N22" s="128"/>
      <c r="O22" s="14"/>
      <c r="P22" s="13"/>
      <c r="Q22" s="14"/>
      <c r="R22" s="14"/>
      <c r="S22" s="14"/>
    </row>
    <row r="23" spans="1:20" x14ac:dyDescent="0.2">
      <c r="A23" s="779">
        <v>5314</v>
      </c>
      <c r="B23" s="12" t="s">
        <v>860</v>
      </c>
      <c r="C23" s="13">
        <v>505</v>
      </c>
      <c r="D23" s="13">
        <v>769</v>
      </c>
      <c r="E23" s="13">
        <v>570</v>
      </c>
      <c r="F23" s="13">
        <v>270</v>
      </c>
      <c r="G23" s="13">
        <v>424</v>
      </c>
      <c r="H23" s="13">
        <v>180.75</v>
      </c>
      <c r="I23" s="13">
        <v>775</v>
      </c>
      <c r="J23" s="13">
        <v>575.75</v>
      </c>
      <c r="K23" s="14">
        <v>800</v>
      </c>
      <c r="L23" s="13"/>
      <c r="M23" s="14">
        <v>600</v>
      </c>
      <c r="N23" s="13">
        <v>744</v>
      </c>
      <c r="O23" s="14">
        <v>800</v>
      </c>
      <c r="P23" s="13">
        <v>375</v>
      </c>
      <c r="Q23" s="14">
        <v>1000</v>
      </c>
      <c r="R23" s="14"/>
      <c r="S23" s="14"/>
    </row>
    <row r="24" spans="1:20" x14ac:dyDescent="0.2">
      <c r="A24" s="779">
        <v>5341</v>
      </c>
      <c r="B24" s="12" t="s">
        <v>1239</v>
      </c>
      <c r="C24" s="13">
        <v>413.7</v>
      </c>
      <c r="D24" s="13">
        <v>409.63</v>
      </c>
      <c r="E24" s="13">
        <v>412.4</v>
      </c>
      <c r="F24" s="13">
        <v>457.98</v>
      </c>
      <c r="G24" s="13">
        <v>472.84</v>
      </c>
      <c r="H24" s="13"/>
      <c r="I24" s="13">
        <v>306.58999999999997</v>
      </c>
      <c r="J24" s="13">
        <v>959.8</v>
      </c>
      <c r="K24" s="14">
        <v>960</v>
      </c>
      <c r="L24" s="13">
        <v>973.12</v>
      </c>
      <c r="M24" s="14">
        <v>960</v>
      </c>
      <c r="N24" s="13">
        <v>897.12</v>
      </c>
      <c r="O24" s="14">
        <v>960</v>
      </c>
      <c r="P24" s="13">
        <v>199.95</v>
      </c>
      <c r="Q24" s="14">
        <v>960</v>
      </c>
      <c r="R24" s="14"/>
      <c r="S24" s="14"/>
      <c r="T24" s="212"/>
    </row>
    <row r="25" spans="1:20" x14ac:dyDescent="0.2">
      <c r="A25" s="779">
        <v>5344</v>
      </c>
      <c r="B25" s="12" t="s">
        <v>832</v>
      </c>
      <c r="C25" s="13">
        <v>219.02</v>
      </c>
      <c r="D25" s="13">
        <v>243.85</v>
      </c>
      <c r="E25" s="13">
        <v>244.23</v>
      </c>
      <c r="F25" s="13">
        <v>170.9</v>
      </c>
      <c r="G25" s="13">
        <v>207.64</v>
      </c>
      <c r="H25" s="13">
        <v>272.11</v>
      </c>
      <c r="I25" s="13">
        <v>42.28</v>
      </c>
      <c r="J25" s="13">
        <v>26.45</v>
      </c>
      <c r="K25" s="14">
        <v>250</v>
      </c>
      <c r="L25" s="95">
        <v>155.66999999999999</v>
      </c>
      <c r="M25" s="14">
        <v>150</v>
      </c>
      <c r="N25" s="95">
        <v>99.49</v>
      </c>
      <c r="O25" s="14">
        <v>150</v>
      </c>
      <c r="P25" s="95">
        <v>20.010000000000002</v>
      </c>
      <c r="Q25" s="14">
        <v>150</v>
      </c>
      <c r="R25" s="14"/>
      <c r="S25" s="14"/>
    </row>
    <row r="26" spans="1:20" x14ac:dyDescent="0.2">
      <c r="A26" s="779">
        <v>5345</v>
      </c>
      <c r="B26" s="12" t="s">
        <v>863</v>
      </c>
      <c r="C26" s="13"/>
      <c r="D26" s="13"/>
      <c r="E26" s="13"/>
      <c r="F26" s="13"/>
      <c r="G26" s="13"/>
      <c r="H26" s="13">
        <v>644.76</v>
      </c>
      <c r="I26" s="13"/>
      <c r="J26" s="13"/>
      <c r="K26" s="14"/>
      <c r="L26" s="95"/>
      <c r="M26" s="14"/>
      <c r="N26" s="95"/>
      <c r="O26" s="14"/>
      <c r="P26" s="95"/>
      <c r="Q26" s="14"/>
      <c r="R26" s="14"/>
      <c r="S26" s="14"/>
    </row>
    <row r="27" spans="1:20" x14ac:dyDescent="0.2">
      <c r="A27" s="779">
        <v>5350</v>
      </c>
      <c r="B27" s="12" t="s">
        <v>1240</v>
      </c>
      <c r="C27" s="13"/>
      <c r="D27" s="13"/>
      <c r="E27" s="13"/>
      <c r="F27" s="13"/>
      <c r="G27" s="13"/>
      <c r="H27" s="13"/>
      <c r="I27" s="13"/>
      <c r="J27" s="13">
        <v>6000</v>
      </c>
      <c r="K27" s="14">
        <v>4500</v>
      </c>
      <c r="L27" s="95">
        <v>4500</v>
      </c>
      <c r="M27" s="14">
        <v>4500</v>
      </c>
      <c r="N27" s="95">
        <v>4500</v>
      </c>
      <c r="O27" s="14">
        <v>4500</v>
      </c>
      <c r="P27" s="95">
        <v>4500</v>
      </c>
      <c r="Q27" s="14">
        <v>4500</v>
      </c>
      <c r="R27" s="14"/>
      <c r="S27" s="14"/>
    </row>
    <row r="28" spans="1:20" x14ac:dyDescent="0.2">
      <c r="A28" s="779">
        <v>5420</v>
      </c>
      <c r="B28" s="12" t="s">
        <v>864</v>
      </c>
      <c r="C28" s="13">
        <v>409.8</v>
      </c>
      <c r="D28" s="13">
        <v>757.31</v>
      </c>
      <c r="E28" s="13">
        <v>467.68</v>
      </c>
      <c r="F28" s="13">
        <v>659.16</v>
      </c>
      <c r="G28" s="13">
        <v>900.34</v>
      </c>
      <c r="H28" s="13">
        <v>2481.89</v>
      </c>
      <c r="I28" s="13">
        <v>441.73</v>
      </c>
      <c r="J28" s="13">
        <v>676.53</v>
      </c>
      <c r="K28" s="14">
        <v>700</v>
      </c>
      <c r="L28" s="95">
        <v>179.78</v>
      </c>
      <c r="M28" s="14">
        <v>700</v>
      </c>
      <c r="N28" s="95">
        <v>734.25</v>
      </c>
      <c r="O28" s="14">
        <v>900</v>
      </c>
      <c r="P28" s="95">
        <v>135.84</v>
      </c>
      <c r="Q28" s="14">
        <v>900</v>
      </c>
      <c r="R28" s="14"/>
      <c r="S28" s="14"/>
    </row>
    <row r="29" spans="1:20" x14ac:dyDescent="0.2">
      <c r="A29" s="779">
        <v>5581</v>
      </c>
      <c r="B29" s="12" t="s">
        <v>866</v>
      </c>
      <c r="C29" s="71"/>
      <c r="D29" s="13">
        <v>0</v>
      </c>
      <c r="E29" s="13"/>
      <c r="F29" s="13"/>
      <c r="G29" s="13"/>
      <c r="H29" s="13">
        <v>1321.6</v>
      </c>
      <c r="I29" s="13">
        <v>100</v>
      </c>
      <c r="J29" s="13">
        <v>0</v>
      </c>
      <c r="K29" s="14">
        <v>400</v>
      </c>
      <c r="L29" s="13"/>
      <c r="M29" s="14">
        <v>400</v>
      </c>
      <c r="N29" s="13">
        <v>608.24</v>
      </c>
      <c r="O29" s="14">
        <v>800</v>
      </c>
      <c r="P29" s="13"/>
      <c r="Q29" s="14">
        <v>800</v>
      </c>
      <c r="R29" s="14"/>
      <c r="S29" s="14"/>
    </row>
    <row r="30" spans="1:20" hidden="1" x14ac:dyDescent="0.2">
      <c r="A30" s="779">
        <v>5590</v>
      </c>
      <c r="B30" s="12" t="s">
        <v>1241</v>
      </c>
      <c r="C30" s="13"/>
      <c r="D30" s="13"/>
      <c r="E30" s="13"/>
      <c r="F30" s="13"/>
      <c r="G30" s="13"/>
      <c r="H30" s="13">
        <v>1606.14</v>
      </c>
      <c r="I30" s="13">
        <v>753.57</v>
      </c>
      <c r="J30" s="13"/>
      <c r="K30" s="14"/>
      <c r="L30" s="95"/>
      <c r="M30" s="14"/>
      <c r="N30" s="95"/>
      <c r="O30" s="14"/>
      <c r="P30" s="95"/>
      <c r="Q30" s="14"/>
      <c r="R30" s="19"/>
      <c r="S30" s="19"/>
    </row>
    <row r="31" spans="1:20" x14ac:dyDescent="0.2">
      <c r="A31" s="779">
        <v>5710</v>
      </c>
      <c r="B31" s="12" t="s">
        <v>836</v>
      </c>
      <c r="C31" s="18">
        <v>1845.47</v>
      </c>
      <c r="D31" s="18">
        <v>1812.25</v>
      </c>
      <c r="E31" s="18">
        <v>1758.79</v>
      </c>
      <c r="F31" s="18">
        <v>1752.48</v>
      </c>
      <c r="G31" s="18">
        <v>1486.05</v>
      </c>
      <c r="H31" s="18">
        <v>1778.58</v>
      </c>
      <c r="I31" s="18">
        <v>2731.22</v>
      </c>
      <c r="J31" s="18">
        <v>1612.07</v>
      </c>
      <c r="K31" s="19">
        <v>1200</v>
      </c>
      <c r="L31" s="18">
        <v>1296.72</v>
      </c>
      <c r="M31" s="19">
        <v>800</v>
      </c>
      <c r="N31" s="18">
        <v>2777.37</v>
      </c>
      <c r="O31" s="19">
        <v>2000</v>
      </c>
      <c r="P31" s="112">
        <v>1200.01</v>
      </c>
      <c r="Q31" s="19">
        <v>2800</v>
      </c>
      <c r="R31" s="19"/>
      <c r="S31" s="19"/>
    </row>
    <row r="32" spans="1:20" ht="13.5" thickBot="1" x14ac:dyDescent="0.25">
      <c r="A32" s="779">
        <v>5730</v>
      </c>
      <c r="B32" s="12" t="s">
        <v>870</v>
      </c>
      <c r="C32" s="15">
        <v>80</v>
      </c>
      <c r="D32" s="15">
        <v>80</v>
      </c>
      <c r="E32" s="15">
        <v>80</v>
      </c>
      <c r="F32" s="15">
        <v>80</v>
      </c>
      <c r="G32" s="15">
        <v>80</v>
      </c>
      <c r="H32" s="15">
        <v>350</v>
      </c>
      <c r="I32" s="15">
        <v>80</v>
      </c>
      <c r="J32" s="15">
        <v>551</v>
      </c>
      <c r="K32" s="16">
        <v>160</v>
      </c>
      <c r="L32" s="15">
        <v>180</v>
      </c>
      <c r="M32" s="16">
        <v>160</v>
      </c>
      <c r="N32" s="15">
        <v>80</v>
      </c>
      <c r="O32" s="16">
        <v>160</v>
      </c>
      <c r="P32" s="15">
        <v>160</v>
      </c>
      <c r="Q32" s="16">
        <v>160</v>
      </c>
      <c r="R32" s="16"/>
      <c r="S32" s="16"/>
    </row>
    <row r="33" spans="1:23" x14ac:dyDescent="0.2">
      <c r="A33" s="779"/>
      <c r="B33" s="17" t="s">
        <v>838</v>
      </c>
      <c r="C33" s="18">
        <f t="shared" ref="C33:Q33" si="2">SUM(C23:C32)</f>
        <v>3472.99</v>
      </c>
      <c r="D33" s="18">
        <f t="shared" si="2"/>
        <v>4072.04</v>
      </c>
      <c r="E33" s="18">
        <f t="shared" si="2"/>
        <v>3533.1</v>
      </c>
      <c r="F33" s="18">
        <f t="shared" si="2"/>
        <v>3390.52</v>
      </c>
      <c r="G33" s="18">
        <f t="shared" si="2"/>
        <v>3570.87</v>
      </c>
      <c r="H33" s="18">
        <f t="shared" si="2"/>
        <v>8635.83</v>
      </c>
      <c r="I33" s="18">
        <f t="shared" si="2"/>
        <v>5230.3899999999994</v>
      </c>
      <c r="J33" s="18">
        <f t="shared" ref="J33" si="3">SUM(J23:J32)</f>
        <v>10401.6</v>
      </c>
      <c r="K33" s="19">
        <f t="shared" ref="K33:O33" si="4">SUM(K23:K32)</f>
        <v>8970</v>
      </c>
      <c r="L33" s="18">
        <f t="shared" si="4"/>
        <v>7285.29</v>
      </c>
      <c r="M33" s="19">
        <f t="shared" si="4"/>
        <v>8270</v>
      </c>
      <c r="N33" s="18">
        <f t="shared" ref="N33" si="5">SUM(N23:N32)</f>
        <v>10440.469999999999</v>
      </c>
      <c r="O33" s="19">
        <f t="shared" si="4"/>
        <v>10270</v>
      </c>
      <c r="P33" s="18">
        <f>SUM(P23:P32)</f>
        <v>6590.81</v>
      </c>
      <c r="Q33" s="19">
        <f t="shared" si="2"/>
        <v>11270</v>
      </c>
      <c r="R33" s="19"/>
      <c r="S33" s="19">
        <f>+Q33</f>
        <v>11270</v>
      </c>
    </row>
    <row r="34" spans="1:23" x14ac:dyDescent="0.2">
      <c r="A34" s="779"/>
      <c r="B34" s="12"/>
      <c r="C34" s="13"/>
      <c r="D34" s="13"/>
      <c r="E34" s="13"/>
      <c r="F34" s="13"/>
      <c r="G34" s="13"/>
      <c r="H34" s="13"/>
      <c r="I34" s="13"/>
      <c r="J34" s="13"/>
      <c r="K34" s="14"/>
      <c r="L34" s="13"/>
      <c r="M34" s="14"/>
      <c r="N34" s="13"/>
      <c r="O34" s="14"/>
      <c r="P34" s="13"/>
      <c r="Q34" s="14"/>
      <c r="R34" s="14"/>
      <c r="S34" s="14"/>
    </row>
    <row r="35" spans="1:23" ht="13.5" thickBot="1" x14ac:dyDescent="0.25">
      <c r="A35" s="780"/>
      <c r="B35" s="20" t="s">
        <v>1242</v>
      </c>
      <c r="C35" s="21">
        <f t="shared" ref="C35:S35" si="6">+C33+C20</f>
        <v>111725.37000000001</v>
      </c>
      <c r="D35" s="21">
        <f t="shared" si="6"/>
        <v>114463.61999999998</v>
      </c>
      <c r="E35" s="21">
        <f t="shared" si="6"/>
        <v>118337.56</v>
      </c>
      <c r="F35" s="21">
        <f t="shared" si="6"/>
        <v>123515.03</v>
      </c>
      <c r="G35" s="21">
        <f t="shared" si="6"/>
        <v>124191.90999999999</v>
      </c>
      <c r="H35" s="21">
        <f t="shared" si="6"/>
        <v>142151.04999999999</v>
      </c>
      <c r="I35" s="21">
        <f t="shared" si="6"/>
        <v>124218.98</v>
      </c>
      <c r="J35" s="21">
        <f t="shared" ref="J35" si="7">+J33+J20</f>
        <v>135195.35999999999</v>
      </c>
      <c r="K35" s="22">
        <f t="shared" ref="K35:O35" si="8">+K33+K20</f>
        <v>141444</v>
      </c>
      <c r="L35" s="21">
        <f t="shared" si="8"/>
        <v>139843.77000000002</v>
      </c>
      <c r="M35" s="22">
        <f t="shared" si="8"/>
        <v>143080</v>
      </c>
      <c r="N35" s="21">
        <f t="shared" ref="N35" si="9">+N33+N20</f>
        <v>126711.55999999998</v>
      </c>
      <c r="O35" s="22">
        <f t="shared" si="8"/>
        <v>140666</v>
      </c>
      <c r="P35" s="21">
        <f t="shared" si="6"/>
        <v>63166.729999999996</v>
      </c>
      <c r="Q35" s="22">
        <f t="shared" si="6"/>
        <v>148621</v>
      </c>
      <c r="R35" s="22">
        <f>+Q35</f>
        <v>148621</v>
      </c>
      <c r="S35" s="22">
        <f t="shared" si="6"/>
        <v>148621</v>
      </c>
    </row>
    <row r="36" spans="1:23" ht="16.5" thickTop="1" x14ac:dyDescent="0.25">
      <c r="A36" s="54"/>
      <c r="B36" s="4"/>
      <c r="C36" s="23"/>
      <c r="D36" s="23"/>
      <c r="E36" s="23"/>
      <c r="F36" s="23"/>
      <c r="G36" s="23"/>
      <c r="H36" s="23"/>
      <c r="I36" s="23"/>
      <c r="J36" s="23"/>
      <c r="K36" s="23"/>
      <c r="L36" s="23"/>
      <c r="M36" s="23"/>
      <c r="N36" s="23"/>
      <c r="O36" s="23"/>
      <c r="P36" s="199" t="s">
        <v>843</v>
      </c>
      <c r="Q36" s="1116">
        <f>+Q35-O35</f>
        <v>7955</v>
      </c>
      <c r="R36" s="1117">
        <f>ROUND((+Q36/O35),4)</f>
        <v>5.6599999999999998E-2</v>
      </c>
      <c r="S36" s="73"/>
      <c r="T36" s="23"/>
      <c r="U36" s="25"/>
      <c r="V36" s="201"/>
      <c r="W36" s="25"/>
    </row>
    <row r="37" spans="1:23" x14ac:dyDescent="0.2">
      <c r="A37" s="774"/>
      <c r="B37" s="4"/>
      <c r="C37" s="24"/>
      <c r="D37" s="23"/>
      <c r="E37" s="23"/>
      <c r="F37" s="23"/>
      <c r="G37" s="23"/>
      <c r="H37" s="23"/>
      <c r="I37" s="23"/>
      <c r="J37" s="23"/>
      <c r="K37" s="23"/>
      <c r="L37" s="23"/>
      <c r="M37" s="23"/>
      <c r="N37" s="23"/>
      <c r="O37" s="23"/>
      <c r="P37" s="25"/>
      <c r="Q37" s="23"/>
      <c r="R37" s="23"/>
      <c r="S37" s="73"/>
      <c r="T37" s="25"/>
      <c r="U37" s="25"/>
      <c r="V37" s="25"/>
      <c r="W37" s="25"/>
    </row>
    <row r="38" spans="1:23" x14ac:dyDescent="0.2">
      <c r="A38" s="774" t="s">
        <v>911</v>
      </c>
      <c r="B38" s="4"/>
      <c r="D38" s="212"/>
      <c r="E38" s="212"/>
      <c r="F38" s="212"/>
      <c r="G38" s="212"/>
      <c r="H38" s="212"/>
      <c r="I38" s="212"/>
      <c r="J38" s="212"/>
      <c r="K38" s="212"/>
      <c r="L38" s="212"/>
      <c r="M38" s="212"/>
      <c r="N38" s="212"/>
      <c r="O38" s="212"/>
    </row>
    <row r="39" spans="1:23" ht="13.5" thickBot="1" x14ac:dyDescent="0.25">
      <c r="A39" s="774"/>
      <c r="B39" s="4"/>
      <c r="D39" s="212"/>
      <c r="E39" s="212"/>
      <c r="F39" s="212"/>
      <c r="G39" s="212"/>
      <c r="H39" s="212"/>
      <c r="I39" s="212"/>
      <c r="J39" s="212"/>
      <c r="K39" s="212"/>
      <c r="L39" s="212"/>
      <c r="M39" s="212"/>
      <c r="N39" s="212"/>
      <c r="O39" s="212"/>
    </row>
    <row r="40" spans="1:23" ht="13.5" thickTop="1" x14ac:dyDescent="0.2">
      <c r="A40" s="781" t="s">
        <v>872</v>
      </c>
      <c r="B40" s="99"/>
      <c r="D40" s="212"/>
      <c r="E40" s="212"/>
      <c r="F40" s="212"/>
      <c r="G40" s="212"/>
      <c r="H40" s="212"/>
      <c r="I40" s="212"/>
      <c r="J40" s="212"/>
      <c r="K40" s="212"/>
      <c r="L40" s="212"/>
      <c r="M40" s="131" t="s">
        <v>873</v>
      </c>
      <c r="N40" s="138" t="s">
        <v>874</v>
      </c>
      <c r="O40" s="150" t="s">
        <v>1243</v>
      </c>
      <c r="P40" s="140" t="s">
        <v>875</v>
      </c>
      <c r="Q40"/>
      <c r="R40"/>
      <c r="S40" s="205" t="s">
        <v>876</v>
      </c>
      <c r="T40"/>
    </row>
    <row r="41" spans="1:23" ht="13.5" thickBot="1" x14ac:dyDescent="0.25">
      <c r="A41" s="782" t="s">
        <v>877</v>
      </c>
      <c r="B41" s="101" t="s">
        <v>878</v>
      </c>
      <c r="D41" s="212"/>
      <c r="E41" s="212"/>
      <c r="F41" s="212"/>
      <c r="G41" s="212"/>
      <c r="H41" s="212"/>
      <c r="I41" s="212"/>
      <c r="J41" s="212"/>
      <c r="K41" s="212"/>
      <c r="L41" s="212"/>
      <c r="M41" s="287">
        <v>45108</v>
      </c>
      <c r="N41" s="141" t="s">
        <v>879</v>
      </c>
      <c r="O41" s="142" t="s">
        <v>954</v>
      </c>
      <c r="P41" s="142" t="s">
        <v>881</v>
      </c>
      <c r="Q41" s="107" t="s">
        <v>882</v>
      </c>
      <c r="R41" s="107"/>
      <c r="S41" s="107" t="s">
        <v>571</v>
      </c>
      <c r="T41" s="107" t="s">
        <v>883</v>
      </c>
    </row>
    <row r="42" spans="1:23" ht="13.5" thickTop="1" x14ac:dyDescent="0.2">
      <c r="A42" s="153">
        <v>44354</v>
      </c>
      <c r="B42" s="102" t="s">
        <v>104</v>
      </c>
      <c r="D42" s="212"/>
      <c r="E42" s="212"/>
      <c r="F42" s="212"/>
      <c r="G42" s="212"/>
      <c r="H42" s="212"/>
      <c r="I42" s="212"/>
      <c r="J42" s="212"/>
      <c r="K42" s="212"/>
      <c r="L42" s="212"/>
      <c r="M42" s="19" t="s">
        <v>1244</v>
      </c>
      <c r="N42" s="137"/>
      <c r="O42" s="18"/>
      <c r="P42" s="137">
        <f>+'NAGE &amp; Non-Union Wages'!F10</f>
        <v>70681</v>
      </c>
      <c r="Q42" s="153">
        <v>44354</v>
      </c>
      <c r="R42" s="153"/>
      <c r="S42" s="783">
        <v>3</v>
      </c>
    </row>
    <row r="43" spans="1:23" x14ac:dyDescent="0.2">
      <c r="A43" s="153">
        <v>36591</v>
      </c>
      <c r="B43" s="60" t="s">
        <v>1245</v>
      </c>
      <c r="D43" s="212"/>
      <c r="E43" s="212"/>
      <c r="F43" s="212"/>
      <c r="G43" s="212"/>
      <c r="H43" s="212"/>
      <c r="I43" s="212"/>
      <c r="J43" s="212"/>
      <c r="K43" s="212"/>
      <c r="L43" s="212"/>
      <c r="M43" s="14" t="s">
        <v>990</v>
      </c>
      <c r="N43" s="148">
        <f>+'NAGE &amp; Non-Union Wages'!L5</f>
        <v>23.72</v>
      </c>
      <c r="O43" s="18">
        <f>+'To Do and Changes'!E22</f>
        <v>1820</v>
      </c>
      <c r="P43" s="137">
        <f>+ROUND((+N43*O43),2)</f>
        <v>43170.400000000001</v>
      </c>
      <c r="Q43" s="153">
        <v>36591</v>
      </c>
      <c r="R43" s="153"/>
      <c r="S43" s="783">
        <v>24</v>
      </c>
      <c r="T43" s="1">
        <v>1000</v>
      </c>
    </row>
    <row r="44" spans="1:23" x14ac:dyDescent="0.2">
      <c r="A44" s="774"/>
      <c r="B44" s="4"/>
      <c r="C44" s="23"/>
      <c r="D44" s="23"/>
      <c r="E44" s="23"/>
      <c r="F44" s="212"/>
      <c r="G44" s="212"/>
      <c r="H44" s="212"/>
      <c r="I44" s="23"/>
      <c r="J44" s="23"/>
      <c r="K44" s="212"/>
      <c r="L44" s="212"/>
      <c r="M44" s="23"/>
      <c r="N44" s="23"/>
      <c r="O44" s="23"/>
      <c r="P44" s="25"/>
      <c r="Q44" s="23"/>
      <c r="R44" s="23"/>
      <c r="S44" s="23"/>
      <c r="T44" s="23"/>
      <c r="U44" s="25"/>
      <c r="V44" s="25"/>
      <c r="W44" s="25"/>
    </row>
    <row r="45" spans="1:23" ht="13.5" thickBot="1" x14ac:dyDescent="0.25">
      <c r="A45" s="774"/>
      <c r="B45" s="4"/>
      <c r="C45" s="23"/>
      <c r="D45" s="23"/>
      <c r="E45" s="23"/>
      <c r="F45" s="212"/>
      <c r="G45" s="212"/>
      <c r="H45" s="212"/>
      <c r="I45" s="23"/>
      <c r="J45" s="23"/>
      <c r="K45" s="212"/>
      <c r="L45" s="212"/>
      <c r="M45" s="23"/>
      <c r="N45" s="23"/>
      <c r="O45" s="23"/>
      <c r="P45" s="25"/>
      <c r="Q45" s="23"/>
      <c r="R45" s="23"/>
      <c r="S45" s="23"/>
      <c r="T45" s="23"/>
      <c r="U45" s="25"/>
      <c r="V45" s="25"/>
      <c r="W45" s="25"/>
    </row>
    <row r="46" spans="1:23" ht="13.5" thickTop="1" x14ac:dyDescent="0.2">
      <c r="A46" s="789"/>
      <c r="B46" s="367"/>
      <c r="C46" s="368" t="s">
        <v>280</v>
      </c>
      <c r="D46" s="369" t="s">
        <v>280</v>
      </c>
      <c r="E46" s="369" t="s">
        <v>280</v>
      </c>
      <c r="F46" s="212"/>
      <c r="G46" s="212"/>
      <c r="H46" s="212"/>
      <c r="I46" s="212"/>
      <c r="J46" s="212"/>
      <c r="K46" s="212"/>
      <c r="L46" s="212"/>
      <c r="M46" s="370" t="s">
        <v>279</v>
      </c>
      <c r="N46" s="371" t="s">
        <v>826</v>
      </c>
      <c r="O46" s="372" t="s">
        <v>840</v>
      </c>
      <c r="P46" s="371" t="s">
        <v>841</v>
      </c>
      <c r="Q46" s="373"/>
      <c r="R46" s="569"/>
      <c r="S46" s="372"/>
      <c r="T46" s="23"/>
      <c r="U46" s="25"/>
      <c r="V46" s="25"/>
      <c r="W46" s="25"/>
    </row>
    <row r="47" spans="1:23" ht="13.5" thickBot="1" x14ac:dyDescent="0.25">
      <c r="A47" s="790" t="s">
        <v>825</v>
      </c>
      <c r="B47" s="374"/>
      <c r="C47" s="375" t="s">
        <v>267</v>
      </c>
      <c r="D47" s="375" t="s">
        <v>268</v>
      </c>
      <c r="E47" s="376" t="s">
        <v>269</v>
      </c>
      <c r="F47" s="212"/>
      <c r="G47" s="212"/>
      <c r="H47" s="212"/>
      <c r="I47" s="212"/>
      <c r="J47" s="212"/>
      <c r="K47" s="212"/>
      <c r="L47" s="212"/>
      <c r="M47" s="377" t="s">
        <v>277</v>
      </c>
      <c r="N47" s="377" t="s">
        <v>571</v>
      </c>
      <c r="O47" s="376" t="s">
        <v>843</v>
      </c>
      <c r="P47" s="378" t="s">
        <v>843</v>
      </c>
      <c r="Q47" s="379" t="s">
        <v>844</v>
      </c>
      <c r="R47" s="570"/>
      <c r="S47" s="377"/>
      <c r="T47" s="23"/>
      <c r="U47" s="25"/>
      <c r="V47" s="25"/>
      <c r="W47" s="25"/>
    </row>
    <row r="48" spans="1:23" ht="13.5" thickTop="1" x14ac:dyDescent="0.2">
      <c r="A48" s="794"/>
      <c r="B48" s="401"/>
      <c r="C48" s="402"/>
      <c r="D48" s="403"/>
      <c r="E48" s="403"/>
      <c r="F48" s="212"/>
      <c r="G48" s="212"/>
      <c r="H48" s="212"/>
      <c r="I48" s="212"/>
      <c r="J48" s="212"/>
      <c r="K48" s="212"/>
      <c r="L48" s="212"/>
      <c r="M48" s="404"/>
      <c r="N48" s="381"/>
      <c r="O48" s="404"/>
      <c r="P48" s="402"/>
      <c r="Q48" s="385"/>
      <c r="R48" s="572"/>
      <c r="S48" s="386"/>
      <c r="T48" s="23"/>
      <c r="U48" s="25"/>
      <c r="V48" s="25"/>
      <c r="W48" s="25"/>
    </row>
    <row r="49" spans="1:23" x14ac:dyDescent="0.2">
      <c r="A49" s="795">
        <v>5111</v>
      </c>
      <c r="B49" s="387" t="s">
        <v>1140</v>
      </c>
      <c r="C49" s="391">
        <v>96122.44</v>
      </c>
      <c r="D49" s="391">
        <v>98465.76</v>
      </c>
      <c r="E49" s="391">
        <v>101448.58</v>
      </c>
      <c r="F49" s="212"/>
      <c r="G49" s="212"/>
      <c r="H49" s="212"/>
      <c r="I49" s="212"/>
      <c r="J49" s="212"/>
      <c r="K49" s="212"/>
      <c r="L49" s="212"/>
      <c r="M49" s="390">
        <f t="shared" ref="M49:M57" si="10">+O9</f>
        <v>109396</v>
      </c>
      <c r="N49" s="411">
        <f>+Q9</f>
        <v>113851</v>
      </c>
      <c r="O49" s="386">
        <f t="shared" ref="O49:O67" si="11">+N49-M49</f>
        <v>4455</v>
      </c>
      <c r="P49" s="392">
        <f t="shared" ref="P49:P67" si="12">IF(M49+N49&lt;&gt;0,IF(M49&lt;&gt;0,IF(O49&lt;&gt;0,ROUND((+O49/M49),4),""),1),"")</f>
        <v>4.07E-2</v>
      </c>
      <c r="Q49" s="385" t="s">
        <v>2284</v>
      </c>
      <c r="R49" s="572"/>
      <c r="S49" s="386"/>
      <c r="T49" s="23"/>
      <c r="U49" s="25"/>
      <c r="V49" s="25"/>
      <c r="W49" s="25"/>
    </row>
    <row r="50" spans="1:23" x14ac:dyDescent="0.2">
      <c r="A50" s="795">
        <v>5124</v>
      </c>
      <c r="B50" s="387" t="s">
        <v>1234</v>
      </c>
      <c r="C50" s="391"/>
      <c r="D50" s="391"/>
      <c r="E50" s="391"/>
      <c r="F50" s="212"/>
      <c r="G50" s="212"/>
      <c r="H50" s="212"/>
      <c r="I50" s="212"/>
      <c r="J50" s="212"/>
      <c r="K50" s="212"/>
      <c r="L50" s="212"/>
      <c r="M50" s="390">
        <f t="shared" si="10"/>
        <v>0</v>
      </c>
      <c r="N50" s="411"/>
      <c r="O50" s="386">
        <f t="shared" si="11"/>
        <v>0</v>
      </c>
      <c r="P50" s="392" t="str">
        <f t="shared" si="12"/>
        <v/>
      </c>
      <c r="Q50" s="385"/>
      <c r="R50" s="572"/>
      <c r="S50" s="386"/>
      <c r="T50" s="23"/>
      <c r="U50" s="25"/>
      <c r="V50" s="25"/>
      <c r="W50" s="25"/>
    </row>
    <row r="51" spans="1:23" x14ac:dyDescent="0.2">
      <c r="A51" s="795">
        <v>5140</v>
      </c>
      <c r="B51" s="387" t="s">
        <v>1235</v>
      </c>
      <c r="C51" s="391">
        <v>324.72000000000003</v>
      </c>
      <c r="D51" s="391">
        <v>487.08</v>
      </c>
      <c r="E51" s="391">
        <v>162.36000000000001</v>
      </c>
      <c r="F51" s="212"/>
      <c r="G51" s="212"/>
      <c r="H51" s="212"/>
      <c r="I51" s="212"/>
      <c r="J51" s="212"/>
      <c r="K51" s="212"/>
      <c r="L51" s="212"/>
      <c r="M51" s="390">
        <f t="shared" si="10"/>
        <v>1150</v>
      </c>
      <c r="N51" s="411">
        <f t="shared" ref="N51:N57" si="13">+Q11</f>
        <v>1150</v>
      </c>
      <c r="O51" s="386">
        <f t="shared" si="11"/>
        <v>0</v>
      </c>
      <c r="P51" s="392" t="str">
        <f t="shared" si="12"/>
        <v/>
      </c>
      <c r="Q51" s="385"/>
      <c r="R51" s="572"/>
      <c r="S51" s="386"/>
      <c r="T51" s="23"/>
      <c r="U51" s="25"/>
      <c r="V51" s="25"/>
      <c r="W51" s="25"/>
    </row>
    <row r="52" spans="1:23" x14ac:dyDescent="0.2">
      <c r="A52" s="795">
        <v>5141</v>
      </c>
      <c r="B52" s="387" t="s">
        <v>1236</v>
      </c>
      <c r="C52" s="391">
        <v>2976.6</v>
      </c>
      <c r="D52" s="391">
        <v>2408.34</v>
      </c>
      <c r="E52" s="391">
        <v>2841.3</v>
      </c>
      <c r="F52" s="212"/>
      <c r="G52" s="212"/>
      <c r="H52" s="212"/>
      <c r="I52" s="212"/>
      <c r="J52" s="212"/>
      <c r="K52" s="212"/>
      <c r="L52" s="212"/>
      <c r="M52" s="390">
        <f t="shared" si="10"/>
        <v>3900</v>
      </c>
      <c r="N52" s="411">
        <f t="shared" si="13"/>
        <v>3900</v>
      </c>
      <c r="O52" s="386">
        <f t="shared" si="11"/>
        <v>0</v>
      </c>
      <c r="P52" s="392" t="str">
        <f t="shared" si="12"/>
        <v/>
      </c>
      <c r="Q52" s="385"/>
      <c r="R52" s="572"/>
      <c r="S52" s="386"/>
      <c r="T52" s="23"/>
      <c r="U52" s="25"/>
      <c r="V52" s="25"/>
      <c r="W52" s="25"/>
    </row>
    <row r="53" spans="1:23" x14ac:dyDescent="0.2">
      <c r="A53" s="795">
        <v>5142</v>
      </c>
      <c r="B53" s="387" t="s">
        <v>1237</v>
      </c>
      <c r="C53" s="391">
        <v>2516.58</v>
      </c>
      <c r="D53" s="391">
        <v>2570.6999999999998</v>
      </c>
      <c r="E53" s="391">
        <v>3220.14</v>
      </c>
      <c r="F53" s="212"/>
      <c r="G53" s="212"/>
      <c r="H53" s="212"/>
      <c r="I53" s="212"/>
      <c r="J53" s="212"/>
      <c r="K53" s="212"/>
      <c r="L53" s="212"/>
      <c r="M53" s="390">
        <f t="shared" si="10"/>
        <v>3900</v>
      </c>
      <c r="N53" s="411">
        <f t="shared" si="13"/>
        <v>3900</v>
      </c>
      <c r="O53" s="386">
        <f t="shared" si="11"/>
        <v>0</v>
      </c>
      <c r="P53" s="392" t="str">
        <f t="shared" si="12"/>
        <v/>
      </c>
      <c r="Q53" s="385"/>
      <c r="R53" s="572"/>
      <c r="S53" s="386"/>
      <c r="T53" s="23"/>
      <c r="U53" s="25"/>
      <c r="V53" s="25"/>
      <c r="W53" s="25"/>
    </row>
    <row r="54" spans="1:23" x14ac:dyDescent="0.2">
      <c r="A54" s="795">
        <v>5143</v>
      </c>
      <c r="B54" s="387" t="s">
        <v>1238</v>
      </c>
      <c r="C54" s="391">
        <v>5412</v>
      </c>
      <c r="D54" s="391">
        <v>5709.66</v>
      </c>
      <c r="E54" s="391">
        <v>6332.04</v>
      </c>
      <c r="F54" s="212"/>
      <c r="G54" s="212"/>
      <c r="H54" s="212"/>
      <c r="I54" s="212"/>
      <c r="J54" s="212"/>
      <c r="K54" s="212"/>
      <c r="L54" s="212"/>
      <c r="M54" s="390">
        <f t="shared" si="10"/>
        <v>10750</v>
      </c>
      <c r="N54" s="411">
        <f t="shared" si="13"/>
        <v>10750</v>
      </c>
      <c r="O54" s="386">
        <f t="shared" si="11"/>
        <v>0</v>
      </c>
      <c r="P54" s="392" t="str">
        <f t="shared" si="12"/>
        <v/>
      </c>
      <c r="Q54" s="385"/>
      <c r="R54" s="572"/>
      <c r="S54" s="386"/>
      <c r="T54" s="23"/>
      <c r="U54" s="25"/>
      <c r="V54" s="25"/>
      <c r="W54" s="25"/>
    </row>
    <row r="55" spans="1:23" x14ac:dyDescent="0.2">
      <c r="A55" s="795">
        <v>5144</v>
      </c>
      <c r="B55" s="387" t="s">
        <v>27</v>
      </c>
      <c r="C55" s="393">
        <v>600</v>
      </c>
      <c r="D55" s="393">
        <v>450</v>
      </c>
      <c r="E55" s="393">
        <v>500</v>
      </c>
      <c r="F55" s="212"/>
      <c r="G55" s="212"/>
      <c r="H55" s="212"/>
      <c r="I55" s="212"/>
      <c r="J55" s="212"/>
      <c r="K55" s="212"/>
      <c r="L55" s="212"/>
      <c r="M55" s="390">
        <f t="shared" si="10"/>
        <v>1000</v>
      </c>
      <c r="N55" s="411">
        <f t="shared" si="13"/>
        <v>1000</v>
      </c>
      <c r="O55" s="386">
        <f t="shared" si="11"/>
        <v>0</v>
      </c>
      <c r="P55" s="392" t="str">
        <f t="shared" si="12"/>
        <v/>
      </c>
      <c r="Q55" s="385"/>
      <c r="R55" s="572"/>
      <c r="S55" s="386"/>
      <c r="T55" s="23"/>
      <c r="U55" s="25"/>
      <c r="V55" s="25"/>
      <c r="W55" s="25"/>
    </row>
    <row r="56" spans="1:23" ht="13.5" thickBot="1" x14ac:dyDescent="0.25">
      <c r="A56" s="795">
        <v>5145</v>
      </c>
      <c r="B56" s="387" t="s">
        <v>1148</v>
      </c>
      <c r="C56" s="389">
        <v>300.04000000000002</v>
      </c>
      <c r="D56" s="389">
        <v>300.04000000000002</v>
      </c>
      <c r="E56" s="389">
        <v>300.04000000000002</v>
      </c>
      <c r="F56" s="212"/>
      <c r="G56" s="212"/>
      <c r="H56" s="212"/>
      <c r="I56" s="212"/>
      <c r="J56" s="212"/>
      <c r="K56" s="212"/>
      <c r="L56" s="212"/>
      <c r="M56" s="390">
        <f t="shared" si="10"/>
        <v>300</v>
      </c>
      <c r="N56" s="411">
        <f t="shared" si="13"/>
        <v>300</v>
      </c>
      <c r="O56" s="386">
        <f t="shared" si="11"/>
        <v>0</v>
      </c>
      <c r="P56" s="392" t="str">
        <f t="shared" si="12"/>
        <v/>
      </c>
      <c r="Q56" s="385"/>
      <c r="R56" s="572"/>
      <c r="S56" s="386"/>
      <c r="T56" s="23"/>
      <c r="U56" s="25"/>
      <c r="V56" s="25"/>
      <c r="W56" s="25"/>
    </row>
    <row r="57" spans="1:23" x14ac:dyDescent="0.2">
      <c r="A57" s="795">
        <v>5146</v>
      </c>
      <c r="B57" s="387" t="s">
        <v>2415</v>
      </c>
      <c r="C57" s="393"/>
      <c r="D57" s="393"/>
      <c r="E57" s="393"/>
      <c r="F57" s="212"/>
      <c r="G57" s="212"/>
      <c r="H57" s="212"/>
      <c r="I57" s="212"/>
      <c r="J57" s="212"/>
      <c r="K57" s="212"/>
      <c r="L57" s="212"/>
      <c r="M57" s="390">
        <f t="shared" si="10"/>
        <v>0</v>
      </c>
      <c r="N57" s="411">
        <f t="shared" si="13"/>
        <v>2500</v>
      </c>
      <c r="O57" s="386">
        <f t="shared" ref="O57" si="14">+N57-M57</f>
        <v>2500</v>
      </c>
      <c r="P57" s="392">
        <f t="shared" ref="P57" si="15">IF(M57+N57&lt;&gt;0,IF(M57&lt;&gt;0,IF(O57&lt;&gt;0,ROUND((+O57/M57),4),""),1),"")</f>
        <v>1</v>
      </c>
      <c r="Q57" s="385" t="s">
        <v>2416</v>
      </c>
      <c r="R57" s="572"/>
      <c r="S57" s="386"/>
      <c r="T57" s="23"/>
      <c r="U57" s="25"/>
      <c r="V57" s="25"/>
      <c r="W57" s="25"/>
    </row>
    <row r="58" spans="1:23" x14ac:dyDescent="0.2">
      <c r="A58" s="795">
        <v>5314</v>
      </c>
      <c r="B58" s="387" t="s">
        <v>860</v>
      </c>
      <c r="C58" s="391">
        <v>505</v>
      </c>
      <c r="D58" s="391">
        <v>769</v>
      </c>
      <c r="E58" s="391">
        <v>570</v>
      </c>
      <c r="F58" s="212"/>
      <c r="G58" s="212"/>
      <c r="H58" s="212"/>
      <c r="I58" s="212"/>
      <c r="J58" s="212"/>
      <c r="K58" s="212"/>
      <c r="L58" s="212"/>
      <c r="M58" s="384">
        <f t="shared" ref="M58:M67" si="16">+O23</f>
        <v>800</v>
      </c>
      <c r="N58" s="411">
        <f t="shared" ref="N58:N67" si="17">+Q23</f>
        <v>1000</v>
      </c>
      <c r="O58" s="386">
        <f t="shared" si="11"/>
        <v>200</v>
      </c>
      <c r="P58" s="392">
        <f t="shared" si="12"/>
        <v>0.25</v>
      </c>
      <c r="Q58" s="385" t="s">
        <v>2285</v>
      </c>
      <c r="R58" s="572"/>
      <c r="S58" s="386"/>
      <c r="T58" s="23"/>
      <c r="U58" s="25"/>
      <c r="V58" s="25"/>
      <c r="W58" s="25"/>
    </row>
    <row r="59" spans="1:23" x14ac:dyDescent="0.2">
      <c r="A59" s="795">
        <v>5341</v>
      </c>
      <c r="B59" s="387" t="s">
        <v>1239</v>
      </c>
      <c r="C59" s="391">
        <v>413.7</v>
      </c>
      <c r="D59" s="391">
        <v>409.63</v>
      </c>
      <c r="E59" s="391">
        <v>412.4</v>
      </c>
      <c r="F59" s="212"/>
      <c r="G59" s="212"/>
      <c r="H59" s="212"/>
      <c r="I59" s="212"/>
      <c r="J59" s="212"/>
      <c r="K59" s="212"/>
      <c r="L59" s="212"/>
      <c r="M59" s="384">
        <f t="shared" si="16"/>
        <v>960</v>
      </c>
      <c r="N59" s="411">
        <f t="shared" si="17"/>
        <v>960</v>
      </c>
      <c r="O59" s="386">
        <f t="shared" si="11"/>
        <v>0</v>
      </c>
      <c r="P59" s="392" t="str">
        <f t="shared" si="12"/>
        <v/>
      </c>
      <c r="Q59" s="385"/>
      <c r="R59" s="572"/>
      <c r="S59" s="386"/>
      <c r="T59" s="23"/>
      <c r="U59" s="25"/>
      <c r="V59" s="25"/>
      <c r="W59" s="25"/>
    </row>
    <row r="60" spans="1:23" x14ac:dyDescent="0.2">
      <c r="A60" s="795">
        <v>5344</v>
      </c>
      <c r="B60" s="387" t="s">
        <v>832</v>
      </c>
      <c r="C60" s="391">
        <v>219.02</v>
      </c>
      <c r="D60" s="391">
        <v>243.85</v>
      </c>
      <c r="E60" s="391">
        <v>244.23</v>
      </c>
      <c r="F60" s="212"/>
      <c r="G60" s="212"/>
      <c r="H60" s="212"/>
      <c r="I60" s="212"/>
      <c r="J60" s="212"/>
      <c r="K60" s="212"/>
      <c r="L60" s="212"/>
      <c r="M60" s="384">
        <f t="shared" si="16"/>
        <v>150</v>
      </c>
      <c r="N60" s="411">
        <f t="shared" si="17"/>
        <v>150</v>
      </c>
      <c r="O60" s="386">
        <f t="shared" si="11"/>
        <v>0</v>
      </c>
      <c r="P60" s="392" t="str">
        <f t="shared" si="12"/>
        <v/>
      </c>
      <c r="Q60" s="385"/>
      <c r="R60" s="572"/>
      <c r="S60" s="386"/>
      <c r="T60" s="23"/>
      <c r="U60" s="25"/>
      <c r="V60" s="25"/>
      <c r="W60" s="25"/>
    </row>
    <row r="61" spans="1:23" x14ac:dyDescent="0.2">
      <c r="A61" s="795">
        <v>5345</v>
      </c>
      <c r="B61" s="387" t="s">
        <v>863</v>
      </c>
      <c r="C61" s="391"/>
      <c r="D61" s="391"/>
      <c r="E61" s="391"/>
      <c r="F61" s="212"/>
      <c r="G61" s="212"/>
      <c r="H61" s="212"/>
      <c r="I61" s="212"/>
      <c r="J61" s="212"/>
      <c r="K61" s="212"/>
      <c r="L61" s="212"/>
      <c r="M61" s="384">
        <f t="shared" si="16"/>
        <v>0</v>
      </c>
      <c r="N61" s="411">
        <f t="shared" si="17"/>
        <v>0</v>
      </c>
      <c r="O61" s="386">
        <f t="shared" si="11"/>
        <v>0</v>
      </c>
      <c r="P61" s="392" t="str">
        <f t="shared" si="12"/>
        <v/>
      </c>
      <c r="Q61" s="385"/>
      <c r="R61" s="572"/>
      <c r="S61" s="386"/>
      <c r="T61" s="23"/>
      <c r="U61" s="25"/>
      <c r="V61" s="25"/>
      <c r="W61" s="25"/>
    </row>
    <row r="62" spans="1:23" x14ac:dyDescent="0.2">
      <c r="A62" s="795">
        <v>5350</v>
      </c>
      <c r="B62" s="387" t="s">
        <v>1246</v>
      </c>
      <c r="C62" s="391">
        <v>409.8</v>
      </c>
      <c r="D62" s="391">
        <v>757.31</v>
      </c>
      <c r="E62" s="391">
        <v>467.68</v>
      </c>
      <c r="F62" s="212"/>
      <c r="G62" s="212"/>
      <c r="H62" s="212"/>
      <c r="I62" s="212"/>
      <c r="J62" s="212"/>
      <c r="K62" s="212"/>
      <c r="L62" s="212"/>
      <c r="M62" s="384">
        <f t="shared" si="16"/>
        <v>4500</v>
      </c>
      <c r="N62" s="411">
        <f t="shared" si="17"/>
        <v>4500</v>
      </c>
      <c r="O62" s="386">
        <f t="shared" si="11"/>
        <v>0</v>
      </c>
      <c r="P62" s="392" t="str">
        <f t="shared" si="12"/>
        <v/>
      </c>
      <c r="Q62" s="385"/>
      <c r="R62" s="572"/>
      <c r="S62" s="386"/>
      <c r="T62" s="23"/>
      <c r="U62" s="25"/>
      <c r="V62" s="25"/>
      <c r="W62" s="25"/>
    </row>
    <row r="63" spans="1:23" x14ac:dyDescent="0.2">
      <c r="A63" s="795">
        <v>5420</v>
      </c>
      <c r="B63" s="387" t="s">
        <v>864</v>
      </c>
      <c r="C63" s="391"/>
      <c r="D63" s="391"/>
      <c r="E63" s="391"/>
      <c r="F63" s="212"/>
      <c r="G63" s="212"/>
      <c r="H63" s="212"/>
      <c r="I63" s="212"/>
      <c r="J63" s="212"/>
      <c r="K63" s="212"/>
      <c r="L63" s="212"/>
      <c r="M63" s="384">
        <f t="shared" si="16"/>
        <v>900</v>
      </c>
      <c r="N63" s="411">
        <f t="shared" si="17"/>
        <v>900</v>
      </c>
      <c r="O63" s="386">
        <f t="shared" si="11"/>
        <v>0</v>
      </c>
      <c r="P63" s="392" t="str">
        <f t="shared" si="12"/>
        <v/>
      </c>
      <c r="Q63" s="385"/>
      <c r="R63" s="572"/>
      <c r="S63" s="386"/>
      <c r="T63" s="23"/>
      <c r="U63" s="25"/>
      <c r="V63" s="25"/>
      <c r="W63" s="25"/>
    </row>
    <row r="64" spans="1:23" x14ac:dyDescent="0.2">
      <c r="A64" s="795">
        <v>5581</v>
      </c>
      <c r="B64" s="387" t="s">
        <v>866</v>
      </c>
      <c r="C64" s="412"/>
      <c r="D64" s="391">
        <v>0</v>
      </c>
      <c r="E64" s="391"/>
      <c r="F64" s="212"/>
      <c r="G64" s="212"/>
      <c r="H64" s="212"/>
      <c r="I64" s="212"/>
      <c r="J64" s="212"/>
      <c r="K64" s="212"/>
      <c r="L64" s="212"/>
      <c r="M64" s="384">
        <f t="shared" si="16"/>
        <v>800</v>
      </c>
      <c r="N64" s="411">
        <f t="shared" si="17"/>
        <v>800</v>
      </c>
      <c r="O64" s="386">
        <f t="shared" si="11"/>
        <v>0</v>
      </c>
      <c r="P64" s="392" t="str">
        <f t="shared" si="12"/>
        <v/>
      </c>
      <c r="Q64" s="385"/>
      <c r="R64" s="572"/>
      <c r="S64" s="386"/>
      <c r="T64" s="23"/>
      <c r="U64" s="25"/>
      <c r="V64" s="25"/>
      <c r="W64" s="25"/>
    </row>
    <row r="65" spans="1:23" x14ac:dyDescent="0.2">
      <c r="A65" s="795">
        <v>5590</v>
      </c>
      <c r="B65" s="387" t="s">
        <v>1241</v>
      </c>
      <c r="C65" s="383">
        <v>1845.47</v>
      </c>
      <c r="D65" s="383">
        <v>1812.25</v>
      </c>
      <c r="E65" s="383">
        <v>1758.79</v>
      </c>
      <c r="F65" s="212"/>
      <c r="G65" s="212"/>
      <c r="H65" s="212"/>
      <c r="I65" s="212"/>
      <c r="J65" s="212"/>
      <c r="K65" s="212"/>
      <c r="L65" s="212"/>
      <c r="M65" s="384">
        <f t="shared" si="16"/>
        <v>0</v>
      </c>
      <c r="N65" s="411">
        <f t="shared" si="17"/>
        <v>0</v>
      </c>
      <c r="O65" s="386">
        <f t="shared" si="11"/>
        <v>0</v>
      </c>
      <c r="P65" s="392" t="str">
        <f t="shared" si="12"/>
        <v/>
      </c>
      <c r="Q65" s="385"/>
      <c r="R65" s="572"/>
      <c r="S65" s="386"/>
      <c r="T65" s="23"/>
      <c r="U65" s="4"/>
      <c r="V65" s="4"/>
      <c r="W65" s="4"/>
    </row>
    <row r="66" spans="1:23" ht="13.5" thickBot="1" x14ac:dyDescent="0.25">
      <c r="A66" s="795">
        <v>5710</v>
      </c>
      <c r="B66" s="387" t="s">
        <v>836</v>
      </c>
      <c r="C66" s="389">
        <v>80</v>
      </c>
      <c r="D66" s="389">
        <v>80</v>
      </c>
      <c r="E66" s="389">
        <v>80</v>
      </c>
      <c r="F66" s="212"/>
      <c r="G66" s="212"/>
      <c r="H66" s="212"/>
      <c r="I66" s="212"/>
      <c r="J66" s="212"/>
      <c r="K66" s="212"/>
      <c r="L66" s="212"/>
      <c r="M66" s="384">
        <f t="shared" si="16"/>
        <v>2000</v>
      </c>
      <c r="N66" s="411">
        <f t="shared" si="17"/>
        <v>2800</v>
      </c>
      <c r="O66" s="386">
        <f t="shared" si="11"/>
        <v>800</v>
      </c>
      <c r="P66" s="392">
        <f t="shared" si="12"/>
        <v>0.4</v>
      </c>
      <c r="Q66" s="385" t="s">
        <v>2286</v>
      </c>
      <c r="R66" s="572"/>
      <c r="S66" s="386"/>
      <c r="T66" s="23"/>
      <c r="U66" s="4"/>
      <c r="V66" s="4"/>
      <c r="W66" s="4"/>
    </row>
    <row r="67" spans="1:23" x14ac:dyDescent="0.2">
      <c r="A67" s="795">
        <v>5730</v>
      </c>
      <c r="B67" s="387" t="s">
        <v>870</v>
      </c>
      <c r="C67" s="23"/>
      <c r="D67" s="23"/>
      <c r="E67" s="23"/>
      <c r="F67" s="23"/>
      <c r="G67" s="212"/>
      <c r="H67" s="212"/>
      <c r="I67" s="212"/>
      <c r="J67" s="212"/>
      <c r="K67" s="212"/>
      <c r="L67" s="212"/>
      <c r="M67" s="384">
        <f t="shared" si="16"/>
        <v>160</v>
      </c>
      <c r="N67" s="411">
        <f t="shared" si="17"/>
        <v>160</v>
      </c>
      <c r="O67" s="386">
        <f t="shared" si="11"/>
        <v>0</v>
      </c>
      <c r="P67" s="392" t="str">
        <f t="shared" si="12"/>
        <v/>
      </c>
      <c r="Q67" s="385"/>
      <c r="R67" s="572"/>
      <c r="S67" s="386"/>
      <c r="T67" s="23"/>
      <c r="U67" s="4"/>
      <c r="V67" s="4"/>
      <c r="W67" s="4"/>
    </row>
    <row r="68" spans="1:23" x14ac:dyDescent="0.2">
      <c r="A68" s="774"/>
      <c r="B68" s="4"/>
      <c r="C68" s="23"/>
      <c r="D68" s="23"/>
      <c r="E68" s="23"/>
      <c r="F68" s="23"/>
      <c r="G68" s="23"/>
      <c r="H68" s="212"/>
      <c r="I68" s="212"/>
      <c r="J68" s="212"/>
      <c r="K68" s="212"/>
      <c r="L68" s="212"/>
      <c r="M68" s="23"/>
      <c r="N68" s="23"/>
      <c r="O68" s="23"/>
      <c r="P68" s="4"/>
      <c r="Q68" s="23"/>
      <c r="R68" s="23"/>
      <c r="S68" s="23"/>
      <c r="T68" s="23"/>
      <c r="U68" s="4"/>
      <c r="V68" s="4"/>
      <c r="W68" s="4"/>
    </row>
    <row r="69" spans="1:23" x14ac:dyDescent="0.2">
      <c r="A69" s="774"/>
      <c r="B69" s="4" t="s">
        <v>846</v>
      </c>
      <c r="C69" s="23"/>
      <c r="D69" s="23"/>
      <c r="E69" s="23"/>
      <c r="F69" s="23"/>
      <c r="G69" s="23"/>
      <c r="H69" s="212"/>
      <c r="I69" s="212"/>
      <c r="J69" s="212"/>
      <c r="K69" s="212"/>
      <c r="L69" s="212"/>
      <c r="M69" s="616">
        <f>SUM(M49:M67)</f>
        <v>140666</v>
      </c>
      <c r="N69" s="616">
        <f>SUM(N49:N67)</f>
        <v>148621</v>
      </c>
      <c r="O69" s="25">
        <f>+N69-M69</f>
        <v>7955</v>
      </c>
      <c r="P69" s="617">
        <f>IF(M69+N69&lt;&gt;0,IF(M69&lt;&gt;0,IF(O69&lt;&gt;0,ROUND((+O69/M69),4),""),1),"")</f>
        <v>5.6599999999999998E-2</v>
      </c>
      <c r="Q69" s="23"/>
      <c r="R69" s="23"/>
      <c r="S69" s="23"/>
      <c r="T69" s="23"/>
      <c r="U69" s="4"/>
      <c r="V69" s="4"/>
      <c r="W69" s="4"/>
    </row>
    <row r="70" spans="1:23" x14ac:dyDescent="0.2">
      <c r="A70" s="774"/>
      <c r="B70" s="4"/>
      <c r="C70" s="23"/>
      <c r="D70" s="23"/>
      <c r="E70" s="23"/>
      <c r="F70" s="23"/>
      <c r="G70" s="23"/>
      <c r="H70" s="23"/>
      <c r="I70" s="23"/>
      <c r="J70" s="23"/>
      <c r="K70" s="212"/>
      <c r="L70" s="212"/>
      <c r="M70" s="23"/>
      <c r="N70" s="23"/>
      <c r="O70" s="23"/>
      <c r="P70" s="4"/>
      <c r="Q70" s="23"/>
      <c r="R70" s="23"/>
      <c r="S70" s="23"/>
      <c r="T70" s="23"/>
      <c r="U70" s="4"/>
      <c r="V70" s="4"/>
      <c r="W70" s="4"/>
    </row>
    <row r="71" spans="1:23" x14ac:dyDescent="0.2">
      <c r="A71" s="774"/>
      <c r="B71" s="4"/>
      <c r="C71" s="23"/>
      <c r="D71" s="23"/>
      <c r="E71" s="23"/>
      <c r="F71" s="23"/>
      <c r="G71" s="23"/>
      <c r="H71" s="23"/>
      <c r="I71" s="23"/>
      <c r="J71" s="23"/>
      <c r="K71" s="23"/>
      <c r="L71" s="23"/>
      <c r="M71" s="23"/>
      <c r="N71" s="23"/>
      <c r="O71" s="23"/>
      <c r="P71" s="4"/>
      <c r="Q71" s="23"/>
      <c r="R71" s="23"/>
      <c r="S71" s="23"/>
      <c r="T71" s="23"/>
      <c r="U71" s="4"/>
      <c r="V71" s="4"/>
      <c r="W71" s="4"/>
    </row>
    <row r="72" spans="1:23" x14ac:dyDescent="0.2">
      <c r="A72" s="774"/>
      <c r="B72" s="4"/>
      <c r="C72" s="23"/>
      <c r="D72" s="23"/>
      <c r="E72" s="23"/>
      <c r="F72" s="23"/>
      <c r="G72" s="23"/>
      <c r="H72" s="23"/>
      <c r="I72" s="23"/>
      <c r="J72" s="23"/>
      <c r="K72" s="23"/>
      <c r="L72" s="23"/>
      <c r="M72" s="23"/>
      <c r="N72" s="23"/>
      <c r="O72" s="23"/>
      <c r="P72" s="4"/>
      <c r="Q72" s="23"/>
      <c r="R72" s="23"/>
      <c r="S72" s="23"/>
      <c r="T72" s="23"/>
      <c r="U72" s="4"/>
      <c r="V72" s="4"/>
      <c r="W72" s="4"/>
    </row>
    <row r="73" spans="1:23" x14ac:dyDescent="0.2">
      <c r="A73" s="774"/>
      <c r="B73" s="4"/>
      <c r="C73" s="23"/>
      <c r="D73" s="23"/>
      <c r="E73" s="23"/>
      <c r="F73" s="23"/>
      <c r="G73" s="23"/>
      <c r="H73" s="23"/>
      <c r="I73" s="23"/>
      <c r="J73" s="23"/>
      <c r="K73" s="23"/>
      <c r="L73" s="23"/>
      <c r="M73" s="23"/>
      <c r="N73" s="23"/>
      <c r="O73" s="23"/>
      <c r="P73" s="4"/>
      <c r="Q73" s="23"/>
      <c r="R73" s="23"/>
      <c r="S73" s="23"/>
      <c r="T73" s="23"/>
      <c r="U73" s="4"/>
      <c r="V73" s="4"/>
      <c r="W73" s="4"/>
    </row>
    <row r="74" spans="1:23" x14ac:dyDescent="0.2">
      <c r="A74" s="774"/>
      <c r="B74" s="4"/>
      <c r="C74" s="23"/>
      <c r="D74" s="23"/>
      <c r="E74" s="23"/>
      <c r="F74" s="23"/>
      <c r="G74" s="23"/>
      <c r="H74" s="23"/>
      <c r="I74" s="23"/>
      <c r="J74" s="23"/>
      <c r="K74" s="23"/>
      <c r="L74" s="23"/>
      <c r="M74" s="23"/>
      <c r="N74" s="23"/>
      <c r="O74" s="23"/>
      <c r="P74" s="4"/>
      <c r="Q74" s="23"/>
      <c r="R74" s="23"/>
      <c r="S74" s="23"/>
      <c r="T74" s="23"/>
      <c r="U74" s="4"/>
      <c r="V74" s="4"/>
      <c r="W74" s="4"/>
    </row>
    <row r="75" spans="1:23" x14ac:dyDescent="0.2">
      <c r="A75" s="774"/>
      <c r="B75" s="4"/>
      <c r="C75" s="23"/>
      <c r="D75" s="23"/>
      <c r="E75" s="23"/>
      <c r="F75" s="23"/>
      <c r="G75" s="23"/>
      <c r="H75" s="23"/>
      <c r="I75" s="23"/>
      <c r="J75" s="23"/>
      <c r="K75" s="23"/>
      <c r="L75" s="23"/>
      <c r="M75" s="23"/>
      <c r="N75" s="23"/>
      <c r="O75" s="23"/>
      <c r="P75" s="4"/>
      <c r="Q75" s="23"/>
      <c r="R75" s="23"/>
      <c r="S75" s="23"/>
      <c r="T75" s="23"/>
      <c r="U75" s="4"/>
      <c r="V75" s="4"/>
      <c r="W75" s="4"/>
    </row>
    <row r="76" spans="1:23" x14ac:dyDescent="0.2">
      <c r="A76" s="774"/>
      <c r="B76" s="4"/>
      <c r="C76" s="23"/>
      <c r="D76" s="23"/>
      <c r="E76" s="23"/>
      <c r="F76" s="23"/>
      <c r="G76" s="23"/>
      <c r="H76" s="23"/>
      <c r="I76" s="23"/>
      <c r="J76" s="23"/>
      <c r="K76" s="23"/>
      <c r="L76" s="23"/>
      <c r="M76" s="23"/>
      <c r="N76" s="23"/>
      <c r="O76" s="23"/>
      <c r="P76" s="4"/>
      <c r="Q76" s="23"/>
      <c r="R76" s="23"/>
      <c r="S76" s="23"/>
      <c r="T76" s="23"/>
      <c r="U76" s="4"/>
      <c r="V76" s="4"/>
      <c r="W76" s="4"/>
    </row>
    <row r="77" spans="1:23" x14ac:dyDescent="0.2">
      <c r="A77" s="774"/>
      <c r="B77" s="4"/>
      <c r="C77" s="23"/>
      <c r="D77" s="23"/>
      <c r="E77" s="23"/>
      <c r="F77" s="23"/>
      <c r="G77" s="23"/>
      <c r="H77" s="23"/>
      <c r="I77" s="23"/>
      <c r="J77" s="23"/>
      <c r="K77" s="23"/>
      <c r="L77" s="23"/>
      <c r="M77" s="23"/>
      <c r="N77" s="23"/>
      <c r="O77" s="23"/>
      <c r="P77" s="4"/>
      <c r="Q77" s="23"/>
      <c r="R77" s="23"/>
      <c r="S77" s="23"/>
      <c r="T77" s="23"/>
      <c r="U77" s="4"/>
      <c r="V77" s="4"/>
      <c r="W77" s="4"/>
    </row>
    <row r="78" spans="1:23" x14ac:dyDescent="0.2">
      <c r="A78" s="774"/>
      <c r="B78" s="4"/>
      <c r="C78" s="23"/>
      <c r="D78" s="23"/>
      <c r="E78" s="23"/>
      <c r="F78" s="23"/>
      <c r="G78" s="23"/>
      <c r="H78" s="23"/>
      <c r="I78" s="23"/>
      <c r="J78" s="23"/>
      <c r="K78" s="23"/>
      <c r="L78" s="23"/>
      <c r="M78" s="23"/>
      <c r="N78" s="23"/>
      <c r="O78" s="23"/>
      <c r="P78" s="4"/>
      <c r="Q78" s="23"/>
      <c r="R78" s="23"/>
      <c r="S78" s="23"/>
      <c r="T78" s="23"/>
      <c r="U78" s="4"/>
      <c r="V78" s="4"/>
      <c r="W78" s="4"/>
    </row>
    <row r="79" spans="1:23" x14ac:dyDescent="0.2">
      <c r="A79" s="774"/>
      <c r="B79" s="4"/>
      <c r="C79" s="23"/>
      <c r="D79" s="23"/>
      <c r="E79" s="23"/>
      <c r="F79" s="23"/>
      <c r="G79" s="23"/>
      <c r="H79" s="23"/>
      <c r="I79" s="23"/>
      <c r="J79" s="23"/>
      <c r="K79" s="23"/>
      <c r="L79" s="23"/>
      <c r="M79" s="23"/>
      <c r="N79" s="23"/>
      <c r="O79" s="23"/>
      <c r="P79" s="4"/>
      <c r="Q79" s="23"/>
      <c r="R79" s="23"/>
      <c r="S79" s="23"/>
      <c r="T79" s="23"/>
      <c r="U79" s="4"/>
      <c r="V79" s="4"/>
      <c r="W79" s="4"/>
    </row>
    <row r="80" spans="1:23" x14ac:dyDescent="0.2">
      <c r="A80" s="774"/>
      <c r="B80" s="4"/>
      <c r="C80" s="23"/>
      <c r="D80" s="23"/>
      <c r="E80" s="23"/>
      <c r="F80" s="23"/>
      <c r="G80" s="23"/>
      <c r="H80" s="23"/>
      <c r="I80" s="23"/>
      <c r="J80" s="23"/>
      <c r="K80" s="23"/>
      <c r="L80" s="23"/>
      <c r="M80" s="23"/>
      <c r="N80" s="23"/>
      <c r="O80" s="23"/>
      <c r="P80" s="4"/>
      <c r="Q80" s="23"/>
      <c r="R80" s="23"/>
      <c r="S80" s="23"/>
      <c r="T80" s="23"/>
      <c r="U80" s="4"/>
      <c r="V80" s="4"/>
      <c r="W80" s="4"/>
    </row>
    <row r="81" spans="1:23" x14ac:dyDescent="0.2">
      <c r="A81" s="774"/>
      <c r="B81" s="4"/>
      <c r="C81" s="23"/>
      <c r="D81" s="23"/>
      <c r="E81" s="23"/>
      <c r="F81" s="23"/>
      <c r="G81" s="23"/>
      <c r="H81" s="23"/>
      <c r="I81" s="23"/>
      <c r="J81" s="23"/>
      <c r="K81" s="23"/>
      <c r="L81" s="23"/>
      <c r="M81" s="23"/>
      <c r="N81" s="23"/>
      <c r="O81" s="23"/>
      <c r="P81" s="4"/>
      <c r="Q81" s="23"/>
      <c r="R81" s="23"/>
      <c r="S81" s="23"/>
      <c r="T81" s="23"/>
      <c r="U81" s="4"/>
      <c r="V81" s="4"/>
      <c r="W81" s="4"/>
    </row>
    <row r="82" spans="1:23" x14ac:dyDescent="0.2">
      <c r="A82" s="774"/>
      <c r="B82" s="4"/>
      <c r="C82" s="23"/>
      <c r="D82" s="23"/>
      <c r="E82" s="23"/>
      <c r="F82" s="23"/>
      <c r="G82" s="23"/>
      <c r="H82" s="23"/>
      <c r="I82" s="23"/>
      <c r="J82" s="23"/>
      <c r="K82" s="23"/>
      <c r="L82" s="23"/>
      <c r="M82" s="23"/>
      <c r="N82" s="23"/>
      <c r="O82" s="23"/>
      <c r="P82" s="4"/>
      <c r="Q82" s="23"/>
      <c r="R82" s="23"/>
      <c r="S82" s="23"/>
      <c r="T82" s="23"/>
      <c r="U82" s="4"/>
      <c r="V82" s="4"/>
      <c r="W82" s="4"/>
    </row>
    <row r="83" spans="1:23" x14ac:dyDescent="0.2">
      <c r="A83" s="774"/>
      <c r="B83" s="4"/>
      <c r="C83" s="23"/>
      <c r="D83" s="23"/>
      <c r="E83" s="23"/>
      <c r="F83" s="23"/>
      <c r="G83" s="23"/>
      <c r="H83" s="23"/>
      <c r="I83" s="23"/>
      <c r="J83" s="23"/>
      <c r="K83" s="23"/>
      <c r="L83" s="23"/>
      <c r="M83" s="23"/>
      <c r="N83" s="23"/>
      <c r="O83" s="23"/>
      <c r="P83" s="4"/>
      <c r="Q83" s="23"/>
      <c r="R83" s="23"/>
      <c r="S83" s="23"/>
      <c r="T83" s="23"/>
      <c r="U83" s="4"/>
      <c r="V83" s="4"/>
      <c r="W83" s="4"/>
    </row>
    <row r="84" spans="1:23" x14ac:dyDescent="0.2">
      <c r="A84" s="774"/>
      <c r="B84" s="4"/>
      <c r="C84" s="23"/>
      <c r="D84" s="23"/>
      <c r="E84" s="23"/>
      <c r="F84" s="23"/>
      <c r="G84" s="23"/>
      <c r="H84" s="23"/>
      <c r="I84" s="23"/>
      <c r="J84" s="23"/>
      <c r="K84" s="23"/>
      <c r="L84" s="23"/>
      <c r="M84" s="23"/>
      <c r="N84" s="23"/>
      <c r="O84" s="23"/>
      <c r="P84" s="4"/>
      <c r="Q84" s="23"/>
      <c r="R84" s="23"/>
      <c r="S84" s="23"/>
      <c r="T84" s="23"/>
      <c r="U84" s="4"/>
      <c r="V84" s="4"/>
      <c r="W84" s="4"/>
    </row>
    <row r="85" spans="1:23" x14ac:dyDescent="0.2">
      <c r="A85" s="774"/>
      <c r="B85" s="4"/>
      <c r="C85" s="23"/>
      <c r="D85" s="23"/>
      <c r="E85" s="23"/>
      <c r="F85" s="23"/>
      <c r="G85" s="23"/>
      <c r="H85" s="23"/>
      <c r="I85" s="23"/>
      <c r="J85" s="23"/>
      <c r="K85" s="23"/>
      <c r="L85" s="23"/>
      <c r="M85" s="23"/>
      <c r="N85" s="23"/>
      <c r="O85" s="23"/>
      <c r="P85" s="4"/>
      <c r="Q85" s="23"/>
      <c r="R85" s="23"/>
      <c r="S85" s="23"/>
      <c r="T85" s="23"/>
      <c r="U85" s="4"/>
      <c r="V85" s="4"/>
      <c r="W85" s="4"/>
    </row>
    <row r="86" spans="1:23" x14ac:dyDescent="0.2">
      <c r="A86" s="774"/>
      <c r="B86" s="4"/>
      <c r="C86" s="23"/>
      <c r="D86" s="23"/>
      <c r="E86" s="23"/>
      <c r="F86" s="23"/>
      <c r="G86" s="23"/>
      <c r="H86" s="23"/>
      <c r="I86" s="23"/>
      <c r="J86" s="23"/>
      <c r="K86" s="23"/>
      <c r="L86" s="23"/>
      <c r="M86" s="23"/>
      <c r="N86" s="23"/>
      <c r="O86" s="23"/>
      <c r="P86" s="4"/>
      <c r="Q86" s="23"/>
      <c r="R86" s="23"/>
      <c r="S86" s="23"/>
      <c r="T86" s="23"/>
      <c r="U86" s="4"/>
      <c r="V86" s="4"/>
      <c r="W86" s="4"/>
    </row>
    <row r="87" spans="1:23" x14ac:dyDescent="0.2">
      <c r="A87" s="774"/>
      <c r="B87" s="4"/>
      <c r="C87" s="23"/>
      <c r="D87" s="23"/>
      <c r="E87" s="23"/>
      <c r="F87" s="23"/>
      <c r="G87" s="23"/>
      <c r="H87" s="23"/>
      <c r="I87" s="23"/>
      <c r="J87" s="23"/>
      <c r="K87" s="23"/>
      <c r="L87" s="23"/>
      <c r="M87" s="23"/>
      <c r="N87" s="23"/>
      <c r="O87" s="23"/>
      <c r="P87" s="4"/>
      <c r="Q87" s="23"/>
      <c r="R87" s="23"/>
      <c r="S87" s="23"/>
      <c r="T87" s="23"/>
      <c r="U87" s="4"/>
      <c r="V87" s="4"/>
      <c r="W87" s="4"/>
    </row>
    <row r="88" spans="1:23" x14ac:dyDescent="0.2">
      <c r="A88" s="774"/>
      <c r="B88" s="4"/>
      <c r="C88" s="23"/>
      <c r="D88" s="23"/>
      <c r="E88" s="23"/>
      <c r="F88" s="23"/>
      <c r="G88" s="23"/>
      <c r="H88" s="23"/>
      <c r="I88" s="23"/>
      <c r="J88" s="23"/>
      <c r="K88" s="23"/>
      <c r="L88" s="23"/>
      <c r="M88" s="23"/>
      <c r="N88" s="23"/>
      <c r="O88" s="23"/>
      <c r="P88" s="4"/>
      <c r="Q88" s="23"/>
      <c r="R88" s="23"/>
      <c r="S88" s="23"/>
      <c r="T88" s="23"/>
      <c r="U88" s="4"/>
      <c r="V88" s="4"/>
      <c r="W88" s="4"/>
    </row>
    <row r="89" spans="1:23" x14ac:dyDescent="0.2">
      <c r="A89" s="774"/>
      <c r="B89" s="4"/>
      <c r="C89" s="23"/>
      <c r="D89" s="23"/>
      <c r="E89" s="23"/>
      <c r="F89" s="23"/>
      <c r="G89" s="23"/>
      <c r="H89" s="23"/>
      <c r="I89" s="23"/>
      <c r="J89" s="23"/>
      <c r="K89" s="23"/>
      <c r="L89" s="23"/>
      <c r="M89" s="23"/>
      <c r="N89" s="23"/>
      <c r="O89" s="23"/>
      <c r="P89" s="4"/>
      <c r="Q89" s="23"/>
      <c r="R89" s="23"/>
      <c r="S89" s="23"/>
      <c r="T89" s="23"/>
      <c r="U89" s="4"/>
      <c r="V89" s="4"/>
      <c r="W89" s="4"/>
    </row>
    <row r="90" spans="1:23" x14ac:dyDescent="0.2">
      <c r="A90" s="774"/>
      <c r="B90" s="4"/>
      <c r="C90" s="23"/>
      <c r="D90" s="23"/>
      <c r="E90" s="23"/>
      <c r="F90" s="23"/>
      <c r="G90" s="23"/>
      <c r="H90" s="23"/>
      <c r="I90" s="23"/>
      <c r="J90" s="23"/>
      <c r="K90" s="23"/>
      <c r="L90" s="23"/>
      <c r="M90" s="23"/>
      <c r="N90" s="23"/>
      <c r="O90" s="23"/>
      <c r="P90" s="4"/>
      <c r="Q90" s="23"/>
      <c r="R90" s="23"/>
      <c r="S90" s="23"/>
      <c r="T90" s="23"/>
      <c r="U90" s="4"/>
      <c r="V90" s="4"/>
      <c r="W90" s="4"/>
    </row>
    <row r="91" spans="1:23" x14ac:dyDescent="0.2">
      <c r="A91" s="774"/>
      <c r="B91" s="4"/>
      <c r="C91" s="23"/>
      <c r="D91" s="23"/>
      <c r="E91" s="23"/>
      <c r="F91" s="23"/>
      <c r="G91" s="23"/>
      <c r="H91" s="23"/>
      <c r="I91" s="23"/>
      <c r="J91" s="23"/>
      <c r="K91" s="23"/>
      <c r="L91" s="23"/>
      <c r="M91" s="23"/>
      <c r="N91" s="23"/>
      <c r="O91" s="23"/>
      <c r="P91" s="4"/>
      <c r="Q91" s="23"/>
      <c r="R91" s="23"/>
      <c r="S91" s="23"/>
      <c r="T91" s="23"/>
      <c r="U91" s="4"/>
      <c r="V91" s="4"/>
      <c r="W91" s="4"/>
    </row>
    <row r="92" spans="1:23" x14ac:dyDescent="0.2">
      <c r="A92" s="774"/>
      <c r="B92" s="4"/>
      <c r="C92" s="23"/>
      <c r="D92" s="23"/>
      <c r="E92" s="23"/>
      <c r="F92" s="23"/>
      <c r="G92" s="23"/>
      <c r="H92" s="23"/>
      <c r="I92" s="23"/>
      <c r="J92" s="23"/>
      <c r="K92" s="23"/>
      <c r="L92" s="23"/>
      <c r="M92" s="23"/>
      <c r="N92" s="23"/>
      <c r="O92" s="23"/>
      <c r="P92" s="4"/>
      <c r="Q92" s="23"/>
      <c r="R92" s="23"/>
      <c r="S92" s="23"/>
      <c r="T92" s="23"/>
      <c r="U92" s="4"/>
      <c r="V92" s="4"/>
      <c r="W92" s="4"/>
    </row>
    <row r="93" spans="1:23" x14ac:dyDescent="0.2">
      <c r="A93" s="774"/>
      <c r="B93" s="4"/>
      <c r="C93" s="23"/>
      <c r="D93" s="23"/>
      <c r="E93" s="23"/>
      <c r="F93" s="23"/>
      <c r="G93" s="23"/>
      <c r="H93" s="23"/>
      <c r="I93" s="23"/>
      <c r="J93" s="23"/>
      <c r="K93" s="23"/>
      <c r="L93" s="23"/>
      <c r="M93" s="23"/>
      <c r="N93" s="23"/>
      <c r="O93" s="23"/>
      <c r="P93" s="4"/>
      <c r="Q93" s="23"/>
      <c r="R93" s="23"/>
      <c r="S93" s="23"/>
      <c r="T93" s="23"/>
      <c r="U93" s="4"/>
      <c r="V93" s="4"/>
      <c r="W93" s="4"/>
    </row>
    <row r="94" spans="1:23" x14ac:dyDescent="0.2">
      <c r="A94" s="774"/>
      <c r="B94" s="4"/>
      <c r="C94" s="23"/>
      <c r="D94" s="23"/>
      <c r="E94" s="23"/>
      <c r="F94" s="23"/>
      <c r="G94" s="23"/>
      <c r="H94" s="23"/>
      <c r="I94" s="23"/>
      <c r="J94" s="23"/>
      <c r="K94" s="23"/>
      <c r="L94" s="23"/>
      <c r="M94" s="23"/>
      <c r="N94" s="23"/>
      <c r="O94" s="23"/>
      <c r="P94" s="4"/>
      <c r="Q94" s="23"/>
      <c r="R94" s="23"/>
      <c r="S94" s="23"/>
      <c r="T94" s="23"/>
      <c r="U94" s="4"/>
      <c r="V94" s="4"/>
      <c r="W94" s="4"/>
    </row>
    <row r="95" spans="1:23" x14ac:dyDescent="0.2">
      <c r="A95" s="774"/>
      <c r="B95" s="4"/>
      <c r="C95" s="23"/>
      <c r="D95" s="23"/>
      <c r="E95" s="23"/>
      <c r="F95" s="23"/>
      <c r="G95" s="23"/>
      <c r="H95" s="23"/>
      <c r="I95" s="23"/>
      <c r="J95" s="23"/>
      <c r="K95" s="23"/>
      <c r="L95" s="23"/>
      <c r="M95" s="23"/>
      <c r="N95" s="23"/>
      <c r="O95" s="23"/>
      <c r="P95" s="4"/>
      <c r="Q95" s="23"/>
      <c r="R95" s="23"/>
      <c r="S95" s="23"/>
      <c r="T95" s="23"/>
      <c r="U95" s="4"/>
      <c r="V95" s="4"/>
      <c r="W95" s="4"/>
    </row>
    <row r="96" spans="1:23" x14ac:dyDescent="0.2">
      <c r="A96" s="774"/>
      <c r="B96" s="4"/>
      <c r="C96" s="23"/>
      <c r="D96" s="23"/>
      <c r="E96" s="23"/>
      <c r="F96" s="23"/>
      <c r="G96" s="23"/>
      <c r="H96" s="23"/>
      <c r="I96" s="23"/>
      <c r="J96" s="23"/>
      <c r="K96" s="23"/>
      <c r="L96" s="23"/>
      <c r="M96" s="23"/>
      <c r="N96" s="23"/>
      <c r="O96" s="23"/>
      <c r="P96" s="4"/>
      <c r="Q96" s="23"/>
      <c r="R96" s="23"/>
      <c r="S96" s="23"/>
      <c r="T96" s="23"/>
      <c r="U96" s="4"/>
      <c r="V96" s="4"/>
      <c r="W96" s="4"/>
    </row>
    <row r="97" spans="1:23" x14ac:dyDescent="0.2">
      <c r="A97" s="774"/>
      <c r="B97" s="4"/>
      <c r="C97" s="23"/>
      <c r="D97" s="23"/>
      <c r="E97" s="23"/>
      <c r="F97" s="23"/>
      <c r="G97" s="23"/>
      <c r="H97" s="23"/>
      <c r="I97" s="23"/>
      <c r="J97" s="23"/>
      <c r="K97" s="23"/>
      <c r="L97" s="23"/>
      <c r="M97" s="23"/>
      <c r="N97" s="23"/>
      <c r="O97" s="23"/>
      <c r="P97" s="4"/>
      <c r="Q97" s="23"/>
      <c r="R97" s="23"/>
      <c r="S97" s="23"/>
      <c r="T97" s="23"/>
      <c r="U97" s="4"/>
      <c r="V97" s="4"/>
      <c r="W97" s="4"/>
    </row>
    <row r="98" spans="1:23" x14ac:dyDescent="0.2">
      <c r="A98" s="774"/>
      <c r="B98" s="4"/>
      <c r="C98" s="23"/>
      <c r="D98" s="23"/>
      <c r="E98" s="23"/>
      <c r="F98" s="23"/>
      <c r="G98" s="23"/>
      <c r="H98" s="23"/>
      <c r="I98" s="23"/>
      <c r="J98" s="23"/>
      <c r="K98" s="23"/>
      <c r="L98" s="23"/>
      <c r="M98" s="23"/>
      <c r="N98" s="23"/>
      <c r="O98" s="23"/>
      <c r="P98" s="4"/>
      <c r="Q98" s="23"/>
      <c r="R98" s="23"/>
      <c r="S98" s="23"/>
      <c r="T98" s="23"/>
      <c r="U98" s="4"/>
      <c r="V98" s="4"/>
      <c r="W98" s="4"/>
    </row>
    <row r="99" spans="1:23" x14ac:dyDescent="0.2">
      <c r="A99" s="774"/>
      <c r="B99" s="4"/>
      <c r="C99" s="23"/>
      <c r="D99" s="23"/>
      <c r="E99" s="23"/>
      <c r="F99" s="23"/>
      <c r="G99" s="23"/>
      <c r="H99" s="23"/>
      <c r="I99" s="23"/>
      <c r="J99" s="23"/>
      <c r="K99" s="23"/>
      <c r="L99" s="23"/>
      <c r="M99" s="23"/>
      <c r="N99" s="23"/>
      <c r="O99" s="23"/>
      <c r="P99" s="4"/>
      <c r="Q99" s="23"/>
      <c r="R99" s="23"/>
      <c r="S99" s="23"/>
      <c r="T99" s="23"/>
      <c r="U99" s="4"/>
      <c r="V99" s="4"/>
      <c r="W99" s="4"/>
    </row>
    <row r="100" spans="1:23" x14ac:dyDescent="0.2">
      <c r="A100" s="774"/>
      <c r="B100" s="4"/>
      <c r="C100" s="23"/>
      <c r="D100" s="23"/>
      <c r="E100" s="23"/>
      <c r="F100" s="23"/>
      <c r="G100" s="23"/>
      <c r="H100" s="23"/>
      <c r="I100" s="23"/>
      <c r="J100" s="23"/>
      <c r="K100" s="23"/>
      <c r="L100" s="23"/>
      <c r="M100" s="23"/>
      <c r="N100" s="23"/>
      <c r="O100" s="23"/>
      <c r="P100" s="4"/>
      <c r="Q100" s="23"/>
      <c r="R100" s="23"/>
      <c r="S100" s="23"/>
      <c r="T100" s="23"/>
      <c r="U100" s="4"/>
      <c r="V100" s="4"/>
      <c r="W100" s="4"/>
    </row>
    <row r="101" spans="1:23" x14ac:dyDescent="0.2">
      <c r="A101" s="774"/>
      <c r="B101" s="4"/>
      <c r="C101" s="23"/>
      <c r="D101" s="23"/>
      <c r="E101" s="23"/>
      <c r="F101" s="23"/>
      <c r="G101" s="23"/>
      <c r="H101" s="23"/>
      <c r="I101" s="23"/>
      <c r="J101" s="23"/>
      <c r="K101" s="23"/>
      <c r="L101" s="23"/>
      <c r="M101" s="23"/>
      <c r="N101" s="23"/>
      <c r="O101" s="23"/>
      <c r="P101" s="4"/>
      <c r="Q101" s="23"/>
      <c r="R101" s="23"/>
      <c r="S101" s="23"/>
      <c r="T101" s="23"/>
      <c r="U101" s="4"/>
      <c r="V101" s="4"/>
      <c r="W101" s="4"/>
    </row>
    <row r="102" spans="1:23" x14ac:dyDescent="0.2">
      <c r="A102" s="774"/>
      <c r="B102" s="4"/>
      <c r="C102" s="23"/>
      <c r="D102" s="23"/>
      <c r="E102" s="23"/>
      <c r="F102" s="23"/>
      <c r="G102" s="23"/>
      <c r="H102" s="23"/>
      <c r="I102" s="23"/>
      <c r="J102" s="23"/>
      <c r="K102" s="23"/>
      <c r="L102" s="23"/>
      <c r="M102" s="23"/>
      <c r="N102" s="23"/>
      <c r="O102" s="23"/>
      <c r="P102" s="4"/>
      <c r="Q102" s="23"/>
      <c r="R102" s="23"/>
      <c r="S102" s="23"/>
      <c r="T102" s="23"/>
      <c r="U102" s="4"/>
      <c r="V102" s="4"/>
      <c r="W102" s="4"/>
    </row>
    <row r="103" spans="1:23" x14ac:dyDescent="0.2">
      <c r="A103" s="774"/>
      <c r="B103" s="4"/>
      <c r="C103" s="23"/>
      <c r="D103" s="23"/>
      <c r="E103" s="23"/>
      <c r="F103" s="23"/>
      <c r="G103" s="23"/>
      <c r="H103" s="23"/>
      <c r="I103" s="23"/>
      <c r="J103" s="23"/>
      <c r="K103" s="23"/>
      <c r="L103" s="23"/>
      <c r="M103" s="23"/>
      <c r="N103" s="23"/>
      <c r="O103" s="23"/>
      <c r="P103" s="4"/>
      <c r="Q103" s="23"/>
      <c r="R103" s="23"/>
      <c r="S103" s="23"/>
      <c r="T103" s="23"/>
      <c r="U103" s="4"/>
      <c r="V103" s="4"/>
      <c r="W103" s="4"/>
    </row>
    <row r="104" spans="1:23" x14ac:dyDescent="0.2">
      <c r="A104" s="774"/>
      <c r="B104" s="4"/>
      <c r="C104" s="23"/>
      <c r="D104" s="23"/>
      <c r="E104" s="23"/>
      <c r="F104" s="23"/>
      <c r="G104" s="23"/>
      <c r="H104" s="23"/>
      <c r="I104" s="23"/>
      <c r="J104" s="23"/>
      <c r="K104" s="23"/>
      <c r="L104" s="23"/>
      <c r="M104" s="23"/>
      <c r="N104" s="23"/>
      <c r="O104" s="23"/>
      <c r="P104" s="4"/>
      <c r="Q104" s="23"/>
      <c r="R104" s="23"/>
      <c r="S104" s="23"/>
      <c r="T104" s="23"/>
      <c r="U104" s="4"/>
      <c r="V104" s="4"/>
      <c r="W104" s="4"/>
    </row>
    <row r="105" spans="1:23" x14ac:dyDescent="0.2">
      <c r="A105" s="774"/>
      <c r="B105" s="4"/>
      <c r="C105" s="23"/>
      <c r="D105" s="23"/>
      <c r="E105" s="23"/>
      <c r="F105" s="23"/>
      <c r="G105" s="23"/>
      <c r="H105" s="23"/>
      <c r="I105" s="23"/>
      <c r="J105" s="23"/>
      <c r="K105" s="23"/>
      <c r="L105" s="23"/>
      <c r="M105" s="23"/>
      <c r="N105" s="23"/>
      <c r="O105" s="23"/>
      <c r="P105" s="4"/>
      <c r="Q105" s="23"/>
      <c r="R105" s="23"/>
      <c r="S105" s="23"/>
      <c r="T105" s="23"/>
      <c r="U105" s="4"/>
      <c r="V105" s="4"/>
      <c r="W105" s="4"/>
    </row>
    <row r="106" spans="1:23" x14ac:dyDescent="0.2">
      <c r="A106" s="774"/>
      <c r="B106" s="4"/>
      <c r="C106" s="23"/>
      <c r="D106" s="23"/>
      <c r="E106" s="23"/>
      <c r="F106" s="23"/>
      <c r="G106" s="23"/>
      <c r="H106" s="23"/>
      <c r="I106" s="23"/>
      <c r="J106" s="23"/>
      <c r="K106" s="23"/>
      <c r="L106" s="23"/>
      <c r="M106" s="23"/>
      <c r="N106" s="23"/>
      <c r="O106" s="23"/>
      <c r="P106" s="4"/>
      <c r="Q106" s="23"/>
      <c r="R106" s="23"/>
      <c r="S106" s="23"/>
      <c r="T106" s="23"/>
      <c r="U106" s="4"/>
      <c r="V106" s="4"/>
      <c r="W106" s="4"/>
    </row>
    <row r="107" spans="1:23" x14ac:dyDescent="0.2">
      <c r="A107" s="774"/>
      <c r="B107" s="4"/>
      <c r="C107" s="23"/>
      <c r="D107" s="23"/>
      <c r="E107" s="23"/>
      <c r="F107" s="23"/>
      <c r="G107" s="23"/>
      <c r="H107" s="23"/>
      <c r="I107" s="23"/>
      <c r="J107" s="23"/>
      <c r="K107" s="23"/>
      <c r="L107" s="23"/>
      <c r="M107" s="23"/>
      <c r="N107" s="23"/>
      <c r="O107" s="23"/>
      <c r="P107" s="4"/>
      <c r="Q107" s="23"/>
      <c r="R107" s="23"/>
      <c r="S107" s="23"/>
      <c r="T107" s="23"/>
      <c r="U107" s="4"/>
      <c r="V107" s="4"/>
      <c r="W107" s="4"/>
    </row>
    <row r="108" spans="1:23" x14ac:dyDescent="0.2">
      <c r="A108" s="774"/>
      <c r="B108" s="4"/>
      <c r="C108" s="23"/>
      <c r="D108" s="23"/>
      <c r="E108" s="23"/>
      <c r="F108" s="23"/>
      <c r="G108" s="23"/>
      <c r="H108" s="23"/>
      <c r="I108" s="23"/>
      <c r="J108" s="23"/>
      <c r="K108" s="23"/>
      <c r="L108" s="23"/>
      <c r="M108" s="23"/>
      <c r="N108" s="23"/>
      <c r="O108" s="23"/>
      <c r="P108" s="4"/>
      <c r="Q108" s="23"/>
      <c r="R108" s="23"/>
      <c r="S108" s="23"/>
      <c r="T108" s="23"/>
      <c r="U108" s="4"/>
      <c r="V108" s="4"/>
      <c r="W108" s="4"/>
    </row>
    <row r="109" spans="1:23" x14ac:dyDescent="0.2">
      <c r="A109" s="774"/>
      <c r="B109" s="4"/>
      <c r="C109" s="23"/>
      <c r="D109" s="23"/>
      <c r="E109" s="23"/>
      <c r="F109" s="23"/>
      <c r="G109" s="23"/>
      <c r="H109" s="23"/>
      <c r="I109" s="23"/>
      <c r="J109" s="23"/>
      <c r="K109" s="23"/>
      <c r="L109" s="23"/>
      <c r="M109" s="23"/>
      <c r="N109" s="23"/>
      <c r="O109" s="23"/>
      <c r="P109" s="4"/>
      <c r="Q109" s="23"/>
      <c r="R109" s="23"/>
      <c r="S109" s="23"/>
      <c r="T109" s="23"/>
      <c r="U109" s="4"/>
      <c r="V109" s="4"/>
      <c r="W109" s="4"/>
    </row>
    <row r="110" spans="1:23" x14ac:dyDescent="0.2">
      <c r="A110" s="774"/>
      <c r="B110" s="4"/>
      <c r="C110" s="23"/>
      <c r="D110" s="23"/>
      <c r="E110" s="23"/>
      <c r="F110" s="23"/>
      <c r="G110" s="23"/>
      <c r="H110" s="23"/>
      <c r="I110" s="23"/>
      <c r="J110" s="23"/>
      <c r="K110" s="23"/>
      <c r="L110" s="23"/>
      <c r="M110" s="23"/>
      <c r="N110" s="23"/>
      <c r="O110" s="23"/>
      <c r="P110" s="4"/>
      <c r="Q110" s="23"/>
      <c r="R110" s="23"/>
      <c r="S110" s="23"/>
      <c r="T110" s="23"/>
      <c r="U110" s="4"/>
      <c r="V110" s="4"/>
      <c r="W110" s="4"/>
    </row>
    <row r="111" spans="1:23" x14ac:dyDescent="0.2">
      <c r="A111" s="774"/>
      <c r="B111" s="4"/>
      <c r="C111" s="23"/>
      <c r="D111" s="23"/>
      <c r="E111" s="23"/>
      <c r="F111" s="23"/>
      <c r="G111" s="23"/>
      <c r="H111" s="23"/>
      <c r="I111" s="23"/>
      <c r="J111" s="23"/>
      <c r="K111" s="23"/>
      <c r="L111" s="23"/>
      <c r="M111" s="23"/>
      <c r="N111" s="23"/>
      <c r="O111" s="23"/>
      <c r="P111" s="4"/>
      <c r="Q111" s="23"/>
      <c r="R111" s="23"/>
      <c r="S111" s="23"/>
      <c r="T111" s="23"/>
      <c r="U111" s="4"/>
      <c r="V111" s="4"/>
      <c r="W111" s="4"/>
    </row>
    <row r="112" spans="1:23" x14ac:dyDescent="0.2">
      <c r="A112" s="774"/>
      <c r="B112" s="4"/>
      <c r="C112" s="23"/>
      <c r="D112" s="23"/>
      <c r="E112" s="23"/>
      <c r="F112" s="23"/>
      <c r="G112" s="23"/>
      <c r="H112" s="23"/>
      <c r="I112" s="23"/>
      <c r="J112" s="23"/>
      <c r="K112" s="23"/>
      <c r="L112" s="23"/>
      <c r="M112" s="23"/>
      <c r="N112" s="23"/>
      <c r="O112" s="23"/>
      <c r="P112" s="4"/>
      <c r="Q112" s="23"/>
      <c r="R112" s="23"/>
      <c r="S112" s="23"/>
      <c r="T112" s="23"/>
      <c r="U112" s="4"/>
      <c r="V112" s="4"/>
      <c r="W112" s="4"/>
    </row>
    <row r="113" spans="1:23" x14ac:dyDescent="0.2">
      <c r="A113" s="774"/>
      <c r="B113" s="4"/>
      <c r="C113" s="23"/>
      <c r="D113" s="23"/>
      <c r="E113" s="23"/>
      <c r="F113" s="23"/>
      <c r="G113" s="23"/>
      <c r="H113" s="23"/>
      <c r="I113" s="23"/>
      <c r="J113" s="23"/>
      <c r="K113" s="23"/>
      <c r="L113" s="23"/>
      <c r="M113" s="23"/>
      <c r="N113" s="23"/>
      <c r="O113" s="23"/>
      <c r="P113" s="4"/>
      <c r="Q113" s="23"/>
      <c r="R113" s="23"/>
      <c r="S113" s="23"/>
      <c r="T113" s="23"/>
      <c r="U113" s="4"/>
      <c r="V113" s="4"/>
      <c r="W113" s="4"/>
    </row>
    <row r="114" spans="1:23" x14ac:dyDescent="0.2">
      <c r="A114" s="774"/>
      <c r="B114" s="4"/>
      <c r="C114" s="23"/>
      <c r="D114" s="23"/>
      <c r="E114" s="23"/>
      <c r="F114" s="23"/>
      <c r="G114" s="23"/>
      <c r="H114" s="23"/>
      <c r="I114" s="23"/>
      <c r="J114" s="23"/>
      <c r="K114" s="23"/>
      <c r="L114" s="23"/>
      <c r="M114" s="23"/>
      <c r="N114" s="23"/>
      <c r="O114" s="23"/>
      <c r="P114" s="4"/>
      <c r="Q114" s="23"/>
      <c r="R114" s="23"/>
      <c r="S114" s="23"/>
      <c r="T114" s="23"/>
      <c r="U114" s="4"/>
      <c r="V114" s="4"/>
      <c r="W114" s="4"/>
    </row>
    <row r="115" spans="1:23" x14ac:dyDescent="0.2">
      <c r="A115" s="774"/>
      <c r="B115" s="4"/>
      <c r="C115" s="23"/>
      <c r="D115" s="23"/>
      <c r="E115" s="23"/>
      <c r="F115" s="23"/>
      <c r="G115" s="23"/>
      <c r="H115" s="23"/>
      <c r="I115" s="23"/>
      <c r="J115" s="23"/>
      <c r="K115" s="23"/>
      <c r="L115" s="23"/>
      <c r="M115" s="23"/>
      <c r="N115" s="23"/>
      <c r="O115" s="23"/>
      <c r="P115" s="4"/>
      <c r="Q115" s="23"/>
      <c r="R115" s="23"/>
      <c r="S115" s="23"/>
      <c r="T115" s="23"/>
      <c r="U115" s="4"/>
      <c r="V115" s="4"/>
      <c r="W115" s="4"/>
    </row>
    <row r="116" spans="1:23" x14ac:dyDescent="0.2">
      <c r="A116" s="774"/>
      <c r="B116" s="4"/>
      <c r="C116" s="23"/>
      <c r="D116" s="23"/>
      <c r="E116" s="23"/>
      <c r="F116" s="23"/>
      <c r="G116" s="23"/>
      <c r="H116" s="23"/>
      <c r="I116" s="23"/>
      <c r="J116" s="23"/>
      <c r="K116" s="23"/>
      <c r="L116" s="23"/>
      <c r="M116" s="23"/>
      <c r="N116" s="23"/>
      <c r="O116" s="23"/>
      <c r="P116" s="4"/>
      <c r="Q116" s="23"/>
      <c r="R116" s="23"/>
      <c r="S116" s="23"/>
      <c r="T116" s="23"/>
      <c r="U116" s="4"/>
      <c r="V116" s="4"/>
      <c r="W116" s="4"/>
    </row>
    <row r="117" spans="1:23" x14ac:dyDescent="0.2">
      <c r="A117" s="774"/>
      <c r="B117" s="4"/>
      <c r="C117" s="23"/>
      <c r="D117" s="23"/>
      <c r="E117" s="23"/>
      <c r="F117" s="23"/>
      <c r="G117" s="23"/>
      <c r="H117" s="23"/>
      <c r="I117" s="23"/>
      <c r="J117" s="23"/>
      <c r="K117" s="23"/>
      <c r="L117" s="23"/>
      <c r="M117" s="23"/>
      <c r="N117" s="23"/>
      <c r="O117" s="23"/>
      <c r="P117" s="4"/>
      <c r="Q117" s="23"/>
      <c r="R117" s="23"/>
      <c r="S117" s="23"/>
      <c r="T117" s="23"/>
      <c r="U117" s="4"/>
      <c r="V117" s="4"/>
      <c r="W117" s="4"/>
    </row>
    <row r="118" spans="1:23" x14ac:dyDescent="0.2">
      <c r="A118" s="774"/>
      <c r="B118" s="4"/>
      <c r="C118" s="23"/>
      <c r="D118" s="23"/>
      <c r="E118" s="23"/>
      <c r="F118" s="23"/>
      <c r="G118" s="23"/>
      <c r="H118" s="23"/>
      <c r="I118" s="23"/>
      <c r="J118" s="23"/>
      <c r="K118" s="23"/>
      <c r="L118" s="23"/>
      <c r="M118" s="23"/>
      <c r="N118" s="23"/>
      <c r="O118" s="23"/>
      <c r="P118" s="4"/>
      <c r="Q118" s="23"/>
      <c r="R118" s="23"/>
      <c r="S118" s="23"/>
      <c r="T118" s="23"/>
      <c r="U118" s="4"/>
      <c r="V118" s="4"/>
      <c r="W118" s="4"/>
    </row>
    <row r="119" spans="1:23" x14ac:dyDescent="0.2">
      <c r="A119" s="774"/>
      <c r="B119" s="4"/>
      <c r="C119" s="23"/>
      <c r="D119" s="23"/>
      <c r="E119" s="23"/>
      <c r="F119" s="23"/>
      <c r="G119" s="23"/>
      <c r="H119" s="23"/>
      <c r="I119" s="23"/>
      <c r="J119" s="23"/>
      <c r="K119" s="23"/>
      <c r="L119" s="23"/>
      <c r="M119" s="23"/>
      <c r="N119" s="23"/>
      <c r="O119" s="23"/>
      <c r="P119" s="4"/>
      <c r="Q119" s="23"/>
      <c r="R119" s="23"/>
      <c r="S119" s="23"/>
      <c r="T119" s="23"/>
      <c r="U119" s="4"/>
      <c r="V119" s="4"/>
      <c r="W119" s="4"/>
    </row>
    <row r="120" spans="1:23" x14ac:dyDescent="0.2">
      <c r="A120" s="774"/>
      <c r="B120" s="4"/>
      <c r="C120" s="23"/>
      <c r="D120" s="23"/>
      <c r="E120" s="23"/>
      <c r="F120" s="23"/>
      <c r="G120" s="23"/>
      <c r="H120" s="23"/>
      <c r="I120" s="23"/>
      <c r="J120" s="23"/>
      <c r="K120" s="23"/>
      <c r="L120" s="23"/>
      <c r="M120" s="23"/>
      <c r="N120" s="23"/>
      <c r="O120" s="23"/>
      <c r="P120" s="4"/>
      <c r="Q120" s="23"/>
      <c r="R120" s="23"/>
      <c r="S120" s="23"/>
      <c r="T120" s="23"/>
      <c r="U120" s="4"/>
      <c r="V120" s="4"/>
      <c r="W120" s="4"/>
    </row>
    <row r="121" spans="1:23" x14ac:dyDescent="0.2">
      <c r="C121" s="212"/>
      <c r="D121" s="212"/>
      <c r="E121" s="212"/>
      <c r="F121" s="212"/>
      <c r="G121" s="212"/>
      <c r="H121" s="212"/>
      <c r="I121" s="212"/>
      <c r="J121" s="212"/>
      <c r="K121" s="212"/>
      <c r="L121" s="212"/>
      <c r="M121" s="212"/>
      <c r="N121" s="212"/>
      <c r="O121" s="212"/>
    </row>
    <row r="122" spans="1:23" x14ac:dyDescent="0.2">
      <c r="C122" s="212"/>
      <c r="D122" s="212"/>
      <c r="E122" s="212"/>
      <c r="F122" s="212"/>
      <c r="G122" s="212"/>
      <c r="H122" s="212"/>
      <c r="I122" s="212"/>
      <c r="J122" s="212"/>
      <c r="K122" s="212"/>
      <c r="L122" s="212"/>
      <c r="M122" s="212"/>
      <c r="N122" s="212"/>
      <c r="O122" s="212"/>
    </row>
    <row r="123" spans="1:23" x14ac:dyDescent="0.2">
      <c r="C123" s="212"/>
      <c r="D123" s="212"/>
      <c r="E123" s="212"/>
      <c r="F123" s="212"/>
      <c r="G123" s="212"/>
      <c r="H123" s="212"/>
      <c r="I123" s="212"/>
      <c r="J123" s="212"/>
      <c r="K123" s="212"/>
      <c r="L123" s="212"/>
      <c r="M123" s="212"/>
      <c r="N123" s="212"/>
      <c r="O123" s="212"/>
    </row>
    <row r="124" spans="1:23" x14ac:dyDescent="0.2">
      <c r="C124" s="212"/>
      <c r="D124" s="212"/>
      <c r="E124" s="212"/>
      <c r="F124" s="212"/>
      <c r="G124" s="212"/>
      <c r="H124" s="212"/>
      <c r="I124" s="212"/>
      <c r="J124" s="212"/>
      <c r="K124" s="212"/>
      <c r="L124" s="212"/>
      <c r="M124" s="212"/>
      <c r="N124" s="212"/>
      <c r="O124" s="212"/>
    </row>
    <row r="125" spans="1:23" x14ac:dyDescent="0.2">
      <c r="C125" s="212"/>
      <c r="D125" s="212"/>
      <c r="E125" s="212"/>
      <c r="F125" s="212"/>
      <c r="G125" s="212"/>
      <c r="H125" s="212"/>
      <c r="I125" s="212"/>
      <c r="J125" s="212"/>
      <c r="K125" s="212"/>
      <c r="L125" s="212"/>
      <c r="M125" s="212"/>
      <c r="N125" s="212"/>
      <c r="O125" s="212"/>
    </row>
    <row r="126" spans="1:23" x14ac:dyDescent="0.2">
      <c r="C126" s="212"/>
      <c r="D126" s="212"/>
      <c r="E126" s="212"/>
      <c r="F126" s="212"/>
      <c r="G126" s="212"/>
      <c r="H126" s="212"/>
      <c r="I126" s="212"/>
      <c r="J126" s="212"/>
      <c r="K126" s="212"/>
      <c r="L126" s="212"/>
      <c r="M126" s="212"/>
      <c r="N126" s="212"/>
      <c r="O126" s="212"/>
    </row>
    <row r="127" spans="1:23" x14ac:dyDescent="0.2">
      <c r="C127" s="212"/>
      <c r="D127" s="212"/>
      <c r="E127" s="212"/>
      <c r="F127" s="212"/>
      <c r="G127" s="212"/>
      <c r="H127" s="212"/>
      <c r="I127" s="212"/>
      <c r="J127" s="212"/>
      <c r="K127" s="212"/>
      <c r="L127" s="212"/>
      <c r="M127" s="212"/>
      <c r="N127" s="212"/>
      <c r="O127" s="212"/>
    </row>
    <row r="128" spans="1:23" x14ac:dyDescent="0.2">
      <c r="C128" s="212"/>
      <c r="D128" s="212"/>
      <c r="E128" s="212"/>
      <c r="F128" s="212"/>
      <c r="G128" s="212"/>
      <c r="H128" s="212"/>
      <c r="I128" s="212"/>
      <c r="J128" s="212"/>
      <c r="K128" s="212"/>
      <c r="L128" s="212"/>
      <c r="M128" s="212"/>
      <c r="N128" s="212"/>
      <c r="O128" s="212"/>
    </row>
    <row r="129" spans="3:15" x14ac:dyDescent="0.2">
      <c r="C129" s="212"/>
      <c r="D129" s="212"/>
      <c r="E129" s="212"/>
      <c r="F129" s="212"/>
      <c r="G129" s="212"/>
      <c r="H129" s="212"/>
      <c r="I129" s="212"/>
      <c r="J129" s="212"/>
      <c r="K129" s="212"/>
      <c r="L129" s="212"/>
      <c r="M129" s="212"/>
      <c r="N129" s="212"/>
      <c r="O129" s="212"/>
    </row>
    <row r="130" spans="3:15" x14ac:dyDescent="0.2">
      <c r="C130" s="212"/>
      <c r="D130" s="212"/>
      <c r="E130" s="212"/>
      <c r="F130" s="212"/>
      <c r="G130" s="212"/>
      <c r="H130" s="212"/>
      <c r="I130" s="212"/>
      <c r="J130" s="212"/>
      <c r="K130" s="212"/>
      <c r="L130" s="212"/>
      <c r="M130" s="212"/>
      <c r="N130" s="212"/>
      <c r="O130" s="212"/>
    </row>
    <row r="131" spans="3:15" x14ac:dyDescent="0.2">
      <c r="C131" s="212"/>
    </row>
    <row r="132" spans="3:15" x14ac:dyDescent="0.2">
      <c r="C132" s="212"/>
    </row>
    <row r="133" spans="3:15" x14ac:dyDescent="0.2">
      <c r="C133" s="212"/>
    </row>
    <row r="134" spans="3:15" x14ac:dyDescent="0.2">
      <c r="C134" s="212"/>
    </row>
    <row r="135" spans="3:15" x14ac:dyDescent="0.2">
      <c r="C135" s="212"/>
    </row>
    <row r="136" spans="3:15" x14ac:dyDescent="0.2">
      <c r="C136" s="212"/>
    </row>
    <row r="137" spans="3:15" x14ac:dyDescent="0.2">
      <c r="C137" s="212"/>
    </row>
    <row r="138" spans="3:15" x14ac:dyDescent="0.2">
      <c r="C138" s="212"/>
    </row>
    <row r="139" spans="3:15" x14ac:dyDescent="0.2">
      <c r="C139" s="212"/>
    </row>
    <row r="140" spans="3:15" x14ac:dyDescent="0.2">
      <c r="C140" s="212"/>
    </row>
    <row r="141" spans="3:15" x14ac:dyDescent="0.2">
      <c r="C141" s="212"/>
    </row>
    <row r="142" spans="3:15" x14ac:dyDescent="0.2">
      <c r="C142" s="212"/>
    </row>
    <row r="143" spans="3:15" x14ac:dyDescent="0.2">
      <c r="C143" s="212"/>
    </row>
    <row r="144" spans="3:15" x14ac:dyDescent="0.2">
      <c r="C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row r="160" spans="3:3" x14ac:dyDescent="0.2">
      <c r="C160" s="212"/>
    </row>
    <row r="161" spans="3:3" x14ac:dyDescent="0.2">
      <c r="C161" s="212"/>
    </row>
    <row r="162" spans="3:3" x14ac:dyDescent="0.2">
      <c r="C162" s="212"/>
    </row>
    <row r="163" spans="3:3" x14ac:dyDescent="0.2">
      <c r="C163" s="212"/>
    </row>
    <row r="164" spans="3:3" x14ac:dyDescent="0.2">
      <c r="C164" s="212"/>
    </row>
    <row r="165" spans="3:3" x14ac:dyDescent="0.2">
      <c r="C165" s="212"/>
    </row>
    <row r="166" spans="3:3" x14ac:dyDescent="0.2">
      <c r="C166" s="212"/>
    </row>
    <row r="167" spans="3:3" x14ac:dyDescent="0.2">
      <c r="C167" s="212"/>
    </row>
    <row r="168" spans="3:3" x14ac:dyDescent="0.2">
      <c r="C168" s="212"/>
    </row>
    <row r="169" spans="3:3" x14ac:dyDescent="0.2">
      <c r="C169" s="212"/>
    </row>
    <row r="170" spans="3:3" x14ac:dyDescent="0.2">
      <c r="C170" s="212"/>
    </row>
    <row r="171" spans="3:3" x14ac:dyDescent="0.2">
      <c r="C171" s="212"/>
    </row>
  </sheetData>
  <phoneticPr fontId="0" type="noConversion"/>
  <hyperlinks>
    <hyperlink ref="A1" location="'Working Budget with funding det'!A1" display="Main " xr:uid="{00000000-0004-0000-1B00-000000000000}"/>
    <hyperlink ref="B1" location="'Table of Contents'!A1" display="TOC" xr:uid="{00000000-0004-0000-1B00-000001000000}"/>
  </hyperlinks>
  <pageMargins left="0.75" right="0.75" top="1" bottom="1" header="0.5" footer="0.5"/>
  <pageSetup scale="91" fitToHeight="2" orientation="landscape" r:id="rId1"/>
  <headerFooter alignWithMargins="0">
    <oddFooter>&amp;L&amp;D     &amp;T&amp;C&amp;F&amp;R&amp;A</oddFooter>
  </headerFooter>
  <rowBreaks count="1" manualBreakCount="1">
    <brk id="37" max="1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W180"/>
  <sheetViews>
    <sheetView workbookViewId="0">
      <selection activeCell="P15" sqref="P15"/>
    </sheetView>
  </sheetViews>
  <sheetFormatPr defaultRowHeight="12.75" x14ac:dyDescent="0.2"/>
  <cols>
    <col min="1" max="1" width="12" style="783" bestFit="1" customWidth="1"/>
    <col min="2" max="2" width="36.6640625" customWidth="1"/>
    <col min="3" max="3" width="14.5" style="1" hidden="1" customWidth="1"/>
    <col min="4" max="12" width="14.5" style="106" hidden="1" customWidth="1"/>
    <col min="13" max="15" width="14.5" style="106" customWidth="1"/>
    <col min="16" max="16" width="14.5" customWidth="1"/>
    <col min="17" max="19" width="14.5" style="1" customWidth="1"/>
    <col min="20" max="22" width="14.5" customWidth="1"/>
    <col min="23" max="23" width="14.6640625" style="2" customWidth="1"/>
  </cols>
  <sheetData>
    <row r="1" spans="1:22" x14ac:dyDescent="0.2">
      <c r="A1" s="772" t="s">
        <v>847</v>
      </c>
      <c r="B1" s="308" t="s">
        <v>197</v>
      </c>
      <c r="D1" s="212"/>
      <c r="E1" s="212"/>
      <c r="F1" s="212"/>
      <c r="G1" s="212"/>
      <c r="H1" s="212"/>
      <c r="I1" s="212"/>
      <c r="J1" s="212"/>
      <c r="K1" s="212"/>
      <c r="L1" s="212"/>
      <c r="M1" s="212"/>
      <c r="N1" s="212"/>
      <c r="O1" s="212"/>
      <c r="S1"/>
    </row>
    <row r="2" spans="1:22" ht="15" x14ac:dyDescent="0.25">
      <c r="A2" s="773" t="s">
        <v>1138</v>
      </c>
      <c r="B2" s="43"/>
      <c r="D2" s="212"/>
      <c r="E2" s="126"/>
      <c r="F2" s="212"/>
      <c r="G2" s="212"/>
      <c r="H2" s="212"/>
      <c r="I2" s="126" t="s">
        <v>816</v>
      </c>
      <c r="J2" s="126"/>
      <c r="K2" s="126"/>
      <c r="L2" s="126"/>
      <c r="M2" s="126"/>
      <c r="N2" s="126"/>
      <c r="O2" s="126"/>
      <c r="P2" s="58" t="s">
        <v>1247</v>
      </c>
      <c r="S2" s="44" t="s">
        <v>1248</v>
      </c>
    </row>
    <row r="3" spans="1:22" ht="13.5" thickBot="1" x14ac:dyDescent="0.25">
      <c r="A3" s="774"/>
      <c r="B3" s="4"/>
      <c r="C3" s="23"/>
      <c r="D3" s="23"/>
      <c r="E3" s="23"/>
      <c r="F3" s="23"/>
      <c r="G3" s="23"/>
      <c r="H3" s="23"/>
      <c r="I3" s="23"/>
      <c r="J3" s="23"/>
      <c r="K3" s="23"/>
      <c r="L3" s="23"/>
      <c r="M3" s="23"/>
      <c r="N3" s="23"/>
      <c r="O3" s="23"/>
      <c r="P3" s="4"/>
      <c r="Q3" s="23"/>
      <c r="R3" s="23"/>
      <c r="S3" s="4"/>
      <c r="V3" s="4"/>
    </row>
    <row r="4" spans="1:22"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2"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2" x14ac:dyDescent="0.2">
      <c r="A6" s="776"/>
      <c r="B6" s="202"/>
      <c r="C6" s="113"/>
      <c r="D6" s="113"/>
      <c r="E6" s="113"/>
      <c r="F6" s="113"/>
      <c r="G6" s="113"/>
      <c r="H6" s="113"/>
      <c r="I6" s="83"/>
      <c r="J6" s="83"/>
      <c r="K6" s="83"/>
      <c r="L6" s="83"/>
      <c r="M6" s="83"/>
      <c r="N6" s="83"/>
      <c r="O6" s="83"/>
      <c r="P6" s="113"/>
      <c r="Q6" s="83" t="s">
        <v>823</v>
      </c>
      <c r="R6" s="83" t="s">
        <v>585</v>
      </c>
      <c r="S6" s="45" t="s">
        <v>824</v>
      </c>
    </row>
    <row r="7" spans="1:22"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2" ht="13.5" thickTop="1" x14ac:dyDescent="0.2">
      <c r="A8" s="796"/>
      <c r="B8" s="203"/>
      <c r="C8" s="118"/>
      <c r="D8" s="18"/>
      <c r="E8" s="18"/>
      <c r="F8" s="18"/>
      <c r="G8" s="18"/>
      <c r="H8" s="18"/>
      <c r="I8" s="18"/>
      <c r="J8" s="18"/>
      <c r="K8" s="19"/>
      <c r="L8" s="19"/>
      <c r="M8" s="19"/>
      <c r="N8" s="19"/>
      <c r="O8" s="19"/>
      <c r="P8" s="18"/>
      <c r="Q8" s="19"/>
      <c r="R8" s="19"/>
      <c r="S8" s="19"/>
    </row>
    <row r="9" spans="1:22" ht="13.5" thickBot="1" x14ac:dyDescent="0.25">
      <c r="A9" s="779">
        <v>5380</v>
      </c>
      <c r="B9" s="60" t="s">
        <v>1249</v>
      </c>
      <c r="C9" s="117">
        <v>2750</v>
      </c>
      <c r="D9" s="15">
        <v>2750</v>
      </c>
      <c r="E9" s="15">
        <v>2750</v>
      </c>
      <c r="F9" s="15">
        <v>2750</v>
      </c>
      <c r="G9" s="15">
        <v>2750</v>
      </c>
      <c r="H9" s="15">
        <v>2750</v>
      </c>
      <c r="I9" s="15">
        <v>2750</v>
      </c>
      <c r="J9" s="15">
        <v>2750</v>
      </c>
      <c r="K9" s="16">
        <v>2750</v>
      </c>
      <c r="L9" s="15">
        <v>2750</v>
      </c>
      <c r="M9" s="16">
        <v>2750</v>
      </c>
      <c r="N9" s="15">
        <v>2750</v>
      </c>
      <c r="O9" s="16">
        <f>4432+2750</f>
        <v>7182</v>
      </c>
      <c r="P9" s="15"/>
      <c r="Q9" s="16">
        <v>7182</v>
      </c>
      <c r="R9" s="16"/>
      <c r="S9" s="16"/>
    </row>
    <row r="10" spans="1:22" x14ac:dyDescent="0.2">
      <c r="A10" s="779"/>
      <c r="B10" s="61" t="s">
        <v>838</v>
      </c>
      <c r="C10" s="118">
        <f t="shared" ref="C10:S10" si="0">SUM(C9:C9)</f>
        <v>2750</v>
      </c>
      <c r="D10" s="18">
        <f t="shared" si="0"/>
        <v>2750</v>
      </c>
      <c r="E10" s="18">
        <f t="shared" si="0"/>
        <v>2750</v>
      </c>
      <c r="F10" s="18">
        <f t="shared" si="0"/>
        <v>2750</v>
      </c>
      <c r="G10" s="18">
        <f t="shared" si="0"/>
        <v>2750</v>
      </c>
      <c r="H10" s="18">
        <f t="shared" si="0"/>
        <v>2750</v>
      </c>
      <c r="I10" s="18">
        <f t="shared" si="0"/>
        <v>2750</v>
      </c>
      <c r="J10" s="18">
        <f t="shared" ref="J10" si="1">SUM(J9:J9)</f>
        <v>2750</v>
      </c>
      <c r="K10" s="19">
        <f t="shared" ref="K10:O10" si="2">SUM(K9:K9)</f>
        <v>2750</v>
      </c>
      <c r="L10" s="18">
        <f t="shared" si="2"/>
        <v>2750</v>
      </c>
      <c r="M10" s="19">
        <f t="shared" si="2"/>
        <v>2750</v>
      </c>
      <c r="N10" s="18">
        <f t="shared" ref="N10" si="3">SUM(N9:N9)</f>
        <v>2750</v>
      </c>
      <c r="O10" s="19">
        <f t="shared" si="2"/>
        <v>7182</v>
      </c>
      <c r="P10" s="18">
        <f t="shared" si="0"/>
        <v>0</v>
      </c>
      <c r="Q10" s="19">
        <f t="shared" si="0"/>
        <v>7182</v>
      </c>
      <c r="R10" s="19"/>
      <c r="S10" s="19">
        <f t="shared" si="0"/>
        <v>0</v>
      </c>
    </row>
    <row r="11" spans="1:22" x14ac:dyDescent="0.2">
      <c r="A11" s="779"/>
      <c r="B11" s="60"/>
      <c r="C11" s="116"/>
      <c r="D11" s="13"/>
      <c r="E11" s="13"/>
      <c r="F11" s="13"/>
      <c r="G11" s="13"/>
      <c r="H11" s="13"/>
      <c r="I11" s="13"/>
      <c r="J11" s="13"/>
      <c r="K11" s="14"/>
      <c r="L11" s="13"/>
      <c r="M11" s="14"/>
      <c r="N11" s="13"/>
      <c r="O11" s="14"/>
      <c r="P11" s="13"/>
      <c r="Q11" s="14"/>
      <c r="R11" s="14"/>
      <c r="S11" s="14"/>
    </row>
    <row r="12" spans="1:22" ht="13.5" thickBot="1" x14ac:dyDescent="0.25">
      <c r="A12" s="780"/>
      <c r="B12" s="602" t="s">
        <v>1250</v>
      </c>
      <c r="C12" s="596">
        <f t="shared" ref="C12:Q12" si="4">+C10</f>
        <v>2750</v>
      </c>
      <c r="D12" s="21">
        <f t="shared" si="4"/>
        <v>2750</v>
      </c>
      <c r="E12" s="21">
        <f>+E10</f>
        <v>2750</v>
      </c>
      <c r="F12" s="21">
        <f>+F10</f>
        <v>2750</v>
      </c>
      <c r="G12" s="21">
        <f>+G10</f>
        <v>2750</v>
      </c>
      <c r="H12" s="21">
        <f>+H10</f>
        <v>2750</v>
      </c>
      <c r="I12" s="21">
        <f t="shared" si="4"/>
        <v>2750</v>
      </c>
      <c r="J12" s="21">
        <f t="shared" ref="J12" si="5">+J10</f>
        <v>2750</v>
      </c>
      <c r="K12" s="22">
        <f t="shared" ref="K12:O12" si="6">+K10</f>
        <v>2750</v>
      </c>
      <c r="L12" s="21">
        <f t="shared" si="6"/>
        <v>2750</v>
      </c>
      <c r="M12" s="22">
        <f t="shared" si="6"/>
        <v>2750</v>
      </c>
      <c r="N12" s="21">
        <f t="shared" ref="N12" si="7">+N10</f>
        <v>2750</v>
      </c>
      <c r="O12" s="22">
        <f t="shared" si="6"/>
        <v>7182</v>
      </c>
      <c r="P12" s="21">
        <f t="shared" si="4"/>
        <v>0</v>
      </c>
      <c r="Q12" s="22">
        <f t="shared" si="4"/>
        <v>7182</v>
      </c>
      <c r="R12" s="22">
        <f>+Q12</f>
        <v>7182</v>
      </c>
      <c r="S12" s="22">
        <f>+Q12</f>
        <v>7182</v>
      </c>
    </row>
    <row r="13" spans="1:22" ht="13.5" thickTop="1" x14ac:dyDescent="0.2">
      <c r="A13" s="774"/>
      <c r="B13" s="603"/>
      <c r="C13" s="23"/>
      <c r="D13" s="23"/>
      <c r="E13" s="23"/>
      <c r="F13" s="23"/>
      <c r="G13" s="23"/>
      <c r="H13" s="23"/>
      <c r="I13" s="23"/>
      <c r="J13" s="23"/>
      <c r="K13" s="23"/>
      <c r="L13" s="23"/>
      <c r="M13" s="23"/>
      <c r="N13" s="23"/>
      <c r="O13" s="23"/>
      <c r="P13" s="199" t="s">
        <v>843</v>
      </c>
      <c r="Q13" s="1116">
        <f>+Q12-O12</f>
        <v>0</v>
      </c>
      <c r="R13" s="1117">
        <f>ROUND((+Q13/O12),4)</f>
        <v>0</v>
      </c>
      <c r="S13" s="23"/>
      <c r="T13" s="25"/>
      <c r="U13" s="25"/>
      <c r="V13" s="25"/>
    </row>
    <row r="14" spans="1:22" x14ac:dyDescent="0.2">
      <c r="A14" s="54"/>
      <c r="B14" s="603"/>
      <c r="C14" s="23"/>
      <c r="D14" s="23"/>
      <c r="E14" s="23"/>
      <c r="F14" s="23"/>
      <c r="G14" s="23"/>
      <c r="H14" s="23"/>
      <c r="I14" s="23"/>
      <c r="J14" s="23"/>
      <c r="K14" s="23"/>
      <c r="L14" s="23"/>
      <c r="M14" s="23"/>
      <c r="N14" s="23"/>
      <c r="O14" s="23"/>
      <c r="P14" s="25"/>
      <c r="Q14" s="23"/>
      <c r="R14" s="23"/>
      <c r="S14" s="25"/>
      <c r="T14" s="25"/>
      <c r="U14" s="25"/>
      <c r="V14" s="25"/>
    </row>
    <row r="15" spans="1:22" x14ac:dyDescent="0.2">
      <c r="A15" s="774"/>
      <c r="B15" s="603"/>
      <c r="C15" s="23"/>
      <c r="D15" s="23"/>
      <c r="E15" s="23"/>
      <c r="F15" s="23"/>
      <c r="G15" s="23"/>
      <c r="H15" s="23"/>
      <c r="I15" s="23"/>
      <c r="J15" s="23"/>
      <c r="K15" s="23"/>
      <c r="L15" s="23"/>
      <c r="M15" s="23"/>
      <c r="N15" s="23"/>
      <c r="O15" s="23"/>
      <c r="P15" s="25"/>
      <c r="Q15" s="23"/>
      <c r="R15" s="23"/>
      <c r="S15" s="23"/>
      <c r="T15" s="25"/>
      <c r="U15" s="25"/>
      <c r="V15" s="25"/>
    </row>
    <row r="16" spans="1:22" ht="13.5" thickBot="1" x14ac:dyDescent="0.25">
      <c r="A16" s="774"/>
      <c r="B16" s="603"/>
      <c r="C16" s="23"/>
      <c r="D16" s="23"/>
      <c r="E16" s="23"/>
      <c r="F16" s="23"/>
      <c r="G16" s="23"/>
      <c r="H16" s="23"/>
      <c r="I16" s="23"/>
      <c r="J16" s="23"/>
      <c r="K16" s="23"/>
      <c r="L16" s="23"/>
      <c r="M16" s="23"/>
      <c r="N16" s="23"/>
      <c r="O16" s="23"/>
      <c r="P16" s="25"/>
      <c r="Q16" s="23"/>
      <c r="R16" s="23"/>
      <c r="S16" s="23"/>
      <c r="T16" s="25"/>
      <c r="U16" s="25"/>
      <c r="V16" s="25"/>
    </row>
    <row r="17" spans="1:22" ht="13.5" thickTop="1" x14ac:dyDescent="0.2">
      <c r="A17" s="789"/>
      <c r="B17" s="604"/>
      <c r="C17" s="597" t="s">
        <v>280</v>
      </c>
      <c r="D17" s="369" t="s">
        <v>280</v>
      </c>
      <c r="E17" s="369" t="s">
        <v>280</v>
      </c>
      <c r="F17" s="212"/>
      <c r="G17" s="212"/>
      <c r="H17" s="212"/>
      <c r="I17" s="212"/>
      <c r="J17" s="212"/>
      <c r="K17" s="212"/>
      <c r="L17" s="212"/>
      <c r="M17" s="370" t="s">
        <v>279</v>
      </c>
      <c r="N17" s="371" t="s">
        <v>826</v>
      </c>
      <c r="O17" s="372" t="s">
        <v>840</v>
      </c>
      <c r="P17" s="371" t="s">
        <v>841</v>
      </c>
      <c r="Q17" s="373"/>
      <c r="R17" s="569"/>
      <c r="S17" s="372"/>
      <c r="T17" s="25"/>
      <c r="U17" s="25"/>
      <c r="V17" s="25"/>
    </row>
    <row r="18" spans="1:22" ht="13.5" thickBot="1" x14ac:dyDescent="0.25">
      <c r="A18" s="790" t="s">
        <v>825</v>
      </c>
      <c r="B18" s="374"/>
      <c r="C18" s="421" t="s">
        <v>267</v>
      </c>
      <c r="D18" s="375" t="s">
        <v>268</v>
      </c>
      <c r="E18" s="376" t="s">
        <v>269</v>
      </c>
      <c r="F18" s="212"/>
      <c r="G18" s="212"/>
      <c r="H18" s="212"/>
      <c r="I18" s="212"/>
      <c r="J18" s="212"/>
      <c r="K18" s="212"/>
      <c r="L18" s="212"/>
      <c r="M18" s="377" t="s">
        <v>277</v>
      </c>
      <c r="N18" s="377" t="s">
        <v>571</v>
      </c>
      <c r="O18" s="376" t="s">
        <v>843</v>
      </c>
      <c r="P18" s="378" t="s">
        <v>843</v>
      </c>
      <c r="Q18" s="379" t="s">
        <v>844</v>
      </c>
      <c r="R18" s="570"/>
      <c r="S18" s="377"/>
      <c r="T18" s="25"/>
      <c r="U18" s="25"/>
      <c r="V18" s="25"/>
    </row>
    <row r="19" spans="1:22" ht="13.5" thickTop="1" x14ac:dyDescent="0.2">
      <c r="A19" s="797"/>
      <c r="B19" s="394"/>
      <c r="C19" s="383"/>
      <c r="D19" s="383"/>
      <c r="E19" s="383"/>
      <c r="F19" s="212"/>
      <c r="G19" s="212"/>
      <c r="H19" s="212"/>
      <c r="I19" s="212"/>
      <c r="J19" s="212"/>
      <c r="K19" s="212"/>
      <c r="L19" s="212"/>
      <c r="M19" s="413"/>
      <c r="N19" s="381"/>
      <c r="O19" s="404"/>
      <c r="P19" s="402"/>
      <c r="Q19" s="385"/>
      <c r="R19" s="572"/>
      <c r="S19" s="386"/>
      <c r="T19" s="25"/>
      <c r="U19" s="25"/>
      <c r="V19" s="25"/>
    </row>
    <row r="20" spans="1:22" ht="13.5" thickBot="1" x14ac:dyDescent="0.25">
      <c r="A20" s="795">
        <v>5380</v>
      </c>
      <c r="B20" s="387" t="s">
        <v>1249</v>
      </c>
      <c r="C20" s="389">
        <v>2750</v>
      </c>
      <c r="D20" s="389">
        <v>2750</v>
      </c>
      <c r="E20" s="389">
        <v>2750</v>
      </c>
      <c r="F20" s="212"/>
      <c r="G20" s="212"/>
      <c r="H20" s="212"/>
      <c r="I20" s="212"/>
      <c r="J20" s="212"/>
      <c r="K20" s="212"/>
      <c r="L20" s="212"/>
      <c r="M20" s="390">
        <f>+O9</f>
        <v>7182</v>
      </c>
      <c r="N20" s="411">
        <f>+Q9</f>
        <v>7182</v>
      </c>
      <c r="O20" s="386">
        <f>+N20-M20</f>
        <v>0</v>
      </c>
      <c r="P20" s="392" t="str">
        <f>IF(M20+N20&lt;&gt;0,IF(M20&lt;&gt;0,IF(O20&lt;&gt;0,ROUND((+O20/M20),4),""),1),"")</f>
        <v/>
      </c>
      <c r="Q20" s="385"/>
      <c r="R20" s="572"/>
      <c r="S20" s="386"/>
      <c r="T20" s="25"/>
      <c r="U20" s="25"/>
      <c r="V20" s="25"/>
    </row>
    <row r="21" spans="1:22" x14ac:dyDescent="0.2">
      <c r="A21" s="774"/>
      <c r="B21" s="4"/>
      <c r="C21" s="23"/>
      <c r="D21" s="23"/>
      <c r="E21" s="23"/>
      <c r="F21" s="23"/>
      <c r="G21" s="23"/>
      <c r="H21" s="212"/>
      <c r="I21" s="212"/>
      <c r="J21" s="212"/>
      <c r="K21" s="212"/>
      <c r="L21" s="212"/>
      <c r="M21" s="23"/>
      <c r="N21" s="23"/>
      <c r="O21" s="23"/>
      <c r="P21" s="25"/>
      <c r="Q21" s="23"/>
      <c r="R21" s="23"/>
      <c r="S21" s="23"/>
      <c r="T21" s="25"/>
      <c r="U21" s="25"/>
      <c r="V21" s="25"/>
    </row>
    <row r="22" spans="1:22" x14ac:dyDescent="0.2">
      <c r="A22" s="774"/>
      <c r="B22" s="4" t="s">
        <v>846</v>
      </c>
      <c r="C22" s="23"/>
      <c r="D22" s="23"/>
      <c r="E22" s="23"/>
      <c r="F22" s="23"/>
      <c r="G22" s="23"/>
      <c r="H22" s="212"/>
      <c r="I22" s="212"/>
      <c r="J22" s="212"/>
      <c r="K22" s="212"/>
      <c r="L22" s="212"/>
      <c r="M22" s="616">
        <f>SUM(M20:M21)</f>
        <v>7182</v>
      </c>
      <c r="N22" s="616">
        <f>SUM(N20:N21)</f>
        <v>7182</v>
      </c>
      <c r="O22" s="25">
        <f>+N22-M22</f>
        <v>0</v>
      </c>
      <c r="P22" s="617" t="str">
        <f>IF(M22+N22&lt;&gt;0,IF(M22&lt;&gt;0,IF(O22&lt;&gt;0,ROUND((+O22/M22),4),""),1),"")</f>
        <v/>
      </c>
      <c r="Q22" s="23"/>
      <c r="R22" s="23"/>
      <c r="S22" s="23"/>
      <c r="T22" s="25"/>
      <c r="U22" s="25"/>
      <c r="V22" s="25"/>
    </row>
    <row r="23" spans="1:22" x14ac:dyDescent="0.2">
      <c r="A23" s="774"/>
      <c r="B23" s="4"/>
      <c r="C23" s="23"/>
      <c r="D23" s="23"/>
      <c r="E23" s="23"/>
      <c r="F23" s="23"/>
      <c r="G23" s="23"/>
      <c r="H23" s="23"/>
      <c r="I23" s="23"/>
      <c r="J23" s="23"/>
      <c r="K23" s="23"/>
      <c r="L23" s="23"/>
      <c r="M23" s="23"/>
      <c r="N23" s="23"/>
      <c r="O23" s="23"/>
      <c r="P23" s="25"/>
      <c r="Q23" s="23"/>
      <c r="R23" s="23"/>
      <c r="S23" s="23"/>
      <c r="T23" s="25"/>
      <c r="U23" s="25"/>
      <c r="V23" s="25"/>
    </row>
    <row r="24" spans="1:22" x14ac:dyDescent="0.2">
      <c r="A24" s="774"/>
      <c r="B24" s="4"/>
      <c r="C24" s="23"/>
      <c r="D24" s="23"/>
      <c r="E24" s="23"/>
      <c r="F24" s="23"/>
      <c r="G24" s="23"/>
      <c r="H24" s="23"/>
      <c r="I24" s="23"/>
      <c r="J24" s="23"/>
      <c r="K24" s="23"/>
      <c r="L24" s="23"/>
      <c r="M24" s="23"/>
      <c r="N24" s="23"/>
      <c r="O24" s="23"/>
      <c r="P24" s="25"/>
      <c r="Q24" s="23"/>
      <c r="R24" s="23"/>
      <c r="S24" s="23"/>
      <c r="T24" s="25"/>
      <c r="U24" s="25"/>
      <c r="V24" s="25"/>
    </row>
    <row r="25" spans="1:22" x14ac:dyDescent="0.2">
      <c r="A25" s="774"/>
      <c r="B25" s="4"/>
      <c r="C25" s="23"/>
      <c r="D25" s="23"/>
      <c r="E25" s="23"/>
      <c r="F25" s="23"/>
      <c r="G25" s="23"/>
      <c r="H25" s="23"/>
      <c r="I25" s="23"/>
      <c r="J25" s="23"/>
      <c r="K25" s="23"/>
      <c r="L25" s="23"/>
      <c r="M25" s="23"/>
      <c r="N25" s="23"/>
      <c r="O25" s="23"/>
      <c r="P25" s="25"/>
      <c r="Q25" s="23"/>
      <c r="R25" s="23"/>
      <c r="S25" s="23"/>
      <c r="T25" s="25"/>
      <c r="U25" s="25"/>
      <c r="V25" s="25"/>
    </row>
    <row r="26" spans="1:22" x14ac:dyDescent="0.2">
      <c r="A26" s="774"/>
      <c r="B26" s="4"/>
      <c r="C26" s="23"/>
      <c r="D26" s="23"/>
      <c r="E26" s="23"/>
      <c r="F26" s="23"/>
      <c r="G26" s="23"/>
      <c r="H26" s="23"/>
      <c r="I26" s="23"/>
      <c r="J26" s="23"/>
      <c r="K26" s="23"/>
      <c r="L26" s="23"/>
      <c r="M26" s="23"/>
      <c r="N26" s="23"/>
      <c r="O26" s="23"/>
      <c r="P26" s="25"/>
      <c r="Q26" s="23"/>
      <c r="R26" s="23"/>
      <c r="S26" s="23"/>
      <c r="T26" s="25"/>
      <c r="U26" s="25"/>
      <c r="V26" s="25"/>
    </row>
    <row r="27" spans="1:22" x14ac:dyDescent="0.2">
      <c r="A27" s="774"/>
      <c r="B27" s="4"/>
      <c r="C27" s="23"/>
      <c r="D27" s="23"/>
      <c r="E27" s="23"/>
      <c r="F27" s="23"/>
      <c r="G27" s="23"/>
      <c r="H27" s="23"/>
      <c r="I27" s="23"/>
      <c r="J27" s="23"/>
      <c r="K27" s="23"/>
      <c r="L27" s="23"/>
      <c r="M27" s="23"/>
      <c r="N27" s="23"/>
      <c r="O27" s="23"/>
      <c r="P27" s="25"/>
      <c r="Q27" s="23"/>
      <c r="R27" s="23"/>
      <c r="S27" s="23"/>
      <c r="T27" s="25"/>
      <c r="U27" s="25"/>
      <c r="V27" s="25"/>
    </row>
    <row r="28" spans="1:22" x14ac:dyDescent="0.2">
      <c r="A28" s="774"/>
      <c r="B28" s="4"/>
      <c r="C28" s="23"/>
      <c r="D28" s="23"/>
      <c r="E28" s="23"/>
      <c r="F28" s="23"/>
      <c r="G28" s="23"/>
      <c r="H28" s="23"/>
      <c r="I28" s="23"/>
      <c r="J28" s="23"/>
      <c r="K28" s="23"/>
      <c r="L28" s="23"/>
      <c r="M28" s="23"/>
      <c r="N28" s="23"/>
      <c r="O28" s="23"/>
      <c r="P28" s="25"/>
      <c r="Q28" s="23"/>
      <c r="R28" s="23"/>
      <c r="S28" s="23"/>
      <c r="T28" s="25"/>
      <c r="U28" s="25"/>
      <c r="V28" s="25"/>
    </row>
    <row r="29" spans="1:22" x14ac:dyDescent="0.2">
      <c r="A29" s="774"/>
      <c r="B29" s="4"/>
      <c r="C29" s="23"/>
      <c r="D29" s="23"/>
      <c r="E29" s="23"/>
      <c r="F29" s="23"/>
      <c r="G29" s="23"/>
      <c r="H29" s="23"/>
      <c r="I29" s="23"/>
      <c r="J29" s="23"/>
      <c r="K29" s="23"/>
      <c r="L29" s="23"/>
      <c r="M29" s="23"/>
      <c r="N29" s="23"/>
      <c r="O29" s="23"/>
      <c r="P29" s="25"/>
      <c r="Q29" s="23"/>
      <c r="R29" s="23"/>
      <c r="S29" s="23"/>
      <c r="T29" s="25"/>
      <c r="U29" s="25"/>
      <c r="V29" s="25"/>
    </row>
    <row r="30" spans="1:22" x14ac:dyDescent="0.2">
      <c r="A30" s="774"/>
      <c r="B30" s="4"/>
      <c r="C30" s="23"/>
      <c r="D30" s="23"/>
      <c r="E30" s="23"/>
      <c r="F30" s="23"/>
      <c r="G30" s="23"/>
      <c r="H30" s="23"/>
      <c r="I30" s="23"/>
      <c r="J30" s="23"/>
      <c r="K30" s="23"/>
      <c r="L30" s="23"/>
      <c r="M30" s="23"/>
      <c r="N30" s="23"/>
      <c r="O30" s="23"/>
      <c r="P30" s="25"/>
      <c r="Q30" s="23"/>
      <c r="R30" s="23"/>
      <c r="S30" s="23"/>
      <c r="T30" s="25"/>
      <c r="U30" s="25"/>
      <c r="V30" s="25"/>
    </row>
    <row r="31" spans="1:22" x14ac:dyDescent="0.2">
      <c r="A31" s="774"/>
      <c r="B31" s="4"/>
      <c r="C31" s="23"/>
      <c r="D31" s="23"/>
      <c r="E31" s="23"/>
      <c r="F31" s="23"/>
      <c r="G31" s="23"/>
      <c r="H31" s="23"/>
      <c r="I31" s="23"/>
      <c r="J31" s="23"/>
      <c r="K31" s="23"/>
      <c r="L31" s="23"/>
      <c r="M31" s="23"/>
      <c r="N31" s="23"/>
      <c r="O31" s="23"/>
      <c r="P31" s="25"/>
      <c r="Q31" s="23"/>
      <c r="R31" s="23"/>
      <c r="S31" s="23"/>
      <c r="T31" s="25"/>
      <c r="U31" s="25"/>
      <c r="V31" s="25"/>
    </row>
    <row r="32" spans="1:22" x14ac:dyDescent="0.2">
      <c r="A32" s="774"/>
      <c r="B32" s="4"/>
      <c r="C32" s="23"/>
      <c r="D32" s="23"/>
      <c r="E32" s="23"/>
      <c r="F32" s="23"/>
      <c r="G32" s="23"/>
      <c r="H32" s="23"/>
      <c r="I32" s="23"/>
      <c r="J32" s="23"/>
      <c r="K32" s="23"/>
      <c r="L32" s="23"/>
      <c r="M32" s="23"/>
      <c r="N32" s="23"/>
      <c r="O32" s="23"/>
      <c r="P32" s="25"/>
      <c r="Q32" s="23"/>
      <c r="R32" s="23"/>
      <c r="S32" s="23"/>
      <c r="T32" s="25"/>
      <c r="U32" s="25"/>
      <c r="V32" s="25"/>
    </row>
    <row r="33" spans="1:22" x14ac:dyDescent="0.2">
      <c r="A33" s="774"/>
      <c r="B33" s="4"/>
      <c r="C33" s="23"/>
      <c r="D33" s="23"/>
      <c r="E33" s="23"/>
      <c r="F33" s="23"/>
      <c r="G33" s="23"/>
      <c r="H33" s="23"/>
      <c r="I33" s="23"/>
      <c r="J33" s="23"/>
      <c r="K33" s="23"/>
      <c r="L33" s="23"/>
      <c r="M33" s="23"/>
      <c r="N33" s="23"/>
      <c r="O33" s="23"/>
      <c r="P33" s="25"/>
      <c r="Q33" s="23"/>
      <c r="R33" s="23"/>
      <c r="S33" s="23"/>
      <c r="T33" s="25"/>
      <c r="U33" s="25"/>
      <c r="V33" s="25"/>
    </row>
    <row r="34" spans="1:22" x14ac:dyDescent="0.2">
      <c r="A34" s="774"/>
      <c r="B34" s="4"/>
      <c r="C34" s="23"/>
      <c r="D34" s="23"/>
      <c r="E34" s="23"/>
      <c r="F34" s="23"/>
      <c r="G34" s="23"/>
      <c r="H34" s="23"/>
      <c r="I34" s="23"/>
      <c r="J34" s="23"/>
      <c r="K34" s="23"/>
      <c r="L34" s="23"/>
      <c r="M34" s="23"/>
      <c r="N34" s="23"/>
      <c r="O34" s="23"/>
      <c r="P34" s="25"/>
      <c r="Q34" s="23"/>
      <c r="R34" s="23"/>
      <c r="S34" s="23"/>
      <c r="T34" s="25"/>
      <c r="U34" s="25"/>
      <c r="V34" s="25"/>
    </row>
    <row r="35" spans="1:22" x14ac:dyDescent="0.2">
      <c r="A35" s="774"/>
      <c r="B35" s="4"/>
      <c r="C35" s="23"/>
      <c r="D35" s="23"/>
      <c r="E35" s="23"/>
      <c r="F35" s="23"/>
      <c r="G35" s="23"/>
      <c r="H35" s="23"/>
      <c r="I35" s="23"/>
      <c r="J35" s="23"/>
      <c r="K35" s="23"/>
      <c r="L35" s="23"/>
      <c r="M35" s="23"/>
      <c r="N35" s="23"/>
      <c r="O35" s="23"/>
      <c r="P35" s="25"/>
      <c r="Q35" s="23"/>
      <c r="R35" s="23"/>
      <c r="S35" s="23"/>
      <c r="T35" s="25"/>
      <c r="U35" s="25"/>
      <c r="V35" s="25"/>
    </row>
    <row r="36" spans="1:22" x14ac:dyDescent="0.2">
      <c r="A36" s="774"/>
      <c r="B36" s="4"/>
      <c r="C36" s="23"/>
      <c r="D36" s="23"/>
      <c r="E36" s="23"/>
      <c r="F36" s="23"/>
      <c r="G36" s="23"/>
      <c r="H36" s="23"/>
      <c r="I36" s="23"/>
      <c r="J36" s="23"/>
      <c r="K36" s="23"/>
      <c r="L36" s="23"/>
      <c r="M36" s="23"/>
      <c r="N36" s="23"/>
      <c r="O36" s="23"/>
      <c r="P36" s="25"/>
      <c r="Q36" s="23"/>
      <c r="R36" s="23"/>
      <c r="S36" s="23"/>
      <c r="T36" s="25"/>
      <c r="U36" s="25"/>
      <c r="V36" s="25"/>
    </row>
    <row r="37" spans="1:22" x14ac:dyDescent="0.2">
      <c r="A37" s="774"/>
      <c r="B37" s="4"/>
      <c r="C37" s="23"/>
      <c r="D37" s="23"/>
      <c r="E37" s="23"/>
      <c r="F37" s="23"/>
      <c r="G37" s="23"/>
      <c r="H37" s="23"/>
      <c r="I37" s="23"/>
      <c r="J37" s="23"/>
      <c r="K37" s="23"/>
      <c r="L37" s="23"/>
      <c r="M37" s="23"/>
      <c r="N37" s="23"/>
      <c r="O37" s="23"/>
      <c r="P37" s="25"/>
      <c r="Q37" s="23"/>
      <c r="R37" s="23"/>
      <c r="S37" s="23"/>
      <c r="T37" s="25"/>
      <c r="U37" s="25"/>
      <c r="V37" s="25"/>
    </row>
    <row r="38" spans="1:22" x14ac:dyDescent="0.2">
      <c r="A38" s="774"/>
      <c r="B38" s="4"/>
      <c r="C38" s="23"/>
      <c r="D38" s="23"/>
      <c r="E38" s="23"/>
      <c r="F38" s="23"/>
      <c r="G38" s="23"/>
      <c r="H38" s="23"/>
      <c r="I38" s="23"/>
      <c r="J38" s="23"/>
      <c r="K38" s="23"/>
      <c r="L38" s="23"/>
      <c r="M38" s="23"/>
      <c r="N38" s="23"/>
      <c r="O38" s="23"/>
      <c r="P38" s="25"/>
      <c r="Q38" s="23"/>
      <c r="R38" s="23"/>
      <c r="S38" s="23"/>
      <c r="T38" s="25"/>
      <c r="U38" s="25"/>
      <c r="V38" s="25"/>
    </row>
    <row r="39" spans="1:22" x14ac:dyDescent="0.2">
      <c r="A39" s="774"/>
      <c r="B39" s="4"/>
      <c r="C39" s="23"/>
      <c r="D39" s="23"/>
      <c r="E39" s="23"/>
      <c r="F39" s="23"/>
      <c r="G39" s="23"/>
      <c r="H39" s="23"/>
      <c r="I39" s="23"/>
      <c r="J39" s="23"/>
      <c r="K39" s="23"/>
      <c r="L39" s="23"/>
      <c r="M39" s="23"/>
      <c r="N39" s="23"/>
      <c r="O39" s="23"/>
      <c r="P39" s="25"/>
      <c r="Q39" s="23"/>
      <c r="R39" s="23"/>
      <c r="S39" s="23"/>
      <c r="T39" s="25"/>
      <c r="U39" s="25"/>
      <c r="V39" s="25"/>
    </row>
    <row r="40" spans="1:22" x14ac:dyDescent="0.2">
      <c r="A40" s="774"/>
      <c r="B40" s="4"/>
      <c r="C40" s="23"/>
      <c r="D40" s="23"/>
      <c r="E40" s="23"/>
      <c r="F40" s="23"/>
      <c r="G40" s="23"/>
      <c r="H40" s="23"/>
      <c r="I40" s="23"/>
      <c r="J40" s="23"/>
      <c r="K40" s="23"/>
      <c r="L40" s="23"/>
      <c r="M40" s="23"/>
      <c r="N40" s="23"/>
      <c r="O40" s="23"/>
      <c r="P40" s="25"/>
      <c r="Q40" s="23"/>
      <c r="R40" s="23"/>
      <c r="S40" s="23"/>
      <c r="T40" s="25"/>
      <c r="U40" s="25"/>
      <c r="V40" s="25"/>
    </row>
    <row r="41" spans="1:22" x14ac:dyDescent="0.2">
      <c r="A41" s="774"/>
      <c r="B41" s="4"/>
      <c r="C41" s="23"/>
      <c r="D41" s="23"/>
      <c r="E41" s="23"/>
      <c r="F41" s="23"/>
      <c r="G41" s="23"/>
      <c r="H41" s="23"/>
      <c r="I41" s="23"/>
      <c r="J41" s="23"/>
      <c r="K41" s="23"/>
      <c r="L41" s="23"/>
      <c r="M41" s="23"/>
      <c r="N41" s="23"/>
      <c r="O41" s="23"/>
      <c r="P41" s="25"/>
      <c r="Q41" s="23"/>
      <c r="R41" s="23"/>
      <c r="S41" s="23"/>
      <c r="T41" s="25"/>
      <c r="U41" s="25"/>
      <c r="V41" s="25"/>
    </row>
    <row r="42" spans="1:22" x14ac:dyDescent="0.2">
      <c r="A42" s="774"/>
      <c r="B42" s="4"/>
      <c r="C42" s="23"/>
      <c r="D42" s="23"/>
      <c r="E42" s="23"/>
      <c r="F42" s="23"/>
      <c r="G42" s="23"/>
      <c r="H42" s="23"/>
      <c r="I42" s="23"/>
      <c r="J42" s="23"/>
      <c r="K42" s="23"/>
      <c r="L42" s="23"/>
      <c r="M42" s="23"/>
      <c r="N42" s="23"/>
      <c r="O42" s="23"/>
      <c r="P42" s="25"/>
      <c r="Q42" s="23"/>
      <c r="R42" s="23"/>
      <c r="S42" s="23"/>
      <c r="T42" s="25"/>
      <c r="U42" s="25"/>
      <c r="V42" s="25"/>
    </row>
    <row r="43" spans="1:22" x14ac:dyDescent="0.2">
      <c r="A43" s="774"/>
      <c r="B43" s="4"/>
      <c r="C43" s="23"/>
      <c r="D43" s="23"/>
      <c r="E43" s="23"/>
      <c r="F43" s="23"/>
      <c r="G43" s="23"/>
      <c r="H43" s="23"/>
      <c r="I43" s="23"/>
      <c r="J43" s="23"/>
      <c r="K43" s="23"/>
      <c r="L43" s="23"/>
      <c r="M43" s="23"/>
      <c r="N43" s="23"/>
      <c r="O43" s="23"/>
      <c r="P43" s="25"/>
      <c r="Q43" s="23"/>
      <c r="R43" s="23"/>
      <c r="S43" s="23"/>
      <c r="T43" s="25"/>
      <c r="U43" s="25"/>
      <c r="V43" s="25"/>
    </row>
    <row r="44" spans="1:22" x14ac:dyDescent="0.2">
      <c r="A44" s="774"/>
      <c r="B44" s="4"/>
      <c r="C44" s="23"/>
      <c r="D44" s="23"/>
      <c r="E44" s="23"/>
      <c r="F44" s="23"/>
      <c r="G44" s="23"/>
      <c r="H44" s="23"/>
      <c r="I44" s="23"/>
      <c r="J44" s="23"/>
      <c r="K44" s="23"/>
      <c r="L44" s="23"/>
      <c r="M44" s="23"/>
      <c r="N44" s="23"/>
      <c r="O44" s="23"/>
      <c r="P44" s="25"/>
      <c r="Q44" s="23"/>
      <c r="R44" s="23"/>
      <c r="S44" s="23"/>
      <c r="T44" s="25"/>
      <c r="U44" s="25"/>
      <c r="V44" s="25"/>
    </row>
    <row r="45" spans="1:22" x14ac:dyDescent="0.2">
      <c r="A45" s="774"/>
      <c r="B45" s="4"/>
      <c r="C45" s="23"/>
      <c r="D45" s="23"/>
      <c r="E45" s="23"/>
      <c r="F45" s="23"/>
      <c r="G45" s="23"/>
      <c r="H45" s="23"/>
      <c r="I45" s="23"/>
      <c r="J45" s="23"/>
      <c r="K45" s="23"/>
      <c r="L45" s="23"/>
      <c r="M45" s="23"/>
      <c r="N45" s="23"/>
      <c r="O45" s="23"/>
      <c r="P45" s="25"/>
      <c r="Q45" s="23"/>
      <c r="R45" s="23"/>
      <c r="S45" s="23"/>
      <c r="T45" s="25"/>
      <c r="U45" s="25"/>
      <c r="V45" s="25"/>
    </row>
    <row r="46" spans="1:22" x14ac:dyDescent="0.2">
      <c r="A46" s="774"/>
      <c r="B46" s="4"/>
      <c r="C46" s="23"/>
      <c r="D46" s="23"/>
      <c r="E46" s="23"/>
      <c r="F46" s="23"/>
      <c r="G46" s="23"/>
      <c r="H46" s="23"/>
      <c r="I46" s="23"/>
      <c r="J46" s="23"/>
      <c r="K46" s="23"/>
      <c r="L46" s="23"/>
      <c r="M46" s="23"/>
      <c r="N46" s="23"/>
      <c r="O46" s="23"/>
      <c r="P46" s="25"/>
      <c r="Q46" s="23"/>
      <c r="R46" s="23"/>
      <c r="S46" s="23"/>
      <c r="T46" s="25"/>
      <c r="U46" s="25"/>
      <c r="V46" s="25"/>
    </row>
    <row r="47" spans="1:22" x14ac:dyDescent="0.2">
      <c r="A47" s="774"/>
      <c r="B47" s="4"/>
      <c r="C47" s="23"/>
      <c r="D47" s="23"/>
      <c r="E47" s="23"/>
      <c r="F47" s="23"/>
      <c r="G47" s="23"/>
      <c r="H47" s="23"/>
      <c r="I47" s="23"/>
      <c r="J47" s="23"/>
      <c r="K47" s="23"/>
      <c r="L47" s="23"/>
      <c r="M47" s="23"/>
      <c r="N47" s="23"/>
      <c r="O47" s="23"/>
      <c r="P47" s="25"/>
      <c r="Q47" s="23"/>
      <c r="R47" s="23"/>
      <c r="S47" s="23"/>
      <c r="T47" s="25"/>
      <c r="U47" s="25"/>
      <c r="V47" s="25"/>
    </row>
    <row r="48" spans="1:22" x14ac:dyDescent="0.2">
      <c r="A48" s="774"/>
      <c r="B48" s="4"/>
      <c r="C48" s="23"/>
      <c r="D48" s="23"/>
      <c r="E48" s="23"/>
      <c r="F48" s="23"/>
      <c r="G48" s="23"/>
      <c r="H48" s="23"/>
      <c r="I48" s="23"/>
      <c r="J48" s="23"/>
      <c r="K48" s="23"/>
      <c r="L48" s="23"/>
      <c r="M48" s="23"/>
      <c r="N48" s="23"/>
      <c r="O48" s="23"/>
      <c r="P48" s="25"/>
      <c r="Q48" s="23"/>
      <c r="R48" s="23"/>
      <c r="S48" s="23"/>
      <c r="T48" s="25"/>
      <c r="U48" s="25"/>
      <c r="V48" s="25"/>
    </row>
    <row r="49" spans="1:22" x14ac:dyDescent="0.2">
      <c r="A49" s="774"/>
      <c r="B49" s="4"/>
      <c r="C49" s="23"/>
      <c r="D49" s="23"/>
      <c r="E49" s="23"/>
      <c r="F49" s="23"/>
      <c r="G49" s="23"/>
      <c r="H49" s="23"/>
      <c r="I49" s="23"/>
      <c r="J49" s="23"/>
      <c r="K49" s="23"/>
      <c r="L49" s="23"/>
      <c r="M49" s="23"/>
      <c r="N49" s="23"/>
      <c r="O49" s="23"/>
      <c r="P49" s="25"/>
      <c r="Q49" s="23"/>
      <c r="R49" s="23"/>
      <c r="S49" s="23"/>
      <c r="T49" s="25"/>
      <c r="U49" s="25"/>
      <c r="V49" s="25"/>
    </row>
    <row r="50" spans="1:22" x14ac:dyDescent="0.2">
      <c r="A50" s="774"/>
      <c r="B50" s="4"/>
      <c r="C50" s="23"/>
      <c r="D50" s="23"/>
      <c r="E50" s="23"/>
      <c r="F50" s="23"/>
      <c r="G50" s="23"/>
      <c r="H50" s="23"/>
      <c r="I50" s="23"/>
      <c r="J50" s="23"/>
      <c r="K50" s="23"/>
      <c r="L50" s="23"/>
      <c r="M50" s="23"/>
      <c r="N50" s="23"/>
      <c r="O50" s="23"/>
      <c r="P50" s="25"/>
      <c r="Q50" s="23"/>
      <c r="R50" s="23"/>
      <c r="S50" s="23"/>
      <c r="T50" s="25"/>
      <c r="U50" s="25"/>
      <c r="V50" s="25"/>
    </row>
    <row r="51" spans="1:22" x14ac:dyDescent="0.2">
      <c r="A51" s="774"/>
      <c r="B51" s="4"/>
      <c r="C51" s="23"/>
      <c r="D51" s="23"/>
      <c r="E51" s="23"/>
      <c r="F51" s="23"/>
      <c r="G51" s="23"/>
      <c r="H51" s="23"/>
      <c r="I51" s="23"/>
      <c r="J51" s="23"/>
      <c r="K51" s="23"/>
      <c r="L51" s="23"/>
      <c r="M51" s="23"/>
      <c r="N51" s="23"/>
      <c r="O51" s="23"/>
      <c r="P51" s="25"/>
      <c r="Q51" s="23"/>
      <c r="R51" s="23"/>
      <c r="S51" s="23"/>
      <c r="T51" s="25"/>
      <c r="U51" s="25"/>
      <c r="V51" s="25"/>
    </row>
    <row r="52" spans="1:22" x14ac:dyDescent="0.2">
      <c r="A52" s="774"/>
      <c r="B52" s="4"/>
      <c r="C52" s="23"/>
      <c r="D52" s="23"/>
      <c r="E52" s="23"/>
      <c r="F52" s="23"/>
      <c r="G52" s="23"/>
      <c r="H52" s="23"/>
      <c r="I52" s="23"/>
      <c r="J52" s="23"/>
      <c r="K52" s="23"/>
      <c r="L52" s="23"/>
      <c r="M52" s="23"/>
      <c r="N52" s="23"/>
      <c r="O52" s="23"/>
      <c r="P52" s="25"/>
      <c r="Q52" s="23"/>
      <c r="R52" s="23"/>
      <c r="S52" s="23"/>
      <c r="T52" s="25"/>
      <c r="U52" s="25"/>
      <c r="V52" s="25"/>
    </row>
    <row r="53" spans="1:22" x14ac:dyDescent="0.2">
      <c r="A53" s="774"/>
      <c r="B53" s="4"/>
      <c r="C53" s="23"/>
      <c r="D53" s="23"/>
      <c r="E53" s="23"/>
      <c r="F53" s="23"/>
      <c r="G53" s="23"/>
      <c r="H53" s="23"/>
      <c r="I53" s="23"/>
      <c r="J53" s="23"/>
      <c r="K53" s="23"/>
      <c r="L53" s="23"/>
      <c r="M53" s="23"/>
      <c r="N53" s="23"/>
      <c r="O53" s="23"/>
      <c r="P53" s="25"/>
      <c r="Q53" s="23"/>
      <c r="R53" s="23"/>
      <c r="S53" s="23"/>
      <c r="T53" s="25"/>
      <c r="U53" s="25"/>
      <c r="V53" s="25"/>
    </row>
    <row r="54" spans="1:22" x14ac:dyDescent="0.2">
      <c r="A54" s="774"/>
      <c r="B54" s="4"/>
      <c r="C54" s="23"/>
      <c r="D54" s="23"/>
      <c r="E54" s="23"/>
      <c r="F54" s="23"/>
      <c r="G54" s="23"/>
      <c r="H54" s="23"/>
      <c r="I54" s="23"/>
      <c r="J54" s="23"/>
      <c r="K54" s="23"/>
      <c r="L54" s="23"/>
      <c r="M54" s="23"/>
      <c r="N54" s="23"/>
      <c r="O54" s="23"/>
      <c r="P54" s="25"/>
      <c r="Q54" s="23"/>
      <c r="R54" s="23"/>
      <c r="S54" s="23"/>
      <c r="T54" s="25"/>
      <c r="U54" s="25"/>
      <c r="V54" s="25"/>
    </row>
    <row r="55" spans="1:22" x14ac:dyDescent="0.2">
      <c r="A55" s="774"/>
      <c r="B55" s="4"/>
      <c r="C55" s="23"/>
      <c r="D55" s="23"/>
      <c r="E55" s="23"/>
      <c r="F55" s="23"/>
      <c r="G55" s="23"/>
      <c r="H55" s="23"/>
      <c r="I55" s="23"/>
      <c r="J55" s="23"/>
      <c r="K55" s="23"/>
      <c r="L55" s="23"/>
      <c r="M55" s="23"/>
      <c r="N55" s="23"/>
      <c r="O55" s="23"/>
      <c r="P55" s="25"/>
      <c r="Q55" s="23"/>
      <c r="R55" s="23"/>
      <c r="S55" s="23"/>
      <c r="T55" s="25"/>
      <c r="U55" s="25"/>
      <c r="V55" s="25"/>
    </row>
    <row r="56" spans="1:22" x14ac:dyDescent="0.2">
      <c r="A56" s="774"/>
      <c r="B56" s="4"/>
      <c r="C56" s="23"/>
      <c r="D56" s="23"/>
      <c r="E56" s="23"/>
      <c r="F56" s="23"/>
      <c r="G56" s="23"/>
      <c r="H56" s="23"/>
      <c r="I56" s="23"/>
      <c r="J56" s="23"/>
      <c r="K56" s="23"/>
      <c r="L56" s="23"/>
      <c r="M56" s="23"/>
      <c r="N56" s="23"/>
      <c r="O56" s="23"/>
      <c r="P56" s="25"/>
      <c r="Q56" s="23"/>
      <c r="R56" s="23"/>
      <c r="S56" s="23"/>
      <c r="T56" s="25"/>
      <c r="U56" s="25"/>
      <c r="V56" s="25"/>
    </row>
    <row r="57" spans="1:22" x14ac:dyDescent="0.2">
      <c r="A57" s="774"/>
      <c r="B57" s="4"/>
      <c r="C57" s="23"/>
      <c r="D57" s="23"/>
      <c r="E57" s="23"/>
      <c r="F57" s="23"/>
      <c r="G57" s="23"/>
      <c r="H57" s="23"/>
      <c r="I57" s="23"/>
      <c r="J57" s="23"/>
      <c r="K57" s="23"/>
      <c r="L57" s="23"/>
      <c r="M57" s="23"/>
      <c r="N57" s="23"/>
      <c r="O57" s="23"/>
      <c r="P57" s="25"/>
      <c r="Q57" s="23"/>
      <c r="R57" s="23"/>
      <c r="S57" s="23"/>
      <c r="T57" s="25"/>
      <c r="U57" s="25"/>
      <c r="V57" s="25"/>
    </row>
    <row r="58" spans="1:22" x14ac:dyDescent="0.2">
      <c r="A58" s="774"/>
      <c r="B58" s="4"/>
      <c r="C58" s="23"/>
      <c r="D58" s="23"/>
      <c r="E58" s="23"/>
      <c r="F58" s="23"/>
      <c r="G58" s="23"/>
      <c r="H58" s="23"/>
      <c r="I58" s="23"/>
      <c r="J58" s="23"/>
      <c r="K58" s="23"/>
      <c r="L58" s="23"/>
      <c r="M58" s="23"/>
      <c r="N58" s="23"/>
      <c r="O58" s="23"/>
      <c r="P58" s="25"/>
      <c r="Q58" s="23"/>
      <c r="R58" s="23"/>
      <c r="S58" s="23"/>
      <c r="T58" s="25"/>
      <c r="U58" s="25"/>
      <c r="V58" s="25"/>
    </row>
    <row r="59" spans="1:22" x14ac:dyDescent="0.2">
      <c r="A59" s="774"/>
      <c r="B59" s="4"/>
      <c r="C59" s="23"/>
      <c r="D59" s="23"/>
      <c r="E59" s="23"/>
      <c r="F59" s="23"/>
      <c r="G59" s="23"/>
      <c r="H59" s="23"/>
      <c r="I59" s="23"/>
      <c r="J59" s="23"/>
      <c r="K59" s="23"/>
      <c r="L59" s="23"/>
      <c r="M59" s="23"/>
      <c r="N59" s="23"/>
      <c r="O59" s="23"/>
      <c r="P59" s="25"/>
      <c r="Q59" s="23"/>
      <c r="R59" s="23"/>
      <c r="S59" s="23"/>
      <c r="T59" s="25"/>
      <c r="U59" s="25"/>
      <c r="V59" s="25"/>
    </row>
    <row r="60" spans="1:22" x14ac:dyDescent="0.2">
      <c r="A60" s="774"/>
      <c r="B60" s="4"/>
      <c r="C60" s="23"/>
      <c r="D60" s="23"/>
      <c r="E60" s="23"/>
      <c r="F60" s="23"/>
      <c r="G60" s="23"/>
      <c r="H60" s="23"/>
      <c r="I60" s="23"/>
      <c r="J60" s="23"/>
      <c r="K60" s="23"/>
      <c r="L60" s="23"/>
      <c r="M60" s="23"/>
      <c r="N60" s="23"/>
      <c r="O60" s="23"/>
      <c r="P60" s="25"/>
      <c r="Q60" s="23"/>
      <c r="R60" s="23"/>
      <c r="S60" s="23"/>
      <c r="T60" s="25"/>
      <c r="U60" s="25"/>
      <c r="V60" s="25"/>
    </row>
    <row r="61" spans="1:22" x14ac:dyDescent="0.2">
      <c r="A61" s="774"/>
      <c r="B61" s="4"/>
      <c r="C61" s="23"/>
      <c r="D61" s="23"/>
      <c r="E61" s="23"/>
      <c r="F61" s="23"/>
      <c r="G61" s="23"/>
      <c r="H61" s="23"/>
      <c r="I61" s="23"/>
      <c r="J61" s="23"/>
      <c r="K61" s="23"/>
      <c r="L61" s="23"/>
      <c r="M61" s="23"/>
      <c r="N61" s="23"/>
      <c r="O61" s="23"/>
      <c r="P61" s="25"/>
      <c r="Q61" s="23"/>
      <c r="R61" s="23"/>
      <c r="S61" s="23"/>
      <c r="T61" s="25"/>
      <c r="U61" s="25"/>
      <c r="V61" s="25"/>
    </row>
    <row r="62" spans="1:22" x14ac:dyDescent="0.2">
      <c r="A62" s="774"/>
      <c r="B62" s="4"/>
      <c r="C62" s="23"/>
      <c r="D62" s="23"/>
      <c r="E62" s="23"/>
      <c r="F62" s="23"/>
      <c r="G62" s="23"/>
      <c r="H62" s="23"/>
      <c r="I62" s="23"/>
      <c r="J62" s="23"/>
      <c r="K62" s="23"/>
      <c r="L62" s="23"/>
      <c r="M62" s="23"/>
      <c r="N62" s="23"/>
      <c r="O62" s="23"/>
      <c r="P62" s="25"/>
      <c r="Q62" s="23"/>
      <c r="R62" s="23"/>
      <c r="S62" s="23"/>
      <c r="T62" s="25"/>
      <c r="U62" s="25"/>
      <c r="V62" s="25"/>
    </row>
    <row r="63" spans="1:22" x14ac:dyDescent="0.2">
      <c r="A63" s="774"/>
      <c r="B63" s="4"/>
      <c r="C63" s="23"/>
      <c r="D63" s="23"/>
      <c r="E63" s="23"/>
      <c r="F63" s="23"/>
      <c r="G63" s="23"/>
      <c r="H63" s="23"/>
      <c r="I63" s="23"/>
      <c r="J63" s="23"/>
      <c r="K63" s="23"/>
      <c r="L63" s="23"/>
      <c r="M63" s="23"/>
      <c r="N63" s="23"/>
      <c r="O63" s="23"/>
      <c r="P63" s="25"/>
      <c r="Q63" s="23"/>
      <c r="R63" s="23"/>
      <c r="S63" s="23"/>
      <c r="T63" s="25"/>
      <c r="U63" s="25"/>
      <c r="V63" s="25"/>
    </row>
    <row r="64" spans="1:22" x14ac:dyDescent="0.2">
      <c r="A64" s="774"/>
      <c r="B64" s="4"/>
      <c r="C64" s="23"/>
      <c r="D64" s="23"/>
      <c r="E64" s="23"/>
      <c r="F64" s="23"/>
      <c r="G64" s="23"/>
      <c r="H64" s="23"/>
      <c r="I64" s="23"/>
      <c r="J64" s="23"/>
      <c r="K64" s="23"/>
      <c r="L64" s="23"/>
      <c r="M64" s="23"/>
      <c r="N64" s="23"/>
      <c r="O64" s="23"/>
      <c r="P64" s="25"/>
      <c r="Q64" s="23"/>
      <c r="R64" s="23"/>
      <c r="S64" s="23"/>
      <c r="T64" s="25"/>
      <c r="U64" s="25"/>
      <c r="V64" s="25"/>
    </row>
    <row r="65" spans="1:22" x14ac:dyDescent="0.2">
      <c r="A65" s="774"/>
      <c r="B65" s="4"/>
      <c r="C65" s="23"/>
      <c r="D65" s="23"/>
      <c r="E65" s="23"/>
      <c r="F65" s="23"/>
      <c r="G65" s="23"/>
      <c r="H65" s="23"/>
      <c r="I65" s="23"/>
      <c r="J65" s="23"/>
      <c r="K65" s="23"/>
      <c r="L65" s="23"/>
      <c r="M65" s="23"/>
      <c r="N65" s="23"/>
      <c r="O65" s="23"/>
      <c r="P65" s="25"/>
      <c r="Q65" s="23"/>
      <c r="R65" s="23"/>
      <c r="S65" s="23"/>
      <c r="T65" s="25"/>
      <c r="U65" s="25"/>
      <c r="V65" s="25"/>
    </row>
    <row r="66" spans="1:22" x14ac:dyDescent="0.2">
      <c r="A66" s="774"/>
      <c r="B66" s="4"/>
      <c r="C66" s="23"/>
      <c r="D66" s="23"/>
      <c r="E66" s="23"/>
      <c r="F66" s="23"/>
      <c r="G66" s="23"/>
      <c r="H66" s="23"/>
      <c r="I66" s="23"/>
      <c r="J66" s="23"/>
      <c r="K66" s="23"/>
      <c r="L66" s="23"/>
      <c r="M66" s="23"/>
      <c r="N66" s="23"/>
      <c r="O66" s="23"/>
      <c r="P66" s="4"/>
      <c r="Q66" s="23"/>
      <c r="R66" s="23"/>
      <c r="S66" s="23"/>
      <c r="T66" s="4"/>
      <c r="U66" s="4"/>
      <c r="V66" s="4"/>
    </row>
    <row r="67" spans="1:22" x14ac:dyDescent="0.2">
      <c r="A67" s="774"/>
      <c r="B67" s="4"/>
      <c r="C67" s="23"/>
      <c r="D67" s="23"/>
      <c r="E67" s="23"/>
      <c r="F67" s="23"/>
      <c r="G67" s="23"/>
      <c r="H67" s="23"/>
      <c r="I67" s="23"/>
      <c r="J67" s="23"/>
      <c r="K67" s="23"/>
      <c r="L67" s="23"/>
      <c r="M67" s="23"/>
      <c r="N67" s="23"/>
      <c r="O67" s="23"/>
      <c r="P67" s="4"/>
      <c r="Q67" s="23"/>
      <c r="R67" s="23"/>
      <c r="S67" s="23"/>
      <c r="T67" s="4"/>
      <c r="U67" s="4"/>
      <c r="V67" s="4"/>
    </row>
    <row r="68" spans="1:22" x14ac:dyDescent="0.2">
      <c r="A68" s="774"/>
      <c r="B68" s="4"/>
      <c r="C68" s="23"/>
      <c r="D68" s="23"/>
      <c r="E68" s="23"/>
      <c r="F68" s="23"/>
      <c r="G68" s="23"/>
      <c r="H68" s="23"/>
      <c r="I68" s="23"/>
      <c r="J68" s="23"/>
      <c r="K68" s="23"/>
      <c r="L68" s="23"/>
      <c r="M68" s="23"/>
      <c r="N68" s="23"/>
      <c r="O68" s="23"/>
      <c r="P68" s="4"/>
      <c r="Q68" s="23"/>
      <c r="R68" s="23"/>
      <c r="S68" s="23"/>
      <c r="T68" s="4"/>
      <c r="U68" s="4"/>
      <c r="V68" s="4"/>
    </row>
    <row r="69" spans="1:22" x14ac:dyDescent="0.2">
      <c r="A69" s="774"/>
      <c r="B69" s="4"/>
      <c r="C69" s="23"/>
      <c r="D69" s="23"/>
      <c r="E69" s="23"/>
      <c r="F69" s="23"/>
      <c r="G69" s="23"/>
      <c r="H69" s="23"/>
      <c r="I69" s="23"/>
      <c r="J69" s="23"/>
      <c r="K69" s="23"/>
      <c r="L69" s="23"/>
      <c r="M69" s="23"/>
      <c r="N69" s="23"/>
      <c r="O69" s="23"/>
      <c r="P69" s="4"/>
      <c r="Q69" s="23"/>
      <c r="R69" s="23"/>
      <c r="S69" s="23"/>
      <c r="T69" s="4"/>
      <c r="U69" s="4"/>
      <c r="V69" s="4"/>
    </row>
    <row r="70" spans="1:22" x14ac:dyDescent="0.2">
      <c r="A70" s="774"/>
      <c r="B70" s="4"/>
      <c r="C70" s="23"/>
      <c r="D70" s="23"/>
      <c r="E70" s="23"/>
      <c r="F70" s="23"/>
      <c r="G70" s="23"/>
      <c r="H70" s="23"/>
      <c r="I70" s="23"/>
      <c r="J70" s="23"/>
      <c r="K70" s="23"/>
      <c r="L70" s="23"/>
      <c r="M70" s="23"/>
      <c r="N70" s="23"/>
      <c r="O70" s="23"/>
      <c r="P70" s="4"/>
      <c r="Q70" s="23"/>
      <c r="R70" s="23"/>
      <c r="S70" s="23"/>
      <c r="T70" s="4"/>
      <c r="U70" s="4"/>
      <c r="V70" s="4"/>
    </row>
    <row r="71" spans="1:22" x14ac:dyDescent="0.2">
      <c r="A71" s="774"/>
      <c r="B71" s="4"/>
      <c r="C71" s="23"/>
      <c r="D71" s="23"/>
      <c r="E71" s="23"/>
      <c r="F71" s="23"/>
      <c r="G71" s="23"/>
      <c r="H71" s="23"/>
      <c r="I71" s="23"/>
      <c r="J71" s="23"/>
      <c r="K71" s="23"/>
      <c r="L71" s="23"/>
      <c r="M71" s="23"/>
      <c r="N71" s="23"/>
      <c r="O71" s="23"/>
      <c r="P71" s="4"/>
      <c r="Q71" s="23"/>
      <c r="R71" s="23"/>
      <c r="S71" s="23"/>
      <c r="T71" s="4"/>
      <c r="U71" s="4"/>
      <c r="V71" s="4"/>
    </row>
    <row r="72" spans="1:22" x14ac:dyDescent="0.2">
      <c r="A72" s="774"/>
      <c r="B72" s="4"/>
      <c r="C72" s="23"/>
      <c r="D72" s="23"/>
      <c r="E72" s="23"/>
      <c r="F72" s="23"/>
      <c r="G72" s="23"/>
      <c r="H72" s="23"/>
      <c r="I72" s="23"/>
      <c r="J72" s="23"/>
      <c r="K72" s="23"/>
      <c r="L72" s="23"/>
      <c r="M72" s="23"/>
      <c r="N72" s="23"/>
      <c r="O72" s="23"/>
      <c r="P72" s="4"/>
      <c r="Q72" s="23"/>
      <c r="R72" s="23"/>
      <c r="S72" s="23"/>
      <c r="T72" s="4"/>
      <c r="U72" s="4"/>
      <c r="V72" s="4"/>
    </row>
    <row r="73" spans="1:22" x14ac:dyDescent="0.2">
      <c r="A73" s="774"/>
      <c r="B73" s="4"/>
      <c r="C73" s="23"/>
      <c r="D73" s="23"/>
      <c r="E73" s="23"/>
      <c r="F73" s="23"/>
      <c r="G73" s="23"/>
      <c r="H73" s="23"/>
      <c r="I73" s="23"/>
      <c r="J73" s="23"/>
      <c r="K73" s="23"/>
      <c r="L73" s="23"/>
      <c r="M73" s="23"/>
      <c r="N73" s="23"/>
      <c r="O73" s="23"/>
      <c r="P73" s="4"/>
      <c r="Q73" s="23"/>
      <c r="R73" s="23"/>
      <c r="S73" s="23"/>
      <c r="T73" s="4"/>
      <c r="U73" s="4"/>
      <c r="V73" s="4"/>
    </row>
    <row r="74" spans="1:22" x14ac:dyDescent="0.2">
      <c r="A74" s="774"/>
      <c r="B74" s="4"/>
      <c r="C74" s="23"/>
      <c r="D74" s="23"/>
      <c r="E74" s="23"/>
      <c r="F74" s="23"/>
      <c r="G74" s="23"/>
      <c r="H74" s="23"/>
      <c r="I74" s="23"/>
      <c r="J74" s="23"/>
      <c r="K74" s="23"/>
      <c r="L74" s="23"/>
      <c r="M74" s="23"/>
      <c r="N74" s="23"/>
      <c r="O74" s="23"/>
      <c r="P74" s="4"/>
      <c r="Q74" s="23"/>
      <c r="R74" s="23"/>
      <c r="S74" s="23"/>
      <c r="T74" s="4"/>
      <c r="U74" s="4"/>
      <c r="V74" s="4"/>
    </row>
    <row r="75" spans="1:22" x14ac:dyDescent="0.2">
      <c r="A75" s="774"/>
      <c r="B75" s="4"/>
      <c r="C75" s="23"/>
      <c r="D75" s="23"/>
      <c r="E75" s="23"/>
      <c r="F75" s="23"/>
      <c r="G75" s="23"/>
      <c r="H75" s="23"/>
      <c r="I75" s="23"/>
      <c r="J75" s="23"/>
      <c r="K75" s="23"/>
      <c r="L75" s="23"/>
      <c r="M75" s="23"/>
      <c r="N75" s="23"/>
      <c r="O75" s="23"/>
      <c r="P75" s="4"/>
      <c r="Q75" s="23"/>
      <c r="R75" s="23"/>
      <c r="S75" s="23"/>
      <c r="T75" s="4"/>
      <c r="U75" s="4"/>
      <c r="V75" s="4"/>
    </row>
    <row r="76" spans="1:22" x14ac:dyDescent="0.2">
      <c r="A76" s="774"/>
      <c r="B76" s="4"/>
      <c r="C76" s="23"/>
      <c r="D76" s="23"/>
      <c r="E76" s="23"/>
      <c r="F76" s="23"/>
      <c r="G76" s="23"/>
      <c r="H76" s="23"/>
      <c r="I76" s="23"/>
      <c r="J76" s="23"/>
      <c r="K76" s="23"/>
      <c r="L76" s="23"/>
      <c r="M76" s="23"/>
      <c r="N76" s="23"/>
      <c r="O76" s="23"/>
      <c r="P76" s="4"/>
      <c r="Q76" s="23"/>
      <c r="R76" s="23"/>
      <c r="S76" s="23"/>
      <c r="T76" s="4"/>
      <c r="U76" s="4"/>
      <c r="V76" s="4"/>
    </row>
    <row r="77" spans="1:22" x14ac:dyDescent="0.2">
      <c r="A77" s="774"/>
      <c r="B77" s="4"/>
      <c r="C77" s="23"/>
      <c r="D77" s="23"/>
      <c r="E77" s="23"/>
      <c r="F77" s="23"/>
      <c r="G77" s="23"/>
      <c r="H77" s="23"/>
      <c r="I77" s="23"/>
      <c r="J77" s="23"/>
      <c r="K77" s="23"/>
      <c r="L77" s="23"/>
      <c r="M77" s="23"/>
      <c r="N77" s="23"/>
      <c r="O77" s="23"/>
      <c r="P77" s="4"/>
      <c r="Q77" s="23"/>
      <c r="R77" s="23"/>
      <c r="S77" s="23"/>
      <c r="T77" s="4"/>
      <c r="U77" s="4"/>
      <c r="V77" s="4"/>
    </row>
    <row r="78" spans="1:22" x14ac:dyDescent="0.2">
      <c r="A78" s="774"/>
      <c r="B78" s="4"/>
      <c r="C78" s="23"/>
      <c r="D78" s="23"/>
      <c r="E78" s="23"/>
      <c r="F78" s="23"/>
      <c r="G78" s="23"/>
      <c r="H78" s="23"/>
      <c r="I78" s="23"/>
      <c r="J78" s="23"/>
      <c r="K78" s="23"/>
      <c r="L78" s="23"/>
      <c r="M78" s="23"/>
      <c r="N78" s="23"/>
      <c r="O78" s="23"/>
      <c r="P78" s="4"/>
      <c r="Q78" s="23"/>
      <c r="R78" s="23"/>
      <c r="S78" s="23"/>
      <c r="T78" s="4"/>
      <c r="U78" s="4"/>
      <c r="V78" s="4"/>
    </row>
    <row r="79" spans="1:22" x14ac:dyDescent="0.2">
      <c r="A79" s="774"/>
      <c r="B79" s="4"/>
      <c r="C79" s="23"/>
      <c r="D79" s="23"/>
      <c r="E79" s="23"/>
      <c r="F79" s="23"/>
      <c r="G79" s="23"/>
      <c r="H79" s="23"/>
      <c r="I79" s="23"/>
      <c r="J79" s="23"/>
      <c r="K79" s="23"/>
      <c r="L79" s="23"/>
      <c r="M79" s="23"/>
      <c r="N79" s="23"/>
      <c r="O79" s="23"/>
      <c r="P79" s="4"/>
      <c r="Q79" s="23"/>
      <c r="R79" s="23"/>
      <c r="S79" s="23"/>
      <c r="T79" s="4"/>
      <c r="U79" s="4"/>
      <c r="V79" s="4"/>
    </row>
    <row r="80" spans="1:22" x14ac:dyDescent="0.2">
      <c r="A80" s="774"/>
      <c r="B80" s="4"/>
      <c r="C80" s="23"/>
      <c r="D80" s="23"/>
      <c r="E80" s="23"/>
      <c r="F80" s="23"/>
      <c r="G80" s="23"/>
      <c r="H80" s="23"/>
      <c r="I80" s="23"/>
      <c r="J80" s="23"/>
      <c r="K80" s="23"/>
      <c r="L80" s="23"/>
      <c r="M80" s="23"/>
      <c r="N80" s="23"/>
      <c r="O80" s="23"/>
      <c r="P80" s="4"/>
      <c r="Q80" s="23"/>
      <c r="R80" s="23"/>
      <c r="S80" s="23"/>
      <c r="T80" s="4"/>
      <c r="U80" s="4"/>
      <c r="V80" s="4"/>
    </row>
    <row r="81" spans="1:22" x14ac:dyDescent="0.2">
      <c r="A81" s="774"/>
      <c r="B81" s="4"/>
      <c r="C81" s="23"/>
      <c r="D81" s="23"/>
      <c r="E81" s="23"/>
      <c r="F81" s="23"/>
      <c r="G81" s="23"/>
      <c r="H81" s="23"/>
      <c r="I81" s="23"/>
      <c r="J81" s="23"/>
      <c r="K81" s="23"/>
      <c r="L81" s="23"/>
      <c r="M81" s="23"/>
      <c r="N81" s="23"/>
      <c r="O81" s="23"/>
      <c r="P81" s="4"/>
      <c r="Q81" s="23"/>
      <c r="R81" s="23"/>
      <c r="S81" s="23"/>
      <c r="T81" s="4"/>
      <c r="U81" s="4"/>
      <c r="V81" s="4"/>
    </row>
    <row r="82" spans="1:22" x14ac:dyDescent="0.2">
      <c r="A82" s="774"/>
      <c r="B82" s="4"/>
      <c r="C82" s="23"/>
      <c r="D82" s="23"/>
      <c r="E82" s="23"/>
      <c r="F82" s="23"/>
      <c r="G82" s="23"/>
      <c r="H82" s="23"/>
      <c r="I82" s="23"/>
      <c r="J82" s="23"/>
      <c r="K82" s="23"/>
      <c r="L82" s="23"/>
      <c r="M82" s="23"/>
      <c r="N82" s="23"/>
      <c r="O82" s="23"/>
      <c r="P82" s="4"/>
      <c r="Q82" s="23"/>
      <c r="R82" s="23"/>
      <c r="S82" s="23"/>
      <c r="T82" s="4"/>
      <c r="U82" s="4"/>
      <c r="V82" s="4"/>
    </row>
    <row r="83" spans="1:22" x14ac:dyDescent="0.2">
      <c r="A83" s="774"/>
      <c r="B83" s="4"/>
      <c r="C83" s="23"/>
      <c r="D83" s="23"/>
      <c r="E83" s="23"/>
      <c r="F83" s="23"/>
      <c r="G83" s="23"/>
      <c r="H83" s="23"/>
      <c r="I83" s="23"/>
      <c r="J83" s="23"/>
      <c r="K83" s="23"/>
      <c r="L83" s="23"/>
      <c r="M83" s="23"/>
      <c r="N83" s="23"/>
      <c r="O83" s="23"/>
      <c r="P83" s="4"/>
      <c r="Q83" s="23"/>
      <c r="R83" s="23"/>
      <c r="S83" s="23"/>
      <c r="T83" s="4"/>
      <c r="U83" s="4"/>
      <c r="V83" s="4"/>
    </row>
    <row r="84" spans="1:22" x14ac:dyDescent="0.2">
      <c r="A84" s="774"/>
      <c r="B84" s="4"/>
      <c r="C84" s="23"/>
      <c r="D84" s="23"/>
      <c r="E84" s="23"/>
      <c r="F84" s="23"/>
      <c r="G84" s="23"/>
      <c r="H84" s="23"/>
      <c r="I84" s="23"/>
      <c r="J84" s="23"/>
      <c r="K84" s="23"/>
      <c r="L84" s="23"/>
      <c r="M84" s="23"/>
      <c r="N84" s="23"/>
      <c r="O84" s="23"/>
      <c r="P84" s="4"/>
      <c r="Q84" s="23"/>
      <c r="R84" s="23"/>
      <c r="S84" s="23"/>
      <c r="T84" s="4"/>
      <c r="U84" s="4"/>
      <c r="V84" s="4"/>
    </row>
    <row r="85" spans="1:22" x14ac:dyDescent="0.2">
      <c r="A85" s="774"/>
      <c r="B85" s="4"/>
      <c r="C85" s="23"/>
      <c r="D85" s="23"/>
      <c r="E85" s="23"/>
      <c r="F85" s="23"/>
      <c r="G85" s="23"/>
      <c r="H85" s="23"/>
      <c r="I85" s="23"/>
      <c r="J85" s="23"/>
      <c r="K85" s="23"/>
      <c r="L85" s="23"/>
      <c r="M85" s="23"/>
      <c r="N85" s="23"/>
      <c r="O85" s="23"/>
      <c r="P85" s="4"/>
      <c r="Q85" s="23"/>
      <c r="R85" s="23"/>
      <c r="S85" s="23"/>
      <c r="T85" s="4"/>
      <c r="U85" s="4"/>
      <c r="V85" s="4"/>
    </row>
    <row r="86" spans="1:22" x14ac:dyDescent="0.2">
      <c r="A86" s="774"/>
      <c r="B86" s="4"/>
      <c r="C86" s="23"/>
      <c r="D86" s="23"/>
      <c r="E86" s="23"/>
      <c r="F86" s="23"/>
      <c r="G86" s="23"/>
      <c r="H86" s="23"/>
      <c r="I86" s="23"/>
      <c r="J86" s="23"/>
      <c r="K86" s="23"/>
      <c r="L86" s="23"/>
      <c r="M86" s="23"/>
      <c r="N86" s="23"/>
      <c r="O86" s="23"/>
      <c r="P86" s="4"/>
      <c r="Q86" s="23"/>
      <c r="R86" s="23"/>
      <c r="S86" s="23"/>
      <c r="T86" s="4"/>
      <c r="U86" s="4"/>
      <c r="V86" s="4"/>
    </row>
    <row r="87" spans="1:22" x14ac:dyDescent="0.2">
      <c r="A87" s="774"/>
      <c r="B87" s="4"/>
      <c r="C87" s="23"/>
      <c r="D87" s="23"/>
      <c r="E87" s="23"/>
      <c r="F87" s="23"/>
      <c r="G87" s="23"/>
      <c r="H87" s="23"/>
      <c r="I87" s="23"/>
      <c r="J87" s="23"/>
      <c r="K87" s="23"/>
      <c r="L87" s="23"/>
      <c r="M87" s="23"/>
      <c r="N87" s="23"/>
      <c r="O87" s="23"/>
      <c r="P87" s="4"/>
      <c r="Q87" s="23"/>
      <c r="R87" s="23"/>
      <c r="S87" s="23"/>
      <c r="T87" s="4"/>
      <c r="U87" s="4"/>
      <c r="V87" s="4"/>
    </row>
    <row r="88" spans="1:22" x14ac:dyDescent="0.2">
      <c r="A88" s="774"/>
      <c r="B88" s="4"/>
      <c r="C88" s="23"/>
      <c r="D88" s="23"/>
      <c r="E88" s="23"/>
      <c r="F88" s="23"/>
      <c r="G88" s="23"/>
      <c r="H88" s="23"/>
      <c r="I88" s="23"/>
      <c r="J88" s="23"/>
      <c r="K88" s="23"/>
      <c r="L88" s="23"/>
      <c r="M88" s="23"/>
      <c r="N88" s="23"/>
      <c r="O88" s="23"/>
      <c r="P88" s="4"/>
      <c r="Q88" s="23"/>
      <c r="R88" s="23"/>
      <c r="S88" s="23"/>
      <c r="T88" s="4"/>
      <c r="U88" s="4"/>
      <c r="V88" s="4"/>
    </row>
    <row r="89" spans="1:22" x14ac:dyDescent="0.2">
      <c r="A89" s="774"/>
      <c r="B89" s="4"/>
      <c r="C89" s="23"/>
      <c r="D89" s="23"/>
      <c r="E89" s="23"/>
      <c r="F89" s="23"/>
      <c r="G89" s="23"/>
      <c r="H89" s="23"/>
      <c r="I89" s="23"/>
      <c r="J89" s="23"/>
      <c r="K89" s="23"/>
      <c r="L89" s="23"/>
      <c r="M89" s="23"/>
      <c r="N89" s="23"/>
      <c r="O89" s="23"/>
      <c r="P89" s="4"/>
      <c r="Q89" s="23"/>
      <c r="R89" s="23"/>
      <c r="S89" s="23"/>
      <c r="T89" s="4"/>
      <c r="U89" s="4"/>
      <c r="V89" s="4"/>
    </row>
    <row r="90" spans="1:22" x14ac:dyDescent="0.2">
      <c r="A90" s="774"/>
      <c r="B90" s="4"/>
      <c r="C90" s="23"/>
      <c r="D90" s="23"/>
      <c r="E90" s="23"/>
      <c r="F90" s="23"/>
      <c r="G90" s="23"/>
      <c r="H90" s="23"/>
      <c r="I90" s="23"/>
      <c r="J90" s="23"/>
      <c r="K90" s="23"/>
      <c r="L90" s="23"/>
      <c r="M90" s="23"/>
      <c r="N90" s="23"/>
      <c r="O90" s="23"/>
      <c r="P90" s="4"/>
      <c r="Q90" s="23"/>
      <c r="R90" s="23"/>
      <c r="S90" s="23"/>
      <c r="T90" s="4"/>
      <c r="U90" s="4"/>
      <c r="V90" s="4"/>
    </row>
    <row r="91" spans="1:22" x14ac:dyDescent="0.2">
      <c r="A91" s="774"/>
      <c r="B91" s="4"/>
      <c r="C91" s="23"/>
      <c r="D91" s="23"/>
      <c r="E91" s="23"/>
      <c r="F91" s="23"/>
      <c r="G91" s="23"/>
      <c r="H91" s="23"/>
      <c r="I91" s="23"/>
      <c r="J91" s="23"/>
      <c r="K91" s="23"/>
      <c r="L91" s="23"/>
      <c r="M91" s="23"/>
      <c r="N91" s="23"/>
      <c r="O91" s="23"/>
      <c r="P91" s="4"/>
      <c r="Q91" s="23"/>
      <c r="R91" s="23"/>
      <c r="S91" s="23"/>
      <c r="T91" s="4"/>
      <c r="U91" s="4"/>
      <c r="V91" s="4"/>
    </row>
    <row r="92" spans="1:22" x14ac:dyDescent="0.2">
      <c r="A92" s="774"/>
      <c r="B92" s="4"/>
      <c r="C92" s="23"/>
      <c r="D92" s="23"/>
      <c r="E92" s="23"/>
      <c r="F92" s="23"/>
      <c r="G92" s="23"/>
      <c r="H92" s="23"/>
      <c r="I92" s="23"/>
      <c r="J92" s="23"/>
      <c r="K92" s="23"/>
      <c r="L92" s="23"/>
      <c r="M92" s="23"/>
      <c r="N92" s="23"/>
      <c r="O92" s="23"/>
      <c r="P92" s="4"/>
      <c r="Q92" s="23"/>
      <c r="R92" s="23"/>
      <c r="S92" s="23"/>
      <c r="T92" s="4"/>
      <c r="U92" s="4"/>
      <c r="V92" s="4"/>
    </row>
    <row r="93" spans="1:22" x14ac:dyDescent="0.2">
      <c r="A93" s="774"/>
      <c r="B93" s="4"/>
      <c r="C93" s="23"/>
      <c r="D93" s="23"/>
      <c r="E93" s="23"/>
      <c r="F93" s="23"/>
      <c r="G93" s="23"/>
      <c r="H93" s="23"/>
      <c r="I93" s="23"/>
      <c r="J93" s="23"/>
      <c r="K93" s="23"/>
      <c r="L93" s="23"/>
      <c r="M93" s="23"/>
      <c r="N93" s="23"/>
      <c r="O93" s="23"/>
      <c r="P93" s="4"/>
      <c r="Q93" s="23"/>
      <c r="R93" s="23"/>
      <c r="S93" s="23"/>
      <c r="T93" s="4"/>
      <c r="U93" s="4"/>
      <c r="V93" s="4"/>
    </row>
    <row r="94" spans="1:22" x14ac:dyDescent="0.2">
      <c r="A94" s="774"/>
      <c r="B94" s="4"/>
      <c r="C94" s="23"/>
      <c r="D94" s="23"/>
      <c r="E94" s="23"/>
      <c r="F94" s="23"/>
      <c r="G94" s="23"/>
      <c r="H94" s="23"/>
      <c r="I94" s="23"/>
      <c r="J94" s="23"/>
      <c r="K94" s="23"/>
      <c r="L94" s="23"/>
      <c r="M94" s="23"/>
      <c r="N94" s="23"/>
      <c r="O94" s="23"/>
      <c r="P94" s="4"/>
      <c r="Q94" s="23"/>
      <c r="R94" s="23"/>
      <c r="S94" s="23"/>
      <c r="T94" s="4"/>
      <c r="U94" s="4"/>
      <c r="V94" s="4"/>
    </row>
    <row r="95" spans="1:22" x14ac:dyDescent="0.2">
      <c r="A95" s="774"/>
      <c r="B95" s="4"/>
      <c r="C95" s="23"/>
      <c r="D95" s="23"/>
      <c r="E95" s="23"/>
      <c r="F95" s="23"/>
      <c r="G95" s="23"/>
      <c r="H95" s="23"/>
      <c r="I95" s="23"/>
      <c r="J95" s="23"/>
      <c r="K95" s="23"/>
      <c r="L95" s="23"/>
      <c r="M95" s="23"/>
      <c r="N95" s="23"/>
      <c r="O95" s="23"/>
      <c r="P95" s="4"/>
      <c r="Q95" s="23"/>
      <c r="R95" s="23"/>
      <c r="S95" s="23"/>
      <c r="T95" s="4"/>
      <c r="U95" s="4"/>
      <c r="V95" s="4"/>
    </row>
    <row r="96" spans="1:22" x14ac:dyDescent="0.2">
      <c r="A96" s="774"/>
      <c r="B96" s="4"/>
      <c r="C96" s="23"/>
      <c r="D96" s="23"/>
      <c r="E96" s="23"/>
      <c r="F96" s="23"/>
      <c r="G96" s="23"/>
      <c r="H96" s="23"/>
      <c r="I96" s="23"/>
      <c r="J96" s="23"/>
      <c r="K96" s="23"/>
      <c r="L96" s="23"/>
      <c r="M96" s="23"/>
      <c r="N96" s="23"/>
      <c r="O96" s="23"/>
      <c r="P96" s="4"/>
      <c r="Q96" s="23"/>
      <c r="R96" s="23"/>
      <c r="S96" s="23"/>
      <c r="T96" s="4"/>
      <c r="U96" s="4"/>
      <c r="V96" s="4"/>
    </row>
    <row r="97" spans="1:22" x14ac:dyDescent="0.2">
      <c r="A97" s="774"/>
      <c r="B97" s="4"/>
      <c r="C97" s="23"/>
      <c r="D97" s="23"/>
      <c r="E97" s="23"/>
      <c r="F97" s="23"/>
      <c r="G97" s="23"/>
      <c r="H97" s="23"/>
      <c r="I97" s="23"/>
      <c r="J97" s="23"/>
      <c r="K97" s="23"/>
      <c r="L97" s="23"/>
      <c r="M97" s="23"/>
      <c r="N97" s="23"/>
      <c r="O97" s="23"/>
      <c r="P97" s="4"/>
      <c r="Q97" s="23"/>
      <c r="R97" s="23"/>
      <c r="S97" s="23"/>
      <c r="T97" s="4"/>
      <c r="U97" s="4"/>
      <c r="V97" s="4"/>
    </row>
    <row r="98" spans="1:22" x14ac:dyDescent="0.2">
      <c r="A98" s="774"/>
      <c r="B98" s="4"/>
      <c r="C98" s="23"/>
      <c r="D98" s="23"/>
      <c r="E98" s="23"/>
      <c r="F98" s="23"/>
      <c r="G98" s="23"/>
      <c r="H98" s="23"/>
      <c r="I98" s="23"/>
      <c r="J98" s="23"/>
      <c r="K98" s="23"/>
      <c r="L98" s="23"/>
      <c r="M98" s="23"/>
      <c r="N98" s="23"/>
      <c r="O98" s="23"/>
      <c r="P98" s="4"/>
      <c r="Q98" s="23"/>
      <c r="R98" s="23"/>
      <c r="S98" s="23"/>
      <c r="T98" s="4"/>
      <c r="U98" s="4"/>
      <c r="V98" s="4"/>
    </row>
    <row r="99" spans="1:22" x14ac:dyDescent="0.2">
      <c r="A99" s="774"/>
      <c r="B99" s="4"/>
      <c r="C99" s="23"/>
      <c r="D99" s="23"/>
      <c r="E99" s="23"/>
      <c r="F99" s="23"/>
      <c r="G99" s="23"/>
      <c r="H99" s="23"/>
      <c r="I99" s="23"/>
      <c r="J99" s="23"/>
      <c r="K99" s="23"/>
      <c r="L99" s="23"/>
      <c r="M99" s="23"/>
      <c r="N99" s="23"/>
      <c r="O99" s="23"/>
      <c r="P99" s="4"/>
      <c r="Q99" s="23"/>
      <c r="R99" s="23"/>
      <c r="S99" s="23"/>
      <c r="T99" s="4"/>
      <c r="U99" s="4"/>
      <c r="V99" s="4"/>
    </row>
    <row r="100" spans="1:22" x14ac:dyDescent="0.2">
      <c r="A100" s="774"/>
      <c r="B100" s="4"/>
      <c r="C100" s="23"/>
      <c r="D100" s="23"/>
      <c r="E100" s="23"/>
      <c r="F100" s="23"/>
      <c r="G100" s="23"/>
      <c r="H100" s="23"/>
      <c r="I100" s="23"/>
      <c r="J100" s="23"/>
      <c r="K100" s="23"/>
      <c r="L100" s="23"/>
      <c r="M100" s="23"/>
      <c r="N100" s="23"/>
      <c r="O100" s="23"/>
      <c r="P100" s="4"/>
      <c r="Q100" s="23"/>
      <c r="R100" s="23"/>
      <c r="S100" s="23"/>
      <c r="T100" s="4"/>
      <c r="U100" s="4"/>
      <c r="V100" s="4"/>
    </row>
    <row r="101" spans="1:22" x14ac:dyDescent="0.2">
      <c r="A101" s="774"/>
      <c r="B101" s="4"/>
      <c r="C101" s="23"/>
      <c r="D101" s="23"/>
      <c r="E101" s="23"/>
      <c r="F101" s="23"/>
      <c r="G101" s="23"/>
      <c r="H101" s="23"/>
      <c r="I101" s="23"/>
      <c r="J101" s="23"/>
      <c r="K101" s="23"/>
      <c r="L101" s="23"/>
      <c r="M101" s="23"/>
      <c r="N101" s="23"/>
      <c r="O101" s="23"/>
      <c r="P101" s="4"/>
      <c r="Q101" s="23"/>
      <c r="R101" s="23"/>
      <c r="S101" s="23"/>
      <c r="T101" s="4"/>
      <c r="U101" s="4"/>
      <c r="V101" s="4"/>
    </row>
    <row r="102" spans="1:22" x14ac:dyDescent="0.2">
      <c r="A102" s="774"/>
      <c r="B102" s="4"/>
      <c r="C102" s="23"/>
      <c r="D102" s="23"/>
      <c r="E102" s="23"/>
      <c r="F102" s="23"/>
      <c r="G102" s="23"/>
      <c r="H102" s="23"/>
      <c r="I102" s="23"/>
      <c r="J102" s="23"/>
      <c r="K102" s="23"/>
      <c r="L102" s="23"/>
      <c r="M102" s="23"/>
      <c r="N102" s="23"/>
      <c r="O102" s="23"/>
      <c r="P102" s="4"/>
      <c r="Q102" s="23"/>
      <c r="R102" s="23"/>
      <c r="S102" s="23"/>
      <c r="T102" s="4"/>
      <c r="U102" s="4"/>
      <c r="V102" s="4"/>
    </row>
    <row r="103" spans="1:22" x14ac:dyDescent="0.2">
      <c r="A103" s="774"/>
      <c r="B103" s="4"/>
      <c r="C103" s="23"/>
      <c r="D103" s="23"/>
      <c r="E103" s="23"/>
      <c r="F103" s="23"/>
      <c r="G103" s="23"/>
      <c r="H103" s="23"/>
      <c r="I103" s="23"/>
      <c r="J103" s="23"/>
      <c r="K103" s="23"/>
      <c r="L103" s="23"/>
      <c r="M103" s="23"/>
      <c r="N103" s="23"/>
      <c r="O103" s="23"/>
      <c r="P103" s="4"/>
      <c r="Q103" s="23"/>
      <c r="R103" s="23"/>
      <c r="S103" s="23"/>
      <c r="T103" s="4"/>
      <c r="U103" s="4"/>
      <c r="V103" s="4"/>
    </row>
    <row r="104" spans="1:22" x14ac:dyDescent="0.2">
      <c r="A104" s="774"/>
      <c r="B104" s="4"/>
      <c r="C104" s="23"/>
      <c r="D104" s="23"/>
      <c r="E104" s="23"/>
      <c r="F104" s="23"/>
      <c r="G104" s="23"/>
      <c r="H104" s="23"/>
      <c r="I104" s="23"/>
      <c r="J104" s="23"/>
      <c r="K104" s="23"/>
      <c r="L104" s="23"/>
      <c r="M104" s="23"/>
      <c r="N104" s="23"/>
      <c r="O104" s="23"/>
      <c r="P104" s="4"/>
      <c r="Q104" s="23"/>
      <c r="R104" s="23"/>
      <c r="S104" s="23"/>
      <c r="T104" s="4"/>
      <c r="U104" s="4"/>
      <c r="V104" s="4"/>
    </row>
    <row r="105" spans="1:22" x14ac:dyDescent="0.2">
      <c r="A105" s="774"/>
      <c r="B105" s="4"/>
      <c r="C105" s="23"/>
      <c r="D105" s="23"/>
      <c r="E105" s="23"/>
      <c r="F105" s="23"/>
      <c r="G105" s="23"/>
      <c r="H105" s="23"/>
      <c r="I105" s="23"/>
      <c r="J105" s="23"/>
      <c r="K105" s="23"/>
      <c r="L105" s="23"/>
      <c r="M105" s="23"/>
      <c r="N105" s="23"/>
      <c r="O105" s="23"/>
      <c r="P105" s="4"/>
      <c r="Q105" s="23"/>
      <c r="R105" s="23"/>
      <c r="S105" s="23"/>
      <c r="T105" s="4"/>
      <c r="U105" s="4"/>
      <c r="V105" s="4"/>
    </row>
    <row r="106" spans="1:22" x14ac:dyDescent="0.2">
      <c r="A106" s="774"/>
      <c r="B106" s="4"/>
      <c r="C106" s="23"/>
      <c r="D106" s="23"/>
      <c r="E106" s="23"/>
      <c r="F106" s="23"/>
      <c r="G106" s="23"/>
      <c r="H106" s="23"/>
      <c r="I106" s="23"/>
      <c r="J106" s="23"/>
      <c r="K106" s="23"/>
      <c r="L106" s="23"/>
      <c r="M106" s="23"/>
      <c r="N106" s="23"/>
      <c r="O106" s="23"/>
      <c r="P106" s="4"/>
      <c r="Q106" s="23"/>
      <c r="R106" s="23"/>
      <c r="S106" s="23"/>
      <c r="T106" s="4"/>
      <c r="U106" s="4"/>
      <c r="V106" s="4"/>
    </row>
    <row r="107" spans="1:22" x14ac:dyDescent="0.2">
      <c r="A107" s="774"/>
      <c r="B107" s="4"/>
      <c r="C107" s="23"/>
      <c r="D107" s="23"/>
      <c r="E107" s="23"/>
      <c r="F107" s="23"/>
      <c r="G107" s="23"/>
      <c r="H107" s="23"/>
      <c r="I107" s="23"/>
      <c r="J107" s="23"/>
      <c r="K107" s="23"/>
      <c r="L107" s="23"/>
      <c r="M107" s="23"/>
      <c r="N107" s="23"/>
      <c r="O107" s="23"/>
      <c r="P107" s="4"/>
      <c r="Q107" s="23"/>
      <c r="R107" s="23"/>
      <c r="S107" s="23"/>
      <c r="T107" s="4"/>
      <c r="U107" s="4"/>
      <c r="V107" s="4"/>
    </row>
    <row r="108" spans="1:22" x14ac:dyDescent="0.2">
      <c r="A108" s="774"/>
      <c r="B108" s="4"/>
      <c r="C108" s="23"/>
      <c r="D108" s="23"/>
      <c r="E108" s="23"/>
      <c r="F108" s="23"/>
      <c r="G108" s="23"/>
      <c r="H108" s="23"/>
      <c r="I108" s="23"/>
      <c r="J108" s="23"/>
      <c r="K108" s="23"/>
      <c r="L108" s="23"/>
      <c r="M108" s="23"/>
      <c r="N108" s="23"/>
      <c r="O108" s="23"/>
      <c r="P108" s="4"/>
      <c r="Q108" s="23"/>
      <c r="R108" s="23"/>
      <c r="S108" s="23"/>
      <c r="T108" s="4"/>
      <c r="U108" s="4"/>
      <c r="V108" s="4"/>
    </row>
    <row r="109" spans="1:22" x14ac:dyDescent="0.2">
      <c r="A109" s="774"/>
      <c r="B109" s="4"/>
      <c r="C109" s="23"/>
      <c r="D109" s="23"/>
      <c r="E109" s="23"/>
      <c r="F109" s="23"/>
      <c r="G109" s="23"/>
      <c r="H109" s="23"/>
      <c r="I109" s="23"/>
      <c r="J109" s="23"/>
      <c r="K109" s="23"/>
      <c r="L109" s="23"/>
      <c r="M109" s="23"/>
      <c r="N109" s="23"/>
      <c r="O109" s="23"/>
      <c r="P109" s="4"/>
      <c r="Q109" s="23"/>
      <c r="R109" s="23"/>
      <c r="S109" s="23"/>
      <c r="T109" s="4"/>
      <c r="U109" s="4"/>
      <c r="V109" s="4"/>
    </row>
    <row r="110" spans="1:22" x14ac:dyDescent="0.2">
      <c r="A110" s="774"/>
      <c r="B110" s="4"/>
      <c r="C110" s="23"/>
      <c r="D110" s="23"/>
      <c r="E110" s="23"/>
      <c r="F110" s="23"/>
      <c r="G110" s="23"/>
      <c r="H110" s="23"/>
      <c r="I110" s="23"/>
      <c r="J110" s="23"/>
      <c r="K110" s="23"/>
      <c r="L110" s="23"/>
      <c r="M110" s="23"/>
      <c r="N110" s="23"/>
      <c r="O110" s="23"/>
      <c r="P110" s="4"/>
      <c r="Q110" s="23"/>
      <c r="R110" s="23"/>
      <c r="S110" s="23"/>
      <c r="T110" s="4"/>
      <c r="U110" s="4"/>
      <c r="V110" s="4"/>
    </row>
    <row r="111" spans="1:22" x14ac:dyDescent="0.2">
      <c r="A111" s="774"/>
      <c r="B111" s="4"/>
      <c r="C111" s="23"/>
      <c r="D111" s="23"/>
      <c r="E111" s="23"/>
      <c r="F111" s="23"/>
      <c r="G111" s="23"/>
      <c r="H111" s="23"/>
      <c r="I111" s="23"/>
      <c r="J111" s="23"/>
      <c r="K111" s="23"/>
      <c r="L111" s="23"/>
      <c r="M111" s="23"/>
      <c r="N111" s="23"/>
      <c r="O111" s="23"/>
      <c r="P111" s="4"/>
      <c r="Q111" s="23"/>
      <c r="R111" s="23"/>
      <c r="S111" s="23"/>
      <c r="T111" s="4"/>
      <c r="U111" s="4"/>
      <c r="V111" s="4"/>
    </row>
    <row r="112" spans="1:22" x14ac:dyDescent="0.2">
      <c r="A112" s="774"/>
      <c r="B112" s="4"/>
      <c r="C112" s="23"/>
      <c r="D112" s="23"/>
      <c r="E112" s="23"/>
      <c r="F112" s="23"/>
      <c r="G112" s="23"/>
      <c r="H112" s="23"/>
      <c r="I112" s="23"/>
      <c r="J112" s="23"/>
      <c r="K112" s="23"/>
      <c r="L112" s="23"/>
      <c r="M112" s="23"/>
      <c r="N112" s="23"/>
      <c r="O112" s="23"/>
      <c r="P112" s="4"/>
      <c r="Q112" s="23"/>
      <c r="R112" s="23"/>
      <c r="S112" s="23"/>
      <c r="T112" s="4"/>
      <c r="U112" s="4"/>
      <c r="V112" s="4"/>
    </row>
    <row r="113" spans="1:22" x14ac:dyDescent="0.2">
      <c r="A113" s="774"/>
      <c r="B113" s="4"/>
      <c r="C113" s="23"/>
      <c r="D113" s="23"/>
      <c r="E113" s="23"/>
      <c r="F113" s="23"/>
      <c r="G113" s="23"/>
      <c r="H113" s="23"/>
      <c r="I113" s="23"/>
      <c r="J113" s="23"/>
      <c r="K113" s="23"/>
      <c r="L113" s="23"/>
      <c r="M113" s="23"/>
      <c r="N113" s="23"/>
      <c r="O113" s="23"/>
      <c r="P113" s="4"/>
      <c r="Q113" s="23"/>
      <c r="R113" s="23"/>
      <c r="S113" s="23"/>
      <c r="T113" s="4"/>
      <c r="U113" s="4"/>
      <c r="V113" s="4"/>
    </row>
    <row r="114" spans="1:22" x14ac:dyDescent="0.2">
      <c r="A114" s="774"/>
      <c r="B114" s="4"/>
      <c r="C114" s="23"/>
      <c r="D114" s="23"/>
      <c r="E114" s="23"/>
      <c r="F114" s="23"/>
      <c r="G114" s="23"/>
      <c r="H114" s="23"/>
      <c r="I114" s="23"/>
      <c r="J114" s="23"/>
      <c r="K114" s="23"/>
      <c r="L114" s="23"/>
      <c r="M114" s="23"/>
      <c r="N114" s="23"/>
      <c r="O114" s="23"/>
      <c r="P114" s="4"/>
      <c r="Q114" s="23"/>
      <c r="R114" s="23"/>
      <c r="S114" s="23"/>
      <c r="T114" s="4"/>
      <c r="U114" s="4"/>
      <c r="V114" s="4"/>
    </row>
    <row r="115" spans="1:22" x14ac:dyDescent="0.2">
      <c r="A115" s="774"/>
      <c r="B115" s="4"/>
      <c r="C115" s="23"/>
      <c r="D115" s="23"/>
      <c r="E115" s="23"/>
      <c r="F115" s="23"/>
      <c r="G115" s="23"/>
      <c r="H115" s="23"/>
      <c r="I115" s="23"/>
      <c r="J115" s="23"/>
      <c r="K115" s="23"/>
      <c r="L115" s="23"/>
      <c r="M115" s="23"/>
      <c r="N115" s="23"/>
      <c r="O115" s="23"/>
      <c r="P115" s="4"/>
      <c r="Q115" s="23"/>
      <c r="R115" s="23"/>
      <c r="S115" s="23"/>
      <c r="T115" s="4"/>
      <c r="U115" s="4"/>
      <c r="V115" s="4"/>
    </row>
    <row r="116" spans="1:22" x14ac:dyDescent="0.2">
      <c r="A116" s="774"/>
      <c r="B116" s="4"/>
      <c r="C116" s="23"/>
      <c r="D116" s="23"/>
      <c r="E116" s="23"/>
      <c r="F116" s="23"/>
      <c r="G116" s="23"/>
      <c r="H116" s="23"/>
      <c r="I116" s="23"/>
      <c r="J116" s="23"/>
      <c r="K116" s="23"/>
      <c r="L116" s="23"/>
      <c r="M116" s="23"/>
      <c r="N116" s="23"/>
      <c r="O116" s="23"/>
      <c r="P116" s="4"/>
      <c r="Q116" s="23"/>
      <c r="R116" s="23"/>
      <c r="S116" s="23"/>
      <c r="T116" s="4"/>
      <c r="U116" s="4"/>
      <c r="V116" s="4"/>
    </row>
    <row r="117" spans="1:22" x14ac:dyDescent="0.2">
      <c r="A117" s="774"/>
      <c r="B117" s="4"/>
      <c r="C117" s="23"/>
      <c r="D117" s="23"/>
      <c r="E117" s="23"/>
      <c r="F117" s="23"/>
      <c r="G117" s="23"/>
      <c r="H117" s="23"/>
      <c r="I117" s="23"/>
      <c r="J117" s="23"/>
      <c r="K117" s="23"/>
      <c r="L117" s="23"/>
      <c r="M117" s="23"/>
      <c r="N117" s="23"/>
      <c r="O117" s="23"/>
      <c r="P117" s="4"/>
      <c r="Q117" s="23"/>
      <c r="R117" s="23"/>
      <c r="S117" s="23"/>
      <c r="T117" s="4"/>
      <c r="U117" s="4"/>
      <c r="V117" s="4"/>
    </row>
    <row r="118" spans="1:22" x14ac:dyDescent="0.2">
      <c r="A118" s="774"/>
      <c r="B118" s="4"/>
      <c r="C118" s="23"/>
      <c r="D118" s="23"/>
      <c r="E118" s="23"/>
      <c r="F118" s="23"/>
      <c r="G118" s="23"/>
      <c r="H118" s="23"/>
      <c r="I118" s="23"/>
      <c r="J118" s="23"/>
      <c r="K118" s="23"/>
      <c r="L118" s="23"/>
      <c r="M118" s="23"/>
      <c r="N118" s="23"/>
      <c r="O118" s="23"/>
      <c r="P118" s="4"/>
      <c r="Q118" s="23"/>
      <c r="R118" s="23"/>
      <c r="S118" s="23"/>
      <c r="T118" s="4"/>
      <c r="U118" s="4"/>
      <c r="V118" s="4"/>
    </row>
    <row r="119" spans="1:22" x14ac:dyDescent="0.2">
      <c r="A119" s="774"/>
      <c r="B119" s="4"/>
      <c r="C119" s="23"/>
      <c r="D119" s="23"/>
      <c r="E119" s="23"/>
      <c r="F119" s="23"/>
      <c r="G119" s="23"/>
      <c r="H119" s="23"/>
      <c r="I119" s="23"/>
      <c r="J119" s="23"/>
      <c r="K119" s="23"/>
      <c r="L119" s="23"/>
      <c r="M119" s="23"/>
      <c r="N119" s="23"/>
      <c r="O119" s="23"/>
      <c r="P119" s="4"/>
      <c r="Q119" s="23"/>
      <c r="R119" s="23"/>
      <c r="S119" s="23"/>
      <c r="T119" s="4"/>
      <c r="U119" s="4"/>
      <c r="V119" s="4"/>
    </row>
    <row r="120" spans="1:22" x14ac:dyDescent="0.2">
      <c r="A120" s="774"/>
      <c r="B120" s="4"/>
      <c r="C120" s="23"/>
      <c r="D120" s="23"/>
      <c r="E120" s="23"/>
      <c r="F120" s="23"/>
      <c r="G120" s="23"/>
      <c r="H120" s="23"/>
      <c r="I120" s="23"/>
      <c r="J120" s="23"/>
      <c r="K120" s="23"/>
      <c r="L120" s="23"/>
      <c r="M120" s="23"/>
      <c r="N120" s="23"/>
      <c r="O120" s="23"/>
      <c r="P120" s="4"/>
      <c r="Q120" s="23"/>
      <c r="R120" s="23"/>
      <c r="S120" s="23"/>
      <c r="T120" s="4"/>
      <c r="U120" s="4"/>
      <c r="V120" s="4"/>
    </row>
    <row r="121" spans="1:22" x14ac:dyDescent="0.2">
      <c r="A121" s="774"/>
      <c r="B121" s="4"/>
      <c r="C121" s="23"/>
      <c r="D121" s="23"/>
      <c r="E121" s="23"/>
      <c r="F121" s="23"/>
      <c r="G121" s="23"/>
      <c r="H121" s="23"/>
      <c r="I121" s="23"/>
      <c r="J121" s="23"/>
      <c r="K121" s="23"/>
      <c r="L121" s="23"/>
      <c r="M121" s="23"/>
      <c r="N121" s="23"/>
      <c r="O121" s="23"/>
      <c r="P121" s="4"/>
      <c r="Q121" s="23"/>
      <c r="R121" s="23"/>
      <c r="S121" s="23"/>
      <c r="T121" s="4"/>
      <c r="U121" s="4"/>
      <c r="V121" s="4"/>
    </row>
    <row r="122" spans="1:22" x14ac:dyDescent="0.2">
      <c r="A122" s="774"/>
      <c r="B122" s="4"/>
      <c r="C122" s="23"/>
      <c r="D122" s="23"/>
      <c r="E122" s="23"/>
      <c r="F122" s="23"/>
      <c r="G122" s="23"/>
      <c r="H122" s="23"/>
      <c r="I122" s="23"/>
      <c r="J122" s="23"/>
      <c r="K122" s="23"/>
      <c r="L122" s="23"/>
      <c r="M122" s="23"/>
      <c r="N122" s="23"/>
      <c r="O122" s="23"/>
      <c r="P122" s="4"/>
      <c r="Q122" s="23"/>
      <c r="R122" s="23"/>
      <c r="S122" s="23"/>
      <c r="T122" s="4"/>
      <c r="U122" s="4"/>
      <c r="V122" s="4"/>
    </row>
    <row r="123" spans="1:22" x14ac:dyDescent="0.2">
      <c r="A123" s="774"/>
      <c r="B123" s="4"/>
      <c r="C123" s="23"/>
      <c r="D123" s="23"/>
      <c r="E123" s="23"/>
      <c r="F123" s="23"/>
      <c r="G123" s="23"/>
      <c r="H123" s="23"/>
      <c r="I123" s="23"/>
      <c r="J123" s="23"/>
      <c r="K123" s="23"/>
      <c r="L123" s="23"/>
      <c r="M123" s="23"/>
      <c r="N123" s="23"/>
      <c r="O123" s="23"/>
      <c r="P123" s="4"/>
      <c r="Q123" s="23"/>
      <c r="R123" s="23"/>
      <c r="S123" s="23"/>
      <c r="T123" s="4"/>
      <c r="U123" s="4"/>
      <c r="V123" s="4"/>
    </row>
    <row r="124" spans="1:22" x14ac:dyDescent="0.2">
      <c r="A124" s="774"/>
      <c r="B124" s="4"/>
      <c r="C124" s="23"/>
      <c r="D124" s="23"/>
      <c r="E124" s="23"/>
      <c r="F124" s="23"/>
      <c r="G124" s="23"/>
      <c r="H124" s="23"/>
      <c r="I124" s="23"/>
      <c r="J124" s="23"/>
      <c r="K124" s="23"/>
      <c r="L124" s="23"/>
      <c r="M124" s="23"/>
      <c r="N124" s="23"/>
      <c r="O124" s="23"/>
      <c r="P124" s="4"/>
      <c r="Q124" s="23"/>
      <c r="R124" s="23"/>
      <c r="S124" s="23"/>
      <c r="T124" s="4"/>
      <c r="U124" s="4"/>
      <c r="V124" s="4"/>
    </row>
    <row r="125" spans="1:22" x14ac:dyDescent="0.2">
      <c r="A125" s="774"/>
      <c r="B125" s="4"/>
      <c r="C125" s="23"/>
      <c r="D125" s="23"/>
      <c r="E125" s="23"/>
      <c r="F125" s="23"/>
      <c r="G125" s="23"/>
      <c r="H125" s="23"/>
      <c r="I125" s="23"/>
      <c r="J125" s="23"/>
      <c r="K125" s="23"/>
      <c r="L125" s="23"/>
      <c r="M125" s="23"/>
      <c r="N125" s="23"/>
      <c r="O125" s="23"/>
      <c r="P125" s="4"/>
      <c r="Q125" s="23"/>
      <c r="R125" s="23"/>
      <c r="S125" s="23"/>
      <c r="T125" s="4"/>
      <c r="U125" s="4"/>
      <c r="V125" s="4"/>
    </row>
    <row r="126" spans="1:22" x14ac:dyDescent="0.2">
      <c r="A126" s="774"/>
      <c r="B126" s="4"/>
      <c r="C126" s="23"/>
      <c r="D126" s="23"/>
      <c r="E126" s="23"/>
      <c r="F126" s="23"/>
      <c r="G126" s="23"/>
      <c r="H126" s="23"/>
      <c r="I126" s="23"/>
      <c r="J126" s="23"/>
      <c r="K126" s="23"/>
      <c r="L126" s="23"/>
      <c r="M126" s="23"/>
      <c r="N126" s="23"/>
      <c r="O126" s="23"/>
      <c r="P126" s="4"/>
      <c r="Q126" s="23"/>
      <c r="R126" s="23"/>
      <c r="S126" s="23"/>
      <c r="T126" s="4"/>
      <c r="U126" s="4"/>
      <c r="V126" s="4"/>
    </row>
    <row r="127" spans="1:22" x14ac:dyDescent="0.2">
      <c r="A127" s="774"/>
      <c r="B127" s="4"/>
      <c r="C127" s="23"/>
      <c r="D127" s="23"/>
      <c r="E127" s="23"/>
      <c r="F127" s="23"/>
      <c r="G127" s="23"/>
      <c r="H127" s="23"/>
      <c r="I127" s="23"/>
      <c r="J127" s="23"/>
      <c r="K127" s="23"/>
      <c r="L127" s="23"/>
      <c r="M127" s="23"/>
      <c r="N127" s="23"/>
      <c r="O127" s="23"/>
      <c r="P127" s="4"/>
      <c r="Q127" s="23"/>
      <c r="R127" s="23"/>
      <c r="S127" s="23"/>
      <c r="T127" s="4"/>
      <c r="U127" s="4"/>
      <c r="V127" s="4"/>
    </row>
    <row r="128" spans="1:22" x14ac:dyDescent="0.2">
      <c r="A128" s="774"/>
      <c r="B128" s="4"/>
      <c r="C128" s="23"/>
      <c r="D128" s="23"/>
      <c r="E128" s="23"/>
      <c r="F128" s="23"/>
      <c r="G128" s="23"/>
      <c r="H128" s="23"/>
      <c r="I128" s="23"/>
      <c r="J128" s="23"/>
      <c r="K128" s="23"/>
      <c r="L128" s="23"/>
      <c r="M128" s="23"/>
      <c r="N128" s="23"/>
      <c r="O128" s="23"/>
      <c r="P128" s="4"/>
      <c r="Q128" s="23"/>
      <c r="R128" s="23"/>
      <c r="S128" s="23"/>
      <c r="T128" s="4"/>
      <c r="U128" s="4"/>
      <c r="V128" s="4"/>
    </row>
    <row r="129" spans="3:3" x14ac:dyDescent="0.2">
      <c r="C129" s="212"/>
    </row>
    <row r="130" spans="3:3" x14ac:dyDescent="0.2">
      <c r="C130" s="212"/>
    </row>
    <row r="131" spans="3:3" x14ac:dyDescent="0.2">
      <c r="C131" s="212"/>
    </row>
    <row r="132" spans="3:3" x14ac:dyDescent="0.2">
      <c r="C132" s="212"/>
    </row>
    <row r="133" spans="3:3" x14ac:dyDescent="0.2">
      <c r="C133" s="212"/>
    </row>
    <row r="134" spans="3:3" x14ac:dyDescent="0.2">
      <c r="C134" s="212"/>
    </row>
    <row r="135" spans="3:3" x14ac:dyDescent="0.2">
      <c r="C135" s="212"/>
    </row>
    <row r="136" spans="3:3" x14ac:dyDescent="0.2">
      <c r="C136" s="212"/>
    </row>
    <row r="137" spans="3:3" x14ac:dyDescent="0.2">
      <c r="C137" s="212"/>
    </row>
    <row r="138" spans="3:3" x14ac:dyDescent="0.2">
      <c r="C138" s="212"/>
    </row>
    <row r="139" spans="3:3" x14ac:dyDescent="0.2">
      <c r="C139" s="212"/>
    </row>
    <row r="140" spans="3:3" x14ac:dyDescent="0.2">
      <c r="C140" s="212"/>
    </row>
    <row r="141" spans="3:3" x14ac:dyDescent="0.2">
      <c r="C141" s="212"/>
    </row>
    <row r="142" spans="3:3" x14ac:dyDescent="0.2">
      <c r="C142" s="212"/>
    </row>
    <row r="143" spans="3:3" x14ac:dyDescent="0.2">
      <c r="C143" s="212"/>
    </row>
    <row r="144" spans="3:3" x14ac:dyDescent="0.2">
      <c r="C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row r="160" spans="3:3" x14ac:dyDescent="0.2">
      <c r="C160" s="212"/>
    </row>
    <row r="161" spans="3:3" x14ac:dyDescent="0.2">
      <c r="C161" s="212"/>
    </row>
    <row r="162" spans="3:3" x14ac:dyDescent="0.2">
      <c r="C162" s="212"/>
    </row>
    <row r="163" spans="3:3" x14ac:dyDescent="0.2">
      <c r="C163" s="212"/>
    </row>
    <row r="164" spans="3:3" x14ac:dyDescent="0.2">
      <c r="C164" s="212"/>
    </row>
    <row r="165" spans="3:3" x14ac:dyDescent="0.2">
      <c r="C165" s="212"/>
    </row>
    <row r="166" spans="3:3" x14ac:dyDescent="0.2">
      <c r="C166" s="212"/>
    </row>
    <row r="167" spans="3:3" x14ac:dyDescent="0.2">
      <c r="C167" s="212"/>
    </row>
    <row r="168" spans="3:3" x14ac:dyDescent="0.2">
      <c r="C168" s="212"/>
    </row>
    <row r="169" spans="3:3" x14ac:dyDescent="0.2">
      <c r="C169" s="212"/>
    </row>
    <row r="170" spans="3:3" x14ac:dyDescent="0.2">
      <c r="C170" s="212"/>
    </row>
    <row r="171" spans="3:3" x14ac:dyDescent="0.2">
      <c r="C171" s="212"/>
    </row>
    <row r="172" spans="3:3" x14ac:dyDescent="0.2">
      <c r="C172" s="212"/>
    </row>
    <row r="173" spans="3:3" x14ac:dyDescent="0.2">
      <c r="C173" s="212"/>
    </row>
    <row r="174" spans="3:3" x14ac:dyDescent="0.2">
      <c r="C174" s="212"/>
    </row>
    <row r="175" spans="3:3" x14ac:dyDescent="0.2">
      <c r="C175" s="212"/>
    </row>
    <row r="176" spans="3:3" x14ac:dyDescent="0.2">
      <c r="C176" s="212"/>
    </row>
    <row r="177" spans="3:3" x14ac:dyDescent="0.2">
      <c r="C177" s="212"/>
    </row>
    <row r="178" spans="3:3" x14ac:dyDescent="0.2">
      <c r="C178" s="212"/>
    </row>
    <row r="179" spans="3:3" x14ac:dyDescent="0.2">
      <c r="C179" s="212"/>
    </row>
    <row r="180" spans="3:3" x14ac:dyDescent="0.2">
      <c r="C180" s="212"/>
    </row>
  </sheetData>
  <phoneticPr fontId="0" type="noConversion"/>
  <hyperlinks>
    <hyperlink ref="A1" location="'Working Budget with funding det'!A1" display="Main " xr:uid="{00000000-0004-0000-1C00-000000000000}"/>
    <hyperlink ref="B1" location="'Table of Contents'!A1" display="TOC" xr:uid="{00000000-0004-0000-1C00-000001000000}"/>
  </hyperlinks>
  <pageMargins left="0.75" right="0.75" top="1" bottom="1" header="0.5" footer="0.5"/>
  <pageSetup scale="90" orientation="landscape" horizontalDpi="300" verticalDpi="300" r:id="rId1"/>
  <headerFooter alignWithMargins="0">
    <oddFooter>&amp;L&amp;D     &amp;T&amp;C&amp;F&amp;R&amp;A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W150"/>
  <sheetViews>
    <sheetView workbookViewId="0">
      <selection activeCell="P15" sqref="P15"/>
    </sheetView>
  </sheetViews>
  <sheetFormatPr defaultRowHeight="12.75" x14ac:dyDescent="0.2"/>
  <cols>
    <col min="1" max="1" width="9.5" style="771" bestFit="1" customWidth="1"/>
    <col min="2" max="2" width="36.6640625" customWidth="1"/>
    <col min="3" max="3" width="14.5" style="1" hidden="1" customWidth="1"/>
    <col min="4" max="12" width="14.5" style="106" hidden="1" customWidth="1"/>
    <col min="13" max="15" width="14.5" style="106" customWidth="1"/>
    <col min="16" max="16" width="14.5" customWidth="1"/>
    <col min="17" max="19" width="14.5" style="1" customWidth="1"/>
    <col min="20" max="22" width="14.5" customWidth="1"/>
    <col min="23" max="23" width="14.6640625" style="2" customWidth="1"/>
  </cols>
  <sheetData>
    <row r="1" spans="1:22" x14ac:dyDescent="0.2">
      <c r="A1" s="760" t="s">
        <v>847</v>
      </c>
      <c r="B1" s="308" t="s">
        <v>197</v>
      </c>
      <c r="D1" s="212"/>
      <c r="E1" s="212"/>
      <c r="F1" s="212"/>
      <c r="G1" s="212"/>
      <c r="H1" s="212"/>
      <c r="I1" s="212"/>
      <c r="J1" s="212"/>
      <c r="K1" s="212"/>
      <c r="L1" s="212"/>
      <c r="M1" s="212"/>
      <c r="N1" s="212"/>
      <c r="O1" s="212"/>
      <c r="S1"/>
    </row>
    <row r="2" spans="1:22" ht="15" x14ac:dyDescent="0.25">
      <c r="A2" s="761" t="s">
        <v>1138</v>
      </c>
      <c r="B2" s="43"/>
      <c r="D2" s="212"/>
      <c r="E2" s="126"/>
      <c r="F2" s="212"/>
      <c r="G2" s="212"/>
      <c r="H2" s="212"/>
      <c r="I2" s="126" t="s">
        <v>816</v>
      </c>
      <c r="J2" s="126"/>
      <c r="K2" s="126"/>
      <c r="L2" s="126"/>
      <c r="M2" s="126"/>
      <c r="N2" s="126"/>
      <c r="O2" s="126"/>
      <c r="P2" s="58" t="s">
        <v>1251</v>
      </c>
      <c r="S2" s="44" t="s">
        <v>1252</v>
      </c>
    </row>
    <row r="3" spans="1:22" ht="13.5" thickBot="1" x14ac:dyDescent="0.25">
      <c r="A3" s="762"/>
      <c r="B3" s="4"/>
      <c r="C3" s="23"/>
      <c r="D3" s="23"/>
      <c r="E3" s="23"/>
      <c r="F3" s="23"/>
      <c r="G3" s="23"/>
      <c r="H3" s="23"/>
      <c r="I3" s="23"/>
      <c r="J3" s="23"/>
      <c r="K3" s="23"/>
      <c r="L3" s="23"/>
      <c r="M3" s="23"/>
      <c r="N3" s="23"/>
      <c r="O3" s="23"/>
      <c r="P3" s="4"/>
      <c r="Q3" s="23"/>
      <c r="R3" s="23"/>
      <c r="S3" s="4"/>
      <c r="V3" s="4"/>
    </row>
    <row r="4" spans="1:22" ht="13.5" thickTop="1" x14ac:dyDescent="0.2">
      <c r="A4" s="763"/>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2" x14ac:dyDescent="0.2">
      <c r="A5" s="764"/>
      <c r="B5" s="202"/>
      <c r="C5" s="113"/>
      <c r="D5" s="82"/>
      <c r="E5" s="105"/>
      <c r="F5" s="82"/>
      <c r="G5" s="82"/>
      <c r="H5" s="105"/>
      <c r="I5" s="247"/>
      <c r="J5" s="247"/>
      <c r="K5" s="247"/>
      <c r="L5" s="247"/>
      <c r="M5" s="247"/>
      <c r="N5" s="247"/>
      <c r="O5" s="247"/>
      <c r="P5" s="105" t="s">
        <v>819</v>
      </c>
      <c r="Q5" s="83" t="s">
        <v>820</v>
      </c>
      <c r="R5" s="83" t="s">
        <v>821</v>
      </c>
      <c r="S5" s="196" t="s">
        <v>822</v>
      </c>
    </row>
    <row r="6" spans="1:22" x14ac:dyDescent="0.2">
      <c r="A6" s="764"/>
      <c r="B6" s="202"/>
      <c r="C6" s="113"/>
      <c r="D6" s="113"/>
      <c r="E6" s="113"/>
      <c r="F6" s="113"/>
      <c r="G6" s="113"/>
      <c r="H6" s="113"/>
      <c r="I6" s="83"/>
      <c r="J6" s="83"/>
      <c r="K6" s="83"/>
      <c r="L6" s="83"/>
      <c r="M6" s="83"/>
      <c r="N6" s="83"/>
      <c r="O6" s="83"/>
      <c r="P6" s="113"/>
      <c r="Q6" s="83" t="s">
        <v>823</v>
      </c>
      <c r="R6" s="83" t="s">
        <v>585</v>
      </c>
      <c r="S6" s="45" t="s">
        <v>824</v>
      </c>
    </row>
    <row r="7" spans="1:22" ht="13.5" thickBot="1" x14ac:dyDescent="0.25">
      <c r="A7" s="765"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2" ht="13.5" thickTop="1" x14ac:dyDescent="0.2">
      <c r="A8" s="766"/>
      <c r="B8" s="203"/>
      <c r="C8" s="118"/>
      <c r="D8" s="18"/>
      <c r="E8" s="18"/>
      <c r="F8" s="18"/>
      <c r="G8" s="18"/>
      <c r="H8" s="18"/>
      <c r="I8" s="18"/>
      <c r="J8" s="18"/>
      <c r="K8" s="19"/>
      <c r="L8" s="19"/>
      <c r="M8" s="19"/>
      <c r="N8" s="19"/>
      <c r="O8" s="19"/>
      <c r="P8" s="18"/>
      <c r="Q8" s="19"/>
      <c r="R8" s="19"/>
      <c r="S8" s="19"/>
    </row>
    <row r="9" spans="1:22" ht="13.5" thickBot="1" x14ac:dyDescent="0.25">
      <c r="A9" s="767">
        <v>5113</v>
      </c>
      <c r="B9" s="60" t="s">
        <v>1253</v>
      </c>
      <c r="C9" s="117">
        <v>5490</v>
      </c>
      <c r="D9" s="15">
        <v>5490</v>
      </c>
      <c r="E9" s="15">
        <v>5490</v>
      </c>
      <c r="F9" s="15">
        <v>5490</v>
      </c>
      <c r="G9" s="15">
        <v>5490</v>
      </c>
      <c r="H9" s="15">
        <v>5490</v>
      </c>
      <c r="I9" s="15">
        <v>5490</v>
      </c>
      <c r="J9" s="15">
        <v>5765</v>
      </c>
      <c r="K9" s="16">
        <v>5765</v>
      </c>
      <c r="L9" s="15">
        <v>5765</v>
      </c>
      <c r="M9" s="16">
        <v>5765</v>
      </c>
      <c r="N9" s="15">
        <v>5765</v>
      </c>
      <c r="O9" s="16">
        <v>5765</v>
      </c>
      <c r="P9" s="15">
        <v>2282.52</v>
      </c>
      <c r="Q9" s="16">
        <v>5765</v>
      </c>
      <c r="R9" s="16"/>
      <c r="S9" s="16"/>
    </row>
    <row r="10" spans="1:22" x14ac:dyDescent="0.2">
      <c r="A10" s="767"/>
      <c r="B10" s="61" t="s">
        <v>828</v>
      </c>
      <c r="C10" s="118">
        <f>SUM(C9:C9)</f>
        <v>5490</v>
      </c>
      <c r="D10" s="18">
        <f>SUM(D9:D9)</f>
        <v>5490</v>
      </c>
      <c r="E10" s="18">
        <f>SUM(E9:E9)</f>
        <v>5490</v>
      </c>
      <c r="F10" s="18">
        <f>SUM(F9)</f>
        <v>5490</v>
      </c>
      <c r="G10" s="18">
        <f>SUM(G9)</f>
        <v>5490</v>
      </c>
      <c r="H10" s="18">
        <f>SUM(H9)</f>
        <v>5490</v>
      </c>
      <c r="I10" s="18">
        <f>+I9</f>
        <v>5490</v>
      </c>
      <c r="J10" s="18">
        <f>+J9</f>
        <v>5765</v>
      </c>
      <c r="K10" s="19">
        <f>+K9</f>
        <v>5765</v>
      </c>
      <c r="L10" s="18">
        <f t="shared" ref="L10:O10" si="0">+L9</f>
        <v>5765</v>
      </c>
      <c r="M10" s="19">
        <f t="shared" si="0"/>
        <v>5765</v>
      </c>
      <c r="N10" s="18">
        <f t="shared" ref="N10" si="1">+N9</f>
        <v>5765</v>
      </c>
      <c r="O10" s="19">
        <f t="shared" si="0"/>
        <v>5765</v>
      </c>
      <c r="P10" s="18">
        <f>SUM(P9:P9)</f>
        <v>2282.52</v>
      </c>
      <c r="Q10" s="19">
        <f>+Q9</f>
        <v>5765</v>
      </c>
      <c r="R10" s="19"/>
      <c r="S10" s="19">
        <f>+S9</f>
        <v>0</v>
      </c>
    </row>
    <row r="11" spans="1:22" x14ac:dyDescent="0.2">
      <c r="A11" s="767"/>
      <c r="B11" s="60"/>
      <c r="C11" s="116"/>
      <c r="D11" s="13"/>
      <c r="E11" s="13"/>
      <c r="F11" s="13"/>
      <c r="G11" s="13"/>
      <c r="H11" s="13"/>
      <c r="I11" s="13"/>
      <c r="J11" s="13"/>
      <c r="K11" s="14"/>
      <c r="L11" s="13"/>
      <c r="M11" s="14"/>
      <c r="N11" s="13"/>
      <c r="O11" s="14"/>
      <c r="P11" s="13"/>
      <c r="Q11" s="14"/>
      <c r="R11" s="14"/>
      <c r="S11" s="14"/>
    </row>
    <row r="12" spans="1:22" hidden="1" x14ac:dyDescent="0.2">
      <c r="A12" s="767">
        <v>5380</v>
      </c>
      <c r="B12" s="60" t="s">
        <v>1254</v>
      </c>
      <c r="C12" s="228">
        <v>100</v>
      </c>
      <c r="D12" s="35">
        <v>100</v>
      </c>
      <c r="E12" s="35">
        <v>100</v>
      </c>
      <c r="F12" s="35">
        <v>150</v>
      </c>
      <c r="G12" s="35"/>
      <c r="H12" s="35"/>
      <c r="I12" s="35"/>
      <c r="J12" s="35"/>
      <c r="K12" s="36"/>
      <c r="L12" s="35"/>
      <c r="M12" s="36"/>
      <c r="N12" s="35"/>
      <c r="O12" s="36"/>
      <c r="P12" s="35"/>
      <c r="Q12" s="36"/>
      <c r="R12" s="36"/>
      <c r="S12" s="36"/>
    </row>
    <row r="13" spans="1:22" ht="13.5" thickBot="1" x14ac:dyDescent="0.25">
      <c r="A13" s="767">
        <v>5420</v>
      </c>
      <c r="B13" s="60" t="s">
        <v>1255</v>
      </c>
      <c r="C13" s="117"/>
      <c r="D13" s="15"/>
      <c r="E13" s="15"/>
      <c r="F13" s="15"/>
      <c r="G13" s="15"/>
      <c r="H13" s="15"/>
      <c r="I13" s="15"/>
      <c r="J13" s="15"/>
      <c r="K13" s="16"/>
      <c r="L13" s="15"/>
      <c r="M13" s="16">
        <v>500</v>
      </c>
      <c r="N13" s="15"/>
      <c r="O13" s="16">
        <v>500</v>
      </c>
      <c r="P13" s="15"/>
      <c r="Q13" s="16">
        <v>500</v>
      </c>
      <c r="R13" s="16"/>
      <c r="S13" s="16"/>
    </row>
    <row r="14" spans="1:22" x14ac:dyDescent="0.2">
      <c r="A14" s="767"/>
      <c r="B14" s="61" t="s">
        <v>838</v>
      </c>
      <c r="C14" s="118">
        <f>SUM(C13:C13)</f>
        <v>0</v>
      </c>
      <c r="D14" s="18">
        <f t="shared" ref="D14:Q14" si="2">SUM(D12:D13)</f>
        <v>100</v>
      </c>
      <c r="E14" s="18">
        <f t="shared" si="2"/>
        <v>100</v>
      </c>
      <c r="F14" s="18">
        <f>SUM(F12:F13)</f>
        <v>150</v>
      </c>
      <c r="G14" s="18">
        <f>SUM(G12:G13)</f>
        <v>0</v>
      </c>
      <c r="H14" s="18">
        <f>SUM(H12:H13)</f>
        <v>0</v>
      </c>
      <c r="I14" s="18">
        <f t="shared" si="2"/>
        <v>0</v>
      </c>
      <c r="J14" s="18">
        <f t="shared" ref="J14" si="3">SUM(J12:J13)</f>
        <v>0</v>
      </c>
      <c r="K14" s="19">
        <f t="shared" ref="K14:O14" si="4">SUM(K12:K13)</f>
        <v>0</v>
      </c>
      <c r="L14" s="18">
        <f t="shared" si="4"/>
        <v>0</v>
      </c>
      <c r="M14" s="19">
        <f t="shared" si="4"/>
        <v>500</v>
      </c>
      <c r="N14" s="18">
        <f t="shared" ref="N14" si="5">SUM(N12:N13)</f>
        <v>0</v>
      </c>
      <c r="O14" s="19">
        <f t="shared" si="4"/>
        <v>500</v>
      </c>
      <c r="P14" s="18">
        <f t="shared" si="2"/>
        <v>0</v>
      </c>
      <c r="Q14" s="19">
        <f t="shared" si="2"/>
        <v>500</v>
      </c>
      <c r="R14" s="19"/>
      <c r="S14" s="19">
        <f>SUM(S12:S13)</f>
        <v>0</v>
      </c>
    </row>
    <row r="15" spans="1:22" x14ac:dyDescent="0.2">
      <c r="A15" s="767"/>
      <c r="B15" s="60"/>
      <c r="C15" s="116"/>
      <c r="D15" s="13"/>
      <c r="E15" s="13"/>
      <c r="F15" s="13"/>
      <c r="G15" s="13"/>
      <c r="H15" s="13"/>
      <c r="I15" s="13"/>
      <c r="J15" s="13"/>
      <c r="K15" s="14"/>
      <c r="L15" s="13"/>
      <c r="M15" s="14"/>
      <c r="N15" s="13"/>
      <c r="O15" s="14"/>
      <c r="P15" s="13"/>
      <c r="Q15" s="14"/>
      <c r="R15" s="14"/>
      <c r="S15" s="14"/>
    </row>
    <row r="16" spans="1:22" ht="13.5" thickBot="1" x14ac:dyDescent="0.25">
      <c r="A16" s="768"/>
      <c r="B16" s="602" t="s">
        <v>1256</v>
      </c>
      <c r="C16" s="596">
        <f t="shared" ref="C16:Q16" si="6">+C14+C10</f>
        <v>5490</v>
      </c>
      <c r="D16" s="21">
        <f t="shared" si="6"/>
        <v>5590</v>
      </c>
      <c r="E16" s="21">
        <f>+E14+E10</f>
        <v>5590</v>
      </c>
      <c r="F16" s="21">
        <f>+F14+F10</f>
        <v>5640</v>
      </c>
      <c r="G16" s="21">
        <f>+G14+G10</f>
        <v>5490</v>
      </c>
      <c r="H16" s="21">
        <f>+H14+H10</f>
        <v>5490</v>
      </c>
      <c r="I16" s="21">
        <f t="shared" si="6"/>
        <v>5490</v>
      </c>
      <c r="J16" s="21">
        <f t="shared" ref="J16" si="7">+J14+J10</f>
        <v>5765</v>
      </c>
      <c r="K16" s="22">
        <f t="shared" ref="K16:O16" si="8">+K14+K10</f>
        <v>5765</v>
      </c>
      <c r="L16" s="21">
        <f t="shared" si="8"/>
        <v>5765</v>
      </c>
      <c r="M16" s="22">
        <f t="shared" si="8"/>
        <v>6265</v>
      </c>
      <c r="N16" s="21">
        <f t="shared" ref="N16" si="9">+N14+N10</f>
        <v>5765</v>
      </c>
      <c r="O16" s="22">
        <f t="shared" si="8"/>
        <v>6265</v>
      </c>
      <c r="P16" s="21">
        <f t="shared" si="6"/>
        <v>2282.52</v>
      </c>
      <c r="Q16" s="22">
        <f t="shared" si="6"/>
        <v>6265</v>
      </c>
      <c r="R16" s="22">
        <f>+Q16</f>
        <v>6265</v>
      </c>
      <c r="S16" s="22">
        <f>+Q16</f>
        <v>6265</v>
      </c>
    </row>
    <row r="17" spans="1:22" ht="13.5" thickTop="1" x14ac:dyDescent="0.2">
      <c r="A17" s="769"/>
      <c r="B17" s="603"/>
      <c r="C17" s="1094"/>
      <c r="D17" s="1094"/>
      <c r="E17" s="1094"/>
      <c r="F17" s="1094"/>
      <c r="G17" s="1094"/>
      <c r="H17" s="1094"/>
      <c r="I17" s="1094"/>
      <c r="J17" s="1094"/>
      <c r="K17" s="1094"/>
      <c r="L17" s="1094"/>
      <c r="M17" s="1094"/>
      <c r="N17" s="1094"/>
      <c r="O17" s="1094"/>
      <c r="P17" s="199" t="s">
        <v>843</v>
      </c>
      <c r="Q17" s="1116">
        <f>+Q16-O16</f>
        <v>0</v>
      </c>
      <c r="R17" s="1117">
        <f>ROUND((+Q17/O16),4)</f>
        <v>0</v>
      </c>
      <c r="S17" s="120"/>
    </row>
    <row r="18" spans="1:22" x14ac:dyDescent="0.2">
      <c r="A18" s="769"/>
      <c r="B18" s="603"/>
      <c r="C18" s="120"/>
      <c r="D18" s="1087"/>
      <c r="E18" s="1087"/>
      <c r="F18" s="1087"/>
      <c r="G18" s="1087"/>
      <c r="H18" s="1087"/>
      <c r="I18" s="1087"/>
      <c r="J18" s="1087"/>
      <c r="K18" s="1087"/>
      <c r="L18" s="1087"/>
      <c r="M18" s="1087"/>
      <c r="N18" s="1087"/>
      <c r="O18" s="1087"/>
      <c r="Q18" s="120"/>
      <c r="R18" s="120"/>
      <c r="S18" s="120"/>
    </row>
    <row r="19" spans="1:22" ht="13.5" thickBot="1" x14ac:dyDescent="0.25">
      <c r="A19" s="769"/>
      <c r="B19" s="4"/>
      <c r="C19" s="103"/>
      <c r="D19" s="211"/>
      <c r="E19" s="211"/>
      <c r="F19" s="211"/>
      <c r="G19" s="211"/>
      <c r="H19" s="211"/>
      <c r="I19" s="211"/>
      <c r="J19" s="211"/>
      <c r="K19" s="211"/>
      <c r="L19" s="211"/>
      <c r="M19" s="211"/>
      <c r="N19" s="211"/>
      <c r="O19" s="211"/>
      <c r="P19" s="84"/>
      <c r="Q19" s="103"/>
      <c r="R19" s="103"/>
      <c r="S19" s="103"/>
      <c r="T19" s="84"/>
      <c r="U19" s="84"/>
      <c r="V19" s="84"/>
    </row>
    <row r="20" spans="1:22" ht="13.5" thickTop="1" x14ac:dyDescent="0.2">
      <c r="A20" s="770"/>
      <c r="B20" s="367"/>
      <c r="C20" s="368" t="s">
        <v>280</v>
      </c>
      <c r="D20" s="369" t="s">
        <v>280</v>
      </c>
      <c r="E20" s="369" t="s">
        <v>280</v>
      </c>
      <c r="F20" s="212"/>
      <c r="G20" s="212"/>
      <c r="H20" s="212"/>
      <c r="I20" s="212"/>
      <c r="J20" s="212"/>
      <c r="K20" s="212"/>
      <c r="L20" s="212"/>
      <c r="M20" s="370" t="s">
        <v>279</v>
      </c>
      <c r="N20" s="371" t="s">
        <v>826</v>
      </c>
      <c r="O20" s="372" t="s">
        <v>840</v>
      </c>
      <c r="P20" s="371" t="s">
        <v>841</v>
      </c>
      <c r="Q20" s="373"/>
      <c r="R20" s="569"/>
      <c r="S20" s="372"/>
      <c r="T20" s="84"/>
      <c r="U20" s="84"/>
      <c r="V20" s="84"/>
    </row>
    <row r="21" spans="1:22" ht="13.5" thickBot="1" x14ac:dyDescent="0.25">
      <c r="A21" s="915" t="s">
        <v>825</v>
      </c>
      <c r="B21" s="446"/>
      <c r="C21" s="916" t="s">
        <v>267</v>
      </c>
      <c r="D21" s="916" t="s">
        <v>268</v>
      </c>
      <c r="E21" s="434" t="s">
        <v>269</v>
      </c>
      <c r="F21" s="212"/>
      <c r="G21" s="212"/>
      <c r="H21" s="212"/>
      <c r="I21" s="212"/>
      <c r="J21" s="212"/>
      <c r="K21" s="212"/>
      <c r="L21" s="212"/>
      <c r="M21" s="377" t="s">
        <v>277</v>
      </c>
      <c r="N21" s="377" t="s">
        <v>571</v>
      </c>
      <c r="O21" s="434" t="s">
        <v>843</v>
      </c>
      <c r="P21" s="435" t="s">
        <v>843</v>
      </c>
      <c r="Q21" s="436" t="s">
        <v>844</v>
      </c>
      <c r="R21" s="1020"/>
      <c r="S21" s="433"/>
      <c r="T21" s="25"/>
      <c r="U21" s="25"/>
      <c r="V21" s="25"/>
    </row>
    <row r="22" spans="1:22" ht="13.5" thickTop="1" x14ac:dyDescent="0.2">
      <c r="A22" s="917"/>
      <c r="B22" s="415"/>
      <c r="C22" s="391"/>
      <c r="D22" s="391"/>
      <c r="E22" s="391"/>
      <c r="F22" s="1093"/>
      <c r="G22" s="1093"/>
      <c r="H22" s="1093"/>
      <c r="I22" s="212"/>
      <c r="J22" s="212"/>
      <c r="K22" s="212"/>
      <c r="L22" s="212"/>
      <c r="M22" s="390"/>
      <c r="N22" s="438"/>
      <c r="O22" s="449"/>
      <c r="P22" s="439"/>
      <c r="Q22" s="390"/>
      <c r="R22" s="390"/>
      <c r="S22" s="390"/>
      <c r="T22" s="25"/>
      <c r="U22" s="25"/>
      <c r="V22" s="25"/>
    </row>
    <row r="23" spans="1:22" x14ac:dyDescent="0.2">
      <c r="A23" s="917">
        <v>5113</v>
      </c>
      <c r="B23" s="415" t="s">
        <v>1257</v>
      </c>
      <c r="C23" s="391">
        <v>5490</v>
      </c>
      <c r="D23" s="391">
        <v>5490</v>
      </c>
      <c r="E23" s="391">
        <v>5490</v>
      </c>
      <c r="F23" s="1093"/>
      <c r="G23" s="1093"/>
      <c r="H23" s="1093"/>
      <c r="I23" s="212"/>
      <c r="J23" s="212"/>
      <c r="K23" s="212"/>
      <c r="L23" s="212"/>
      <c r="M23" s="390">
        <f>+K9</f>
        <v>5765</v>
      </c>
      <c r="N23" s="411">
        <f>+Q9</f>
        <v>5765</v>
      </c>
      <c r="O23" s="390">
        <f>+N23-M23</f>
        <v>0</v>
      </c>
      <c r="P23" s="736" t="str">
        <f>IF(M23+N23&lt;&gt;0,IF(M23&lt;&gt;0,IF(O23&lt;&gt;0,ROUND((+O23/M23),4),""),1),"")</f>
        <v/>
      </c>
      <c r="Q23" s="390"/>
      <c r="R23" s="390"/>
      <c r="S23" s="390"/>
      <c r="T23" s="25"/>
      <c r="U23" s="25"/>
      <c r="V23" s="25"/>
    </row>
    <row r="24" spans="1:22" hidden="1" x14ac:dyDescent="0.2">
      <c r="A24" s="917">
        <v>5380</v>
      </c>
      <c r="B24" s="415" t="s">
        <v>1254</v>
      </c>
      <c r="C24" s="391">
        <v>100</v>
      </c>
      <c r="D24" s="391">
        <v>100</v>
      </c>
      <c r="E24" s="391">
        <v>100</v>
      </c>
      <c r="F24" s="1093"/>
      <c r="G24" s="1093"/>
      <c r="H24" s="1093"/>
      <c r="I24" s="212"/>
      <c r="J24" s="212"/>
      <c r="K24" s="212"/>
      <c r="L24" s="212"/>
      <c r="M24" s="390"/>
      <c r="N24" s="391"/>
      <c r="O24" s="390"/>
      <c r="P24" s="391"/>
      <c r="Q24" s="390"/>
      <c r="R24" s="390"/>
      <c r="S24" s="390"/>
      <c r="T24" s="25"/>
      <c r="U24" s="25"/>
      <c r="V24" s="25"/>
    </row>
    <row r="25" spans="1:22" hidden="1" x14ac:dyDescent="0.2">
      <c r="A25" s="917">
        <v>5420</v>
      </c>
      <c r="B25" s="415" t="s">
        <v>1255</v>
      </c>
      <c r="C25" s="391"/>
      <c r="D25" s="391"/>
      <c r="E25" s="391"/>
      <c r="F25" s="1093"/>
      <c r="G25" s="1093"/>
      <c r="H25" s="1093"/>
      <c r="I25" s="212"/>
      <c r="J25" s="212"/>
      <c r="K25" s="212"/>
      <c r="L25" s="212"/>
      <c r="M25" s="390"/>
      <c r="N25" s="391"/>
      <c r="O25" s="390"/>
      <c r="P25" s="391"/>
      <c r="Q25" s="390"/>
      <c r="R25" s="390"/>
      <c r="S25" s="390"/>
      <c r="T25" s="25"/>
      <c r="U25" s="25"/>
      <c r="V25" s="25"/>
    </row>
    <row r="26" spans="1:22" x14ac:dyDescent="0.2">
      <c r="A26" s="917">
        <v>5420</v>
      </c>
      <c r="B26" s="415" t="s">
        <v>1255</v>
      </c>
      <c r="C26" s="391"/>
      <c r="D26" s="391"/>
      <c r="E26" s="391"/>
      <c r="F26" s="1093"/>
      <c r="G26" s="1093"/>
      <c r="H26" s="1093"/>
      <c r="I26" s="212"/>
      <c r="J26" s="212"/>
      <c r="K26" s="212"/>
      <c r="L26" s="212"/>
      <c r="M26" s="390">
        <f>+O13</f>
        <v>500</v>
      </c>
      <c r="N26" s="391">
        <f>+Q13</f>
        <v>500</v>
      </c>
      <c r="O26" s="390"/>
      <c r="P26" s="391"/>
      <c r="Q26" s="390"/>
      <c r="R26" s="390"/>
      <c r="S26" s="390"/>
      <c r="T26" s="25"/>
      <c r="U26" s="25"/>
      <c r="V26" s="25"/>
    </row>
    <row r="27" spans="1:22" x14ac:dyDescent="0.2">
      <c r="A27" s="762"/>
      <c r="B27" s="4"/>
      <c r="C27" s="23"/>
      <c r="D27" s="23"/>
      <c r="E27" s="23"/>
      <c r="F27" s="23"/>
      <c r="G27" s="23"/>
      <c r="H27" s="212"/>
      <c r="I27" s="212"/>
      <c r="J27" s="212"/>
      <c r="K27" s="212"/>
      <c r="L27" s="212"/>
      <c r="M27" s="23"/>
      <c r="N27" s="23"/>
      <c r="O27" s="23"/>
      <c r="P27" s="25"/>
      <c r="Q27" s="23"/>
      <c r="R27" s="23"/>
      <c r="S27" s="23"/>
      <c r="T27" s="25"/>
      <c r="U27" s="25"/>
      <c r="V27" s="25"/>
    </row>
    <row r="28" spans="1:22" x14ac:dyDescent="0.2">
      <c r="A28" s="762"/>
      <c r="B28" s="4" t="s">
        <v>846</v>
      </c>
      <c r="C28" s="23"/>
      <c r="D28" s="23"/>
      <c r="E28" s="23"/>
      <c r="F28" s="23"/>
      <c r="G28" s="23"/>
      <c r="H28" s="212"/>
      <c r="I28" s="212"/>
      <c r="J28" s="212"/>
      <c r="K28" s="212"/>
      <c r="L28" s="212"/>
      <c r="M28" s="616">
        <f>SUM(M23:M27)</f>
        <v>6265</v>
      </c>
      <c r="N28" s="616">
        <f>SUM(N23:N27)</f>
        <v>6265</v>
      </c>
      <c r="O28" s="25">
        <f>+N28-M28</f>
        <v>0</v>
      </c>
      <c r="P28" s="617" t="str">
        <f>IF(M28+N28&lt;&gt;0,IF(M28&lt;&gt;0,IF(O28&lt;&gt;0,ROUND((+O28/M28),4),""),1),"")</f>
        <v/>
      </c>
      <c r="Q28" s="23"/>
      <c r="R28" s="23"/>
      <c r="S28" s="23"/>
      <c r="T28" s="25"/>
      <c r="U28" s="25"/>
      <c r="V28" s="25"/>
    </row>
    <row r="29" spans="1:22" x14ac:dyDescent="0.2">
      <c r="A29" s="762"/>
      <c r="B29" s="4"/>
      <c r="C29" s="23"/>
      <c r="D29" s="23"/>
      <c r="E29" s="23"/>
      <c r="F29" s="23"/>
      <c r="G29" s="23"/>
      <c r="H29" s="23"/>
      <c r="I29" s="23"/>
      <c r="J29" s="23"/>
      <c r="K29" s="23"/>
      <c r="L29" s="23"/>
      <c r="M29" s="23"/>
      <c r="N29" s="23"/>
      <c r="O29" s="23"/>
      <c r="P29" s="25"/>
      <c r="Q29" s="23"/>
      <c r="R29" s="23"/>
      <c r="S29" s="23"/>
      <c r="T29" s="25"/>
      <c r="U29" s="25"/>
      <c r="V29" s="25"/>
    </row>
    <row r="30" spans="1:22" x14ac:dyDescent="0.2">
      <c r="A30" s="879"/>
      <c r="B30" s="278"/>
      <c r="C30" s="320"/>
      <c r="D30" s="320"/>
      <c r="E30" s="320"/>
      <c r="F30" s="320"/>
      <c r="G30" s="320"/>
      <c r="H30" s="320"/>
      <c r="I30" s="320"/>
      <c r="J30" s="320"/>
      <c r="K30" s="320"/>
      <c r="L30" s="320"/>
      <c r="M30" s="320"/>
      <c r="N30" s="320"/>
      <c r="O30" s="320"/>
      <c r="P30" s="199"/>
      <c r="Q30" s="320"/>
      <c r="R30" s="320"/>
      <c r="S30" s="320"/>
      <c r="T30" s="25"/>
      <c r="U30" s="25"/>
      <c r="V30" s="25"/>
    </row>
    <row r="31" spans="1:22" x14ac:dyDescent="0.2">
      <c r="A31" s="762"/>
      <c r="B31" s="4"/>
      <c r="C31" s="23"/>
      <c r="D31" s="23"/>
      <c r="E31" s="23"/>
      <c r="F31" s="23"/>
      <c r="G31" s="23"/>
      <c r="H31" s="23"/>
      <c r="I31" s="23"/>
      <c r="J31" s="23"/>
      <c r="K31" s="23"/>
      <c r="L31" s="23"/>
      <c r="M31" s="23"/>
      <c r="N31" s="23"/>
      <c r="O31" s="23"/>
      <c r="P31" s="25"/>
      <c r="Q31" s="23"/>
      <c r="R31" s="23"/>
      <c r="S31" s="23"/>
      <c r="T31" s="25"/>
      <c r="U31" s="25"/>
      <c r="V31" s="25"/>
    </row>
    <row r="32" spans="1:22" x14ac:dyDescent="0.2">
      <c r="A32" s="762"/>
      <c r="B32" s="4"/>
      <c r="C32" s="23"/>
      <c r="D32" s="23"/>
      <c r="E32" s="23"/>
      <c r="F32" s="23"/>
      <c r="G32" s="23"/>
      <c r="H32" s="23"/>
      <c r="I32" s="23"/>
      <c r="J32" s="23"/>
      <c r="K32" s="23"/>
      <c r="L32" s="23"/>
      <c r="M32" s="23"/>
      <c r="N32" s="23"/>
      <c r="O32" s="23"/>
      <c r="P32" s="25"/>
      <c r="Q32" s="23"/>
      <c r="R32" s="23"/>
      <c r="S32" s="23"/>
      <c r="T32" s="25"/>
      <c r="U32" s="25"/>
      <c r="V32" s="25"/>
    </row>
    <row r="33" spans="1:22" x14ac:dyDescent="0.2">
      <c r="A33" s="762"/>
      <c r="B33" s="4"/>
      <c r="C33" s="23"/>
      <c r="D33" s="23"/>
      <c r="E33" s="23"/>
      <c r="F33" s="23"/>
      <c r="G33" s="23"/>
      <c r="H33" s="23"/>
      <c r="I33" s="23"/>
      <c r="J33" s="23"/>
      <c r="K33" s="23"/>
      <c r="L33" s="23"/>
      <c r="M33" s="23"/>
      <c r="N33" s="23"/>
      <c r="O33" s="23"/>
      <c r="P33" s="25"/>
      <c r="Q33" s="23"/>
      <c r="R33" s="23"/>
      <c r="S33" s="23"/>
      <c r="T33" s="25"/>
      <c r="U33" s="25"/>
      <c r="V33" s="25"/>
    </row>
    <row r="34" spans="1:22" x14ac:dyDescent="0.2">
      <c r="A34" s="762"/>
      <c r="B34" s="4"/>
      <c r="C34" s="23"/>
      <c r="D34" s="23"/>
      <c r="E34" s="23"/>
      <c r="F34" s="23"/>
      <c r="G34" s="23"/>
      <c r="H34" s="23"/>
      <c r="I34" s="23"/>
      <c r="J34" s="23"/>
      <c r="K34" s="23"/>
      <c r="L34" s="23"/>
      <c r="M34" s="23"/>
      <c r="N34" s="23"/>
      <c r="O34" s="23"/>
      <c r="P34" s="25"/>
      <c r="Q34" s="23"/>
      <c r="R34" s="23"/>
      <c r="S34" s="23"/>
      <c r="T34" s="25"/>
      <c r="U34" s="25"/>
      <c r="V34" s="25"/>
    </row>
    <row r="35" spans="1:22" x14ac:dyDescent="0.2">
      <c r="A35" s="762"/>
      <c r="B35" s="4"/>
      <c r="C35" s="23"/>
      <c r="D35" s="23"/>
      <c r="E35" s="23"/>
      <c r="F35" s="23"/>
      <c r="G35" s="23"/>
      <c r="H35" s="23"/>
      <c r="I35" s="23"/>
      <c r="J35" s="23"/>
      <c r="K35" s="23"/>
      <c r="L35" s="23"/>
      <c r="M35" s="23"/>
      <c r="N35" s="23"/>
      <c r="O35" s="23"/>
      <c r="P35" s="25"/>
      <c r="Q35" s="23"/>
      <c r="R35" s="23"/>
      <c r="S35" s="23"/>
      <c r="T35" s="25"/>
      <c r="U35" s="25"/>
      <c r="V35" s="25"/>
    </row>
    <row r="36" spans="1:22" x14ac:dyDescent="0.2">
      <c r="A36" s="762"/>
      <c r="B36" s="4"/>
      <c r="C36" s="23"/>
      <c r="D36" s="23"/>
      <c r="E36" s="23"/>
      <c r="F36" s="23"/>
      <c r="G36" s="23"/>
      <c r="H36" s="23"/>
      <c r="I36" s="23"/>
      <c r="J36" s="23"/>
      <c r="K36" s="23"/>
      <c r="L36" s="23"/>
      <c r="M36" s="23"/>
      <c r="N36" s="23"/>
      <c r="O36" s="23"/>
      <c r="P36" s="25"/>
      <c r="Q36" s="23"/>
      <c r="R36" s="23"/>
      <c r="S36" s="23"/>
      <c r="T36" s="25"/>
      <c r="U36" s="25"/>
      <c r="V36" s="25"/>
    </row>
    <row r="37" spans="1:22" x14ac:dyDescent="0.2">
      <c r="A37" s="762"/>
      <c r="B37" s="4"/>
      <c r="C37" s="23"/>
      <c r="D37" s="23"/>
      <c r="E37" s="23"/>
      <c r="F37" s="23"/>
      <c r="G37" s="23"/>
      <c r="H37" s="23"/>
      <c r="I37" s="23"/>
      <c r="J37" s="23"/>
      <c r="K37" s="23"/>
      <c r="L37" s="23"/>
      <c r="M37" s="23"/>
      <c r="N37" s="23"/>
      <c r="O37" s="23"/>
      <c r="P37" s="25"/>
      <c r="Q37" s="23"/>
      <c r="R37" s="23"/>
      <c r="S37" s="23"/>
      <c r="T37" s="25"/>
      <c r="U37" s="25"/>
      <c r="V37" s="25"/>
    </row>
    <row r="38" spans="1:22" x14ac:dyDescent="0.2">
      <c r="A38" s="762"/>
      <c r="B38" s="4"/>
      <c r="C38" s="23"/>
      <c r="D38" s="23"/>
      <c r="E38" s="23"/>
      <c r="F38" s="23"/>
      <c r="G38" s="23"/>
      <c r="H38" s="23"/>
      <c r="I38" s="23"/>
      <c r="J38" s="23"/>
      <c r="K38" s="23"/>
      <c r="L38" s="23"/>
      <c r="M38" s="23"/>
      <c r="N38" s="23"/>
      <c r="O38" s="23"/>
      <c r="P38" s="25"/>
      <c r="Q38" s="23"/>
      <c r="R38" s="23"/>
      <c r="S38" s="23"/>
      <c r="T38" s="25"/>
      <c r="U38" s="25"/>
      <c r="V38" s="25"/>
    </row>
    <row r="39" spans="1:22" x14ac:dyDescent="0.2">
      <c r="A39" s="762"/>
      <c r="B39" s="4"/>
      <c r="C39" s="23"/>
      <c r="D39" s="23"/>
      <c r="E39" s="23"/>
      <c r="F39" s="23"/>
      <c r="G39" s="23"/>
      <c r="H39" s="23"/>
      <c r="I39" s="23"/>
      <c r="J39" s="23"/>
      <c r="K39" s="23"/>
      <c r="L39" s="23"/>
      <c r="M39" s="23"/>
      <c r="N39" s="23"/>
      <c r="O39" s="23"/>
      <c r="P39" s="25"/>
      <c r="Q39" s="23"/>
      <c r="R39" s="23"/>
      <c r="S39" s="23"/>
      <c r="T39" s="25"/>
      <c r="U39" s="25"/>
      <c r="V39" s="25"/>
    </row>
    <row r="40" spans="1:22" x14ac:dyDescent="0.2">
      <c r="A40" s="762"/>
      <c r="B40" s="4"/>
      <c r="C40" s="23"/>
      <c r="D40" s="23"/>
      <c r="E40" s="23"/>
      <c r="F40" s="23"/>
      <c r="G40" s="23"/>
      <c r="H40" s="23"/>
      <c r="I40" s="23"/>
      <c r="J40" s="23"/>
      <c r="K40" s="23"/>
      <c r="L40" s="23"/>
      <c r="M40" s="23"/>
      <c r="N40" s="23"/>
      <c r="O40" s="23"/>
      <c r="P40" s="25"/>
      <c r="Q40" s="23"/>
      <c r="R40" s="23"/>
      <c r="S40" s="23"/>
      <c r="T40" s="25"/>
      <c r="U40" s="25"/>
      <c r="V40" s="25"/>
    </row>
    <row r="41" spans="1:22" x14ac:dyDescent="0.2">
      <c r="A41" s="762"/>
      <c r="B41" s="4"/>
      <c r="C41" s="23"/>
      <c r="D41" s="23"/>
      <c r="E41" s="23"/>
      <c r="F41" s="23"/>
      <c r="G41" s="23"/>
      <c r="H41" s="23"/>
      <c r="I41" s="23"/>
      <c r="J41" s="23"/>
      <c r="K41" s="23"/>
      <c r="L41" s="23"/>
      <c r="M41" s="23"/>
      <c r="N41" s="23"/>
      <c r="O41" s="23"/>
      <c r="P41" s="4"/>
      <c r="Q41" s="23"/>
      <c r="R41" s="23"/>
      <c r="S41" s="23"/>
      <c r="T41" s="4"/>
      <c r="U41" s="4"/>
      <c r="V41" s="4"/>
    </row>
    <row r="42" spans="1:22" x14ac:dyDescent="0.2">
      <c r="A42" s="762"/>
      <c r="B42" s="4"/>
      <c r="C42" s="23"/>
      <c r="D42" s="23"/>
      <c r="E42" s="23"/>
      <c r="F42" s="23"/>
      <c r="G42" s="23"/>
      <c r="H42" s="23"/>
      <c r="I42" s="23"/>
      <c r="J42" s="23"/>
      <c r="K42" s="23"/>
      <c r="L42" s="23"/>
      <c r="M42" s="23"/>
      <c r="N42" s="23"/>
      <c r="O42" s="23"/>
      <c r="P42" s="4"/>
      <c r="Q42" s="23"/>
      <c r="R42" s="23"/>
      <c r="S42" s="23"/>
      <c r="T42" s="4"/>
      <c r="U42" s="4"/>
      <c r="V42" s="4"/>
    </row>
    <row r="43" spans="1:22" x14ac:dyDescent="0.2">
      <c r="A43" s="762"/>
      <c r="B43" s="4"/>
      <c r="C43" s="23"/>
      <c r="D43" s="23"/>
      <c r="E43" s="23"/>
      <c r="F43" s="23"/>
      <c r="G43" s="23"/>
      <c r="H43" s="23"/>
      <c r="I43" s="23"/>
      <c r="J43" s="23"/>
      <c r="K43" s="23"/>
      <c r="L43" s="23"/>
      <c r="M43" s="23"/>
      <c r="N43" s="23"/>
      <c r="O43" s="23"/>
      <c r="P43" s="4"/>
      <c r="Q43" s="23"/>
      <c r="R43" s="23"/>
      <c r="S43" s="23"/>
      <c r="T43" s="4"/>
      <c r="U43" s="4"/>
      <c r="V43" s="4"/>
    </row>
    <row r="44" spans="1:22" x14ac:dyDescent="0.2">
      <c r="A44" s="762"/>
      <c r="B44" s="4"/>
      <c r="C44" s="23"/>
      <c r="D44" s="23"/>
      <c r="E44" s="23"/>
      <c r="F44" s="23"/>
      <c r="G44" s="23"/>
      <c r="H44" s="23"/>
      <c r="I44" s="23"/>
      <c r="J44" s="23"/>
      <c r="K44" s="23"/>
      <c r="L44" s="23"/>
      <c r="M44" s="23"/>
      <c r="N44" s="23"/>
      <c r="O44" s="23"/>
      <c r="P44" s="4"/>
      <c r="Q44" s="23"/>
      <c r="R44" s="23"/>
      <c r="S44" s="23"/>
      <c r="T44" s="4"/>
      <c r="U44" s="4"/>
      <c r="V44" s="4"/>
    </row>
    <row r="45" spans="1:22" x14ac:dyDescent="0.2">
      <c r="A45" s="762"/>
      <c r="B45" s="4"/>
      <c r="C45" s="23"/>
      <c r="D45" s="23"/>
      <c r="E45" s="23"/>
      <c r="F45" s="23"/>
      <c r="G45" s="23"/>
      <c r="H45" s="23"/>
      <c r="I45" s="23"/>
      <c r="J45" s="23"/>
      <c r="K45" s="23"/>
      <c r="L45" s="23"/>
      <c r="M45" s="23"/>
      <c r="N45" s="23"/>
      <c r="O45" s="23"/>
      <c r="P45" s="4"/>
      <c r="Q45" s="23"/>
      <c r="R45" s="23"/>
      <c r="S45" s="23"/>
      <c r="T45" s="4"/>
      <c r="U45" s="4"/>
      <c r="V45" s="4"/>
    </row>
    <row r="46" spans="1:22" x14ac:dyDescent="0.2">
      <c r="A46" s="762"/>
      <c r="B46" s="4"/>
      <c r="C46" s="23"/>
      <c r="D46" s="23"/>
      <c r="E46" s="23"/>
      <c r="F46" s="23"/>
      <c r="G46" s="23"/>
      <c r="H46" s="23"/>
      <c r="I46" s="23"/>
      <c r="J46" s="23"/>
      <c r="K46" s="23"/>
      <c r="L46" s="23"/>
      <c r="M46" s="23"/>
      <c r="N46" s="23"/>
      <c r="O46" s="23"/>
      <c r="P46" s="4"/>
      <c r="Q46" s="23"/>
      <c r="R46" s="23"/>
      <c r="S46" s="23"/>
      <c r="T46" s="4"/>
      <c r="U46" s="4"/>
      <c r="V46" s="4"/>
    </row>
    <row r="47" spans="1:22" x14ac:dyDescent="0.2">
      <c r="A47" s="762"/>
      <c r="B47" s="4"/>
      <c r="C47" s="23"/>
      <c r="D47" s="23"/>
      <c r="E47" s="23"/>
      <c r="F47" s="23"/>
      <c r="G47" s="23"/>
      <c r="H47" s="23"/>
      <c r="I47" s="23"/>
      <c r="J47" s="23"/>
      <c r="K47" s="23"/>
      <c r="L47" s="23"/>
      <c r="M47" s="23"/>
      <c r="N47" s="23"/>
      <c r="O47" s="23"/>
      <c r="P47" s="4"/>
      <c r="Q47" s="23"/>
      <c r="R47" s="23"/>
      <c r="S47" s="23"/>
      <c r="T47" s="4"/>
      <c r="U47" s="4"/>
      <c r="V47" s="4"/>
    </row>
    <row r="48" spans="1:22" x14ac:dyDescent="0.2">
      <c r="A48" s="762"/>
      <c r="B48" s="4"/>
      <c r="C48" s="23"/>
      <c r="D48" s="23"/>
      <c r="E48" s="23"/>
      <c r="F48" s="23"/>
      <c r="G48" s="23"/>
      <c r="H48" s="23"/>
      <c r="I48" s="23"/>
      <c r="J48" s="23"/>
      <c r="K48" s="23"/>
      <c r="L48" s="23"/>
      <c r="M48" s="23"/>
      <c r="N48" s="23"/>
      <c r="O48" s="23"/>
      <c r="P48" s="4"/>
      <c r="Q48" s="23"/>
      <c r="R48" s="23"/>
      <c r="S48" s="23"/>
      <c r="T48" s="4"/>
      <c r="U48" s="4"/>
      <c r="V48" s="4"/>
    </row>
    <row r="49" spans="1:22" x14ac:dyDescent="0.2">
      <c r="A49" s="762"/>
      <c r="B49" s="4"/>
      <c r="C49" s="23"/>
      <c r="D49" s="23"/>
      <c r="E49" s="23"/>
      <c r="F49" s="23"/>
      <c r="G49" s="23"/>
      <c r="H49" s="23"/>
      <c r="I49" s="23"/>
      <c r="J49" s="23"/>
      <c r="K49" s="23"/>
      <c r="L49" s="23"/>
      <c r="M49" s="23"/>
      <c r="N49" s="23"/>
      <c r="O49" s="23"/>
      <c r="P49" s="4"/>
      <c r="Q49" s="23"/>
      <c r="R49" s="23"/>
      <c r="S49" s="23"/>
      <c r="T49" s="4"/>
      <c r="U49" s="4"/>
      <c r="V49" s="4"/>
    </row>
    <row r="50" spans="1:22" x14ac:dyDescent="0.2">
      <c r="A50" s="762"/>
      <c r="B50" s="4"/>
      <c r="C50" s="23"/>
      <c r="D50" s="23"/>
      <c r="E50" s="23"/>
      <c r="F50" s="23"/>
      <c r="G50" s="23"/>
      <c r="H50" s="23"/>
      <c r="I50" s="23"/>
      <c r="J50" s="23"/>
      <c r="K50" s="23"/>
      <c r="L50" s="23"/>
      <c r="M50" s="23"/>
      <c r="N50" s="23"/>
      <c r="O50" s="23"/>
      <c r="P50" s="4"/>
      <c r="Q50" s="23"/>
      <c r="R50" s="23"/>
      <c r="S50" s="23"/>
      <c r="T50" s="4"/>
      <c r="U50" s="4"/>
      <c r="V50" s="4"/>
    </row>
    <row r="51" spans="1:22" x14ac:dyDescent="0.2">
      <c r="A51" s="762"/>
      <c r="B51" s="4"/>
      <c r="C51" s="23"/>
      <c r="D51" s="23"/>
      <c r="E51" s="23"/>
      <c r="F51" s="23"/>
      <c r="G51" s="23"/>
      <c r="H51" s="23"/>
      <c r="I51" s="23"/>
      <c r="J51" s="23"/>
      <c r="K51" s="23"/>
      <c r="L51" s="23"/>
      <c r="M51" s="23"/>
      <c r="N51" s="23"/>
      <c r="O51" s="23"/>
      <c r="P51" s="4"/>
      <c r="Q51" s="23"/>
      <c r="R51" s="23"/>
      <c r="S51" s="23"/>
      <c r="T51" s="4"/>
      <c r="U51" s="4"/>
      <c r="V51" s="4"/>
    </row>
    <row r="52" spans="1:22" x14ac:dyDescent="0.2">
      <c r="A52" s="762"/>
      <c r="B52" s="4"/>
      <c r="C52" s="23"/>
      <c r="D52" s="23"/>
      <c r="E52" s="23"/>
      <c r="F52" s="23"/>
      <c r="G52" s="23"/>
      <c r="H52" s="23"/>
      <c r="I52" s="23"/>
      <c r="J52" s="23"/>
      <c r="K52" s="23"/>
      <c r="L52" s="23"/>
      <c r="M52" s="23"/>
      <c r="N52" s="23"/>
      <c r="O52" s="23"/>
      <c r="P52" s="4"/>
      <c r="Q52" s="23"/>
      <c r="R52" s="23"/>
      <c r="S52" s="23"/>
      <c r="T52" s="4"/>
      <c r="U52" s="4"/>
      <c r="V52" s="4"/>
    </row>
    <row r="53" spans="1:22" x14ac:dyDescent="0.2">
      <c r="A53" s="762"/>
      <c r="B53" s="4"/>
      <c r="C53" s="23"/>
      <c r="D53" s="23"/>
      <c r="E53" s="23"/>
      <c r="F53" s="23"/>
      <c r="G53" s="23"/>
      <c r="H53" s="23"/>
      <c r="I53" s="23"/>
      <c r="J53" s="23"/>
      <c r="K53" s="23"/>
      <c r="L53" s="23"/>
      <c r="M53" s="23"/>
      <c r="N53" s="23"/>
      <c r="O53" s="23"/>
      <c r="P53" s="4"/>
      <c r="Q53" s="23"/>
      <c r="R53" s="23"/>
      <c r="S53" s="23"/>
      <c r="T53" s="4"/>
      <c r="U53" s="4"/>
      <c r="V53" s="4"/>
    </row>
    <row r="54" spans="1:22" x14ac:dyDescent="0.2">
      <c r="A54" s="762"/>
      <c r="B54" s="4"/>
      <c r="C54" s="23"/>
      <c r="D54" s="23"/>
      <c r="E54" s="23"/>
      <c r="F54" s="23"/>
      <c r="G54" s="23"/>
      <c r="H54" s="23"/>
      <c r="I54" s="23"/>
      <c r="J54" s="23"/>
      <c r="K54" s="23"/>
      <c r="L54" s="23"/>
      <c r="M54" s="23"/>
      <c r="N54" s="23"/>
      <c r="O54" s="23"/>
      <c r="P54" s="4"/>
      <c r="Q54" s="23"/>
      <c r="R54" s="23"/>
      <c r="S54" s="23"/>
      <c r="T54" s="4"/>
      <c r="U54" s="4"/>
      <c r="V54" s="4"/>
    </row>
    <row r="55" spans="1:22" x14ac:dyDescent="0.2">
      <c r="A55" s="762"/>
      <c r="B55" s="4"/>
      <c r="C55" s="23"/>
      <c r="D55" s="23"/>
      <c r="E55" s="23"/>
      <c r="F55" s="23"/>
      <c r="G55" s="23"/>
      <c r="H55" s="23"/>
      <c r="I55" s="23"/>
      <c r="J55" s="23"/>
      <c r="K55" s="23"/>
      <c r="L55" s="23"/>
      <c r="M55" s="23"/>
      <c r="N55" s="23"/>
      <c r="O55" s="23"/>
      <c r="P55" s="4"/>
      <c r="Q55" s="23"/>
      <c r="R55" s="23"/>
      <c r="S55" s="23"/>
      <c r="T55" s="4"/>
      <c r="U55" s="4"/>
      <c r="V55" s="4"/>
    </row>
    <row r="56" spans="1:22" x14ac:dyDescent="0.2">
      <c r="A56" s="762"/>
      <c r="B56" s="4"/>
      <c r="C56" s="23"/>
      <c r="D56" s="23"/>
      <c r="E56" s="23"/>
      <c r="F56" s="23"/>
      <c r="G56" s="23"/>
      <c r="H56" s="23"/>
      <c r="I56" s="23"/>
      <c r="J56" s="23"/>
      <c r="K56" s="23"/>
      <c r="L56" s="23"/>
      <c r="M56" s="23"/>
      <c r="N56" s="23"/>
      <c r="O56" s="23"/>
      <c r="P56" s="4"/>
      <c r="Q56" s="23"/>
      <c r="R56" s="23"/>
      <c r="S56" s="23"/>
      <c r="T56" s="4"/>
      <c r="U56" s="4"/>
      <c r="V56" s="4"/>
    </row>
    <row r="57" spans="1:22" x14ac:dyDescent="0.2">
      <c r="A57" s="762"/>
      <c r="B57" s="4"/>
      <c r="C57" s="23"/>
      <c r="D57" s="23"/>
      <c r="E57" s="23"/>
      <c r="F57" s="23"/>
      <c r="G57" s="23"/>
      <c r="H57" s="23"/>
      <c r="I57" s="23"/>
      <c r="J57" s="23"/>
      <c r="K57" s="23"/>
      <c r="L57" s="23"/>
      <c r="M57" s="23"/>
      <c r="N57" s="23"/>
      <c r="O57" s="23"/>
      <c r="P57" s="4"/>
      <c r="Q57" s="23"/>
      <c r="R57" s="23"/>
      <c r="S57" s="23"/>
      <c r="T57" s="4"/>
      <c r="U57" s="4"/>
      <c r="V57" s="4"/>
    </row>
    <row r="58" spans="1:22" x14ac:dyDescent="0.2">
      <c r="A58" s="762"/>
      <c r="B58" s="4"/>
      <c r="C58" s="23"/>
      <c r="D58" s="23"/>
      <c r="E58" s="23"/>
      <c r="F58" s="23"/>
      <c r="G58" s="23"/>
      <c r="H58" s="23"/>
      <c r="I58" s="23"/>
      <c r="J58" s="23"/>
      <c r="K58" s="23"/>
      <c r="L58" s="23"/>
      <c r="M58" s="23"/>
      <c r="N58" s="23"/>
      <c r="O58" s="23"/>
      <c r="P58" s="4"/>
      <c r="Q58" s="23"/>
      <c r="R58" s="23"/>
      <c r="S58" s="23"/>
      <c r="T58" s="4"/>
      <c r="U58" s="4"/>
      <c r="V58" s="4"/>
    </row>
    <row r="59" spans="1:22" x14ac:dyDescent="0.2">
      <c r="A59" s="762"/>
      <c r="B59" s="4"/>
      <c r="C59" s="23"/>
      <c r="D59" s="23"/>
      <c r="E59" s="23"/>
      <c r="F59" s="23"/>
      <c r="G59" s="23"/>
      <c r="H59" s="23"/>
      <c r="I59" s="23"/>
      <c r="J59" s="23"/>
      <c r="K59" s="23"/>
      <c r="L59" s="23"/>
      <c r="M59" s="23"/>
      <c r="N59" s="23"/>
      <c r="O59" s="23"/>
      <c r="P59" s="4"/>
      <c r="Q59" s="23"/>
      <c r="R59" s="23"/>
      <c r="S59" s="23"/>
      <c r="T59" s="4"/>
      <c r="U59" s="4"/>
      <c r="V59" s="4"/>
    </row>
    <row r="60" spans="1:22" x14ac:dyDescent="0.2">
      <c r="A60" s="762"/>
      <c r="B60" s="4"/>
      <c r="C60" s="23"/>
      <c r="D60" s="23"/>
      <c r="E60" s="23"/>
      <c r="F60" s="23"/>
      <c r="G60" s="23"/>
      <c r="H60" s="23"/>
      <c r="I60" s="23"/>
      <c r="J60" s="23"/>
      <c r="K60" s="23"/>
      <c r="L60" s="23"/>
      <c r="M60" s="23"/>
      <c r="N60" s="23"/>
      <c r="O60" s="23"/>
      <c r="P60" s="4"/>
      <c r="Q60" s="23"/>
      <c r="R60" s="23"/>
      <c r="S60" s="23"/>
      <c r="T60" s="4"/>
      <c r="U60" s="4"/>
      <c r="V60" s="4"/>
    </row>
    <row r="61" spans="1:22" x14ac:dyDescent="0.2">
      <c r="A61" s="762"/>
      <c r="B61" s="4"/>
      <c r="C61" s="23"/>
      <c r="D61" s="23"/>
      <c r="E61" s="23"/>
      <c r="F61" s="23"/>
      <c r="G61" s="23"/>
      <c r="H61" s="23"/>
      <c r="I61" s="23"/>
      <c r="J61" s="23"/>
      <c r="K61" s="23"/>
      <c r="L61" s="23"/>
      <c r="M61" s="23"/>
      <c r="N61" s="23"/>
      <c r="O61" s="23"/>
      <c r="P61" s="4"/>
      <c r="Q61" s="23"/>
      <c r="R61" s="23"/>
      <c r="S61" s="23"/>
      <c r="T61" s="4"/>
      <c r="U61" s="4"/>
      <c r="V61" s="4"/>
    </row>
    <row r="62" spans="1:22" x14ac:dyDescent="0.2">
      <c r="A62" s="762"/>
      <c r="B62" s="4"/>
      <c r="C62" s="23"/>
      <c r="D62" s="23"/>
      <c r="E62" s="23"/>
      <c r="F62" s="23"/>
      <c r="G62" s="23"/>
      <c r="H62" s="23"/>
      <c r="I62" s="23"/>
      <c r="J62" s="23"/>
      <c r="K62" s="23"/>
      <c r="L62" s="23"/>
      <c r="M62" s="23"/>
      <c r="N62" s="23"/>
      <c r="O62" s="23"/>
      <c r="P62" s="4"/>
      <c r="Q62" s="23"/>
      <c r="R62" s="23"/>
      <c r="S62" s="23"/>
      <c r="T62" s="4"/>
      <c r="U62" s="4"/>
      <c r="V62" s="4"/>
    </row>
    <row r="63" spans="1:22" x14ac:dyDescent="0.2">
      <c r="A63" s="762"/>
      <c r="B63" s="4"/>
      <c r="C63" s="23"/>
      <c r="D63" s="23"/>
      <c r="E63" s="23"/>
      <c r="F63" s="23"/>
      <c r="G63" s="23"/>
      <c r="H63" s="23"/>
      <c r="I63" s="23"/>
      <c r="J63" s="23"/>
      <c r="K63" s="23"/>
      <c r="L63" s="23"/>
      <c r="M63" s="23"/>
      <c r="N63" s="23"/>
      <c r="O63" s="23"/>
      <c r="P63" s="4"/>
      <c r="Q63" s="23"/>
      <c r="R63" s="23"/>
      <c r="S63" s="23"/>
      <c r="T63" s="4"/>
      <c r="U63" s="4"/>
      <c r="V63" s="4"/>
    </row>
    <row r="64" spans="1:22" x14ac:dyDescent="0.2">
      <c r="A64" s="762"/>
      <c r="B64" s="4"/>
      <c r="C64" s="23"/>
      <c r="D64" s="23"/>
      <c r="E64" s="23"/>
      <c r="F64" s="23"/>
      <c r="G64" s="23"/>
      <c r="H64" s="23"/>
      <c r="I64" s="23"/>
      <c r="J64" s="23"/>
      <c r="K64" s="23"/>
      <c r="L64" s="23"/>
      <c r="M64" s="23"/>
      <c r="N64" s="23"/>
      <c r="O64" s="23"/>
      <c r="P64" s="4"/>
      <c r="Q64" s="23"/>
      <c r="R64" s="23"/>
      <c r="S64" s="23"/>
      <c r="T64" s="4"/>
      <c r="U64" s="4"/>
      <c r="V64" s="4"/>
    </row>
    <row r="65" spans="1:22" x14ac:dyDescent="0.2">
      <c r="A65" s="762"/>
      <c r="B65" s="4"/>
      <c r="C65" s="23"/>
      <c r="D65" s="23"/>
      <c r="E65" s="23"/>
      <c r="F65" s="23"/>
      <c r="G65" s="23"/>
      <c r="H65" s="23"/>
      <c r="I65" s="23"/>
      <c r="J65" s="23"/>
      <c r="K65" s="23"/>
      <c r="L65" s="23"/>
      <c r="M65" s="23"/>
      <c r="N65" s="23"/>
      <c r="O65" s="23"/>
      <c r="P65" s="4"/>
      <c r="Q65" s="23"/>
      <c r="R65" s="23"/>
      <c r="S65" s="23"/>
      <c r="T65" s="4"/>
      <c r="U65" s="4"/>
      <c r="V65" s="4"/>
    </row>
    <row r="66" spans="1:22" x14ac:dyDescent="0.2">
      <c r="A66" s="762"/>
      <c r="B66" s="4"/>
      <c r="C66" s="23"/>
      <c r="D66" s="23"/>
      <c r="E66" s="23"/>
      <c r="F66" s="23"/>
      <c r="G66" s="23"/>
      <c r="H66" s="23"/>
      <c r="I66" s="23"/>
      <c r="J66" s="23"/>
      <c r="K66" s="23"/>
      <c r="L66" s="23"/>
      <c r="M66" s="23"/>
      <c r="N66" s="23"/>
      <c r="O66" s="23"/>
      <c r="P66" s="4"/>
      <c r="Q66" s="23"/>
      <c r="R66" s="23"/>
      <c r="S66" s="23"/>
      <c r="T66" s="4"/>
      <c r="U66" s="4"/>
      <c r="V66" s="4"/>
    </row>
    <row r="67" spans="1:22" x14ac:dyDescent="0.2">
      <c r="A67" s="762"/>
      <c r="B67" s="4"/>
      <c r="C67" s="23"/>
      <c r="D67" s="23"/>
      <c r="E67" s="23"/>
      <c r="F67" s="23"/>
      <c r="G67" s="23"/>
      <c r="H67" s="23"/>
      <c r="I67" s="23"/>
      <c r="J67" s="23"/>
      <c r="K67" s="23"/>
      <c r="L67" s="23"/>
      <c r="M67" s="23"/>
      <c r="N67" s="23"/>
      <c r="O67" s="23"/>
      <c r="P67" s="4"/>
      <c r="Q67" s="23"/>
      <c r="R67" s="23"/>
      <c r="S67" s="23"/>
      <c r="T67" s="4"/>
      <c r="U67" s="4"/>
      <c r="V67" s="4"/>
    </row>
    <row r="68" spans="1:22" x14ac:dyDescent="0.2">
      <c r="A68" s="762"/>
      <c r="B68" s="4"/>
      <c r="C68" s="23"/>
      <c r="D68" s="23"/>
      <c r="E68" s="23"/>
      <c r="F68" s="23"/>
      <c r="G68" s="23"/>
      <c r="H68" s="23"/>
      <c r="I68" s="23"/>
      <c r="J68" s="23"/>
      <c r="K68" s="23"/>
      <c r="L68" s="23"/>
      <c r="M68" s="23"/>
      <c r="N68" s="23"/>
      <c r="O68" s="23"/>
      <c r="P68" s="4"/>
      <c r="Q68" s="23"/>
      <c r="R68" s="23"/>
      <c r="S68" s="23"/>
      <c r="T68" s="4"/>
      <c r="U68" s="4"/>
      <c r="V68" s="4"/>
    </row>
    <row r="69" spans="1:22" x14ac:dyDescent="0.2">
      <c r="A69" s="762"/>
      <c r="B69" s="4"/>
      <c r="C69" s="23"/>
      <c r="D69" s="23"/>
      <c r="E69" s="23"/>
      <c r="F69" s="23"/>
      <c r="G69" s="23"/>
      <c r="H69" s="23"/>
      <c r="I69" s="23"/>
      <c r="J69" s="23"/>
      <c r="K69" s="23"/>
      <c r="L69" s="23"/>
      <c r="M69" s="23"/>
      <c r="N69" s="23"/>
      <c r="O69" s="23"/>
      <c r="P69" s="4"/>
      <c r="Q69" s="23"/>
      <c r="R69" s="23"/>
      <c r="S69" s="23"/>
      <c r="T69" s="4"/>
      <c r="U69" s="4"/>
      <c r="V69" s="4"/>
    </row>
    <row r="70" spans="1:22" x14ac:dyDescent="0.2">
      <c r="A70" s="762"/>
      <c r="B70" s="4"/>
      <c r="C70" s="23"/>
      <c r="D70" s="23"/>
      <c r="E70" s="23"/>
      <c r="F70" s="23"/>
      <c r="G70" s="23"/>
      <c r="H70" s="23"/>
      <c r="I70" s="23"/>
      <c r="J70" s="23"/>
      <c r="K70" s="23"/>
      <c r="L70" s="23"/>
      <c r="M70" s="23"/>
      <c r="N70" s="23"/>
      <c r="O70" s="23"/>
      <c r="P70" s="4"/>
      <c r="Q70" s="23"/>
      <c r="R70" s="23"/>
      <c r="S70" s="23"/>
      <c r="T70" s="4"/>
      <c r="U70" s="4"/>
      <c r="V70" s="4"/>
    </row>
    <row r="71" spans="1:22" x14ac:dyDescent="0.2">
      <c r="A71" s="762"/>
      <c r="B71" s="4"/>
      <c r="C71" s="23"/>
      <c r="D71" s="23"/>
      <c r="E71" s="23"/>
      <c r="F71" s="23"/>
      <c r="G71" s="23"/>
      <c r="H71" s="23"/>
      <c r="I71" s="23"/>
      <c r="J71" s="23"/>
      <c r="K71" s="23"/>
      <c r="L71" s="23"/>
      <c r="M71" s="23"/>
      <c r="N71" s="23"/>
      <c r="O71" s="23"/>
      <c r="P71" s="4"/>
      <c r="Q71" s="23"/>
      <c r="R71" s="23"/>
      <c r="S71" s="23"/>
      <c r="T71" s="4"/>
      <c r="U71" s="4"/>
      <c r="V71" s="4"/>
    </row>
    <row r="72" spans="1:22" x14ac:dyDescent="0.2">
      <c r="A72" s="762"/>
      <c r="B72" s="4"/>
      <c r="C72" s="23"/>
      <c r="D72" s="23"/>
      <c r="E72" s="23"/>
      <c r="F72" s="23"/>
      <c r="G72" s="23"/>
      <c r="H72" s="23"/>
      <c r="I72" s="23"/>
      <c r="J72" s="23"/>
      <c r="K72" s="23"/>
      <c r="L72" s="23"/>
      <c r="M72" s="23"/>
      <c r="N72" s="23"/>
      <c r="O72" s="23"/>
      <c r="P72" s="4"/>
      <c r="Q72" s="23"/>
      <c r="R72" s="23"/>
      <c r="S72" s="23"/>
      <c r="T72" s="4"/>
      <c r="U72" s="4"/>
      <c r="V72" s="4"/>
    </row>
    <row r="73" spans="1:22" x14ac:dyDescent="0.2">
      <c r="A73" s="762"/>
      <c r="B73" s="4"/>
      <c r="C73" s="23"/>
      <c r="D73" s="23"/>
      <c r="E73" s="23"/>
      <c r="F73" s="23"/>
      <c r="G73" s="23"/>
      <c r="H73" s="23"/>
      <c r="I73" s="23"/>
      <c r="J73" s="23"/>
      <c r="K73" s="23"/>
      <c r="L73" s="23"/>
      <c r="M73" s="23"/>
      <c r="N73" s="23"/>
      <c r="O73" s="23"/>
      <c r="P73" s="4"/>
      <c r="Q73" s="23"/>
      <c r="R73" s="23"/>
      <c r="S73" s="23"/>
      <c r="T73" s="4"/>
      <c r="U73" s="4"/>
      <c r="V73" s="4"/>
    </row>
    <row r="74" spans="1:22" x14ac:dyDescent="0.2">
      <c r="A74" s="762"/>
      <c r="B74" s="4"/>
      <c r="C74" s="23"/>
      <c r="D74" s="23"/>
      <c r="E74" s="23"/>
      <c r="F74" s="23"/>
      <c r="G74" s="23"/>
      <c r="H74" s="23"/>
      <c r="I74" s="23"/>
      <c r="J74" s="23"/>
      <c r="K74" s="23"/>
      <c r="L74" s="23"/>
      <c r="M74" s="23"/>
      <c r="N74" s="23"/>
      <c r="O74" s="23"/>
      <c r="P74" s="4"/>
      <c r="Q74" s="23"/>
      <c r="R74" s="23"/>
      <c r="S74" s="23"/>
      <c r="T74" s="4"/>
      <c r="U74" s="4"/>
      <c r="V74" s="4"/>
    </row>
    <row r="75" spans="1:22" x14ac:dyDescent="0.2">
      <c r="A75" s="762"/>
      <c r="B75" s="4"/>
      <c r="C75" s="23"/>
      <c r="D75" s="23"/>
      <c r="E75" s="23"/>
      <c r="F75" s="23"/>
      <c r="G75" s="23"/>
      <c r="H75" s="23"/>
      <c r="I75" s="23"/>
      <c r="J75" s="23"/>
      <c r="K75" s="23"/>
      <c r="L75" s="23"/>
      <c r="M75" s="23"/>
      <c r="N75" s="23"/>
      <c r="O75" s="23"/>
      <c r="P75" s="4"/>
      <c r="Q75" s="23"/>
      <c r="R75" s="23"/>
      <c r="S75" s="23"/>
      <c r="T75" s="4"/>
      <c r="U75" s="4"/>
      <c r="V75" s="4"/>
    </row>
    <row r="76" spans="1:22" x14ac:dyDescent="0.2">
      <c r="A76" s="762"/>
      <c r="B76" s="4"/>
      <c r="C76" s="23"/>
      <c r="D76" s="23"/>
      <c r="E76" s="23"/>
      <c r="F76" s="23"/>
      <c r="G76" s="23"/>
      <c r="H76" s="23"/>
      <c r="I76" s="23"/>
      <c r="J76" s="23"/>
      <c r="K76" s="23"/>
      <c r="L76" s="23"/>
      <c r="M76" s="23"/>
      <c r="N76" s="23"/>
      <c r="O76" s="23"/>
      <c r="P76" s="4"/>
      <c r="Q76" s="23"/>
      <c r="R76" s="23"/>
      <c r="S76" s="23"/>
      <c r="T76" s="4"/>
      <c r="U76" s="4"/>
      <c r="V76" s="4"/>
    </row>
    <row r="77" spans="1:22" x14ac:dyDescent="0.2">
      <c r="A77" s="762"/>
      <c r="B77" s="4"/>
      <c r="C77" s="23"/>
      <c r="D77" s="23"/>
      <c r="E77" s="23"/>
      <c r="F77" s="23"/>
      <c r="G77" s="23"/>
      <c r="H77" s="23"/>
      <c r="I77" s="23"/>
      <c r="J77" s="23"/>
      <c r="K77" s="23"/>
      <c r="L77" s="23"/>
      <c r="M77" s="23"/>
      <c r="N77" s="23"/>
      <c r="O77" s="23"/>
      <c r="P77" s="4"/>
      <c r="Q77" s="23"/>
      <c r="R77" s="23"/>
      <c r="S77" s="23"/>
      <c r="T77" s="4"/>
      <c r="U77" s="4"/>
      <c r="V77" s="4"/>
    </row>
    <row r="78" spans="1:22" x14ac:dyDescent="0.2">
      <c r="A78" s="762"/>
      <c r="B78" s="4"/>
      <c r="C78" s="23"/>
      <c r="D78" s="23"/>
      <c r="E78" s="23"/>
      <c r="F78" s="23"/>
      <c r="G78" s="23"/>
      <c r="H78" s="23"/>
      <c r="I78" s="23"/>
      <c r="J78" s="23"/>
      <c r="K78" s="23"/>
      <c r="L78" s="23"/>
      <c r="M78" s="23"/>
      <c r="N78" s="23"/>
      <c r="O78" s="23"/>
      <c r="P78" s="4"/>
      <c r="Q78" s="23"/>
      <c r="R78" s="23"/>
      <c r="S78" s="23"/>
      <c r="T78" s="4"/>
      <c r="U78" s="4"/>
      <c r="V78" s="4"/>
    </row>
    <row r="79" spans="1:22" x14ac:dyDescent="0.2">
      <c r="A79" s="762"/>
      <c r="B79" s="4"/>
      <c r="C79" s="23"/>
      <c r="D79" s="23"/>
      <c r="E79" s="23"/>
      <c r="F79" s="23"/>
      <c r="G79" s="23"/>
      <c r="H79" s="23"/>
      <c r="I79" s="23"/>
      <c r="J79" s="23"/>
      <c r="K79" s="23"/>
      <c r="L79" s="23"/>
      <c r="M79" s="23"/>
      <c r="N79" s="23"/>
      <c r="O79" s="23"/>
      <c r="P79" s="4"/>
      <c r="Q79" s="23"/>
      <c r="R79" s="23"/>
      <c r="S79" s="23"/>
      <c r="T79" s="4"/>
      <c r="U79" s="4"/>
      <c r="V79" s="4"/>
    </row>
    <row r="80" spans="1:22" x14ac:dyDescent="0.2">
      <c r="A80" s="762"/>
      <c r="B80" s="4"/>
      <c r="C80" s="23"/>
      <c r="D80" s="23"/>
      <c r="E80" s="23"/>
      <c r="F80" s="23"/>
      <c r="G80" s="23"/>
      <c r="H80" s="23"/>
      <c r="I80" s="23"/>
      <c r="J80" s="23"/>
      <c r="K80" s="23"/>
      <c r="L80" s="23"/>
      <c r="M80" s="23"/>
      <c r="N80" s="23"/>
      <c r="O80" s="23"/>
      <c r="P80" s="4"/>
      <c r="Q80" s="23"/>
      <c r="R80" s="23"/>
      <c r="S80" s="23"/>
      <c r="T80" s="4"/>
      <c r="U80" s="4"/>
      <c r="V80" s="4"/>
    </row>
    <row r="81" spans="1:22" x14ac:dyDescent="0.2">
      <c r="A81" s="762"/>
      <c r="B81" s="4"/>
      <c r="C81" s="23"/>
      <c r="D81" s="23"/>
      <c r="E81" s="23"/>
      <c r="F81" s="23"/>
      <c r="G81" s="23"/>
      <c r="H81" s="23"/>
      <c r="I81" s="23"/>
      <c r="J81" s="23"/>
      <c r="K81" s="23"/>
      <c r="L81" s="23"/>
      <c r="M81" s="23"/>
      <c r="N81" s="23"/>
      <c r="O81" s="23"/>
      <c r="P81" s="4"/>
      <c r="Q81" s="23"/>
      <c r="R81" s="23"/>
      <c r="S81" s="23"/>
      <c r="T81" s="4"/>
      <c r="U81" s="4"/>
      <c r="V81" s="4"/>
    </row>
    <row r="82" spans="1:22" x14ac:dyDescent="0.2">
      <c r="A82" s="762"/>
      <c r="B82" s="4"/>
      <c r="C82" s="23"/>
      <c r="D82" s="23"/>
      <c r="E82" s="23"/>
      <c r="F82" s="23"/>
      <c r="G82" s="23"/>
      <c r="H82" s="23"/>
      <c r="I82" s="23"/>
      <c r="J82" s="23"/>
      <c r="K82" s="23"/>
      <c r="L82" s="23"/>
      <c r="M82" s="23"/>
      <c r="N82" s="23"/>
      <c r="O82" s="23"/>
      <c r="P82" s="4"/>
      <c r="Q82" s="23"/>
      <c r="R82" s="23"/>
      <c r="S82" s="23"/>
      <c r="T82" s="4"/>
      <c r="U82" s="4"/>
      <c r="V82" s="4"/>
    </row>
    <row r="83" spans="1:22" x14ac:dyDescent="0.2">
      <c r="A83" s="762"/>
      <c r="B83" s="4"/>
      <c r="C83" s="23"/>
      <c r="D83" s="23"/>
      <c r="E83" s="23"/>
      <c r="F83" s="23"/>
      <c r="G83" s="23"/>
      <c r="H83" s="23"/>
      <c r="I83" s="23"/>
      <c r="J83" s="23"/>
      <c r="K83" s="23"/>
      <c r="L83" s="23"/>
      <c r="M83" s="23"/>
      <c r="N83" s="23"/>
      <c r="O83" s="23"/>
      <c r="P83" s="4"/>
      <c r="Q83" s="23"/>
      <c r="R83" s="23"/>
      <c r="S83" s="23"/>
      <c r="T83" s="4"/>
      <c r="U83" s="4"/>
      <c r="V83" s="4"/>
    </row>
    <row r="84" spans="1:22" x14ac:dyDescent="0.2">
      <c r="A84" s="762"/>
      <c r="B84" s="4"/>
      <c r="C84" s="23"/>
      <c r="D84" s="23"/>
      <c r="E84" s="23"/>
      <c r="F84" s="23"/>
      <c r="G84" s="23"/>
      <c r="H84" s="23"/>
      <c r="I84" s="23"/>
      <c r="J84" s="23"/>
      <c r="K84" s="23"/>
      <c r="L84" s="23"/>
      <c r="M84" s="23"/>
      <c r="N84" s="23"/>
      <c r="O84" s="23"/>
      <c r="P84" s="4"/>
      <c r="Q84" s="23"/>
      <c r="R84" s="23"/>
      <c r="S84" s="23"/>
      <c r="T84" s="4"/>
      <c r="U84" s="4"/>
      <c r="V84" s="4"/>
    </row>
    <row r="85" spans="1:22" x14ac:dyDescent="0.2">
      <c r="A85" s="762"/>
      <c r="B85" s="4"/>
      <c r="C85" s="23"/>
      <c r="D85" s="23"/>
      <c r="E85" s="23"/>
      <c r="F85" s="23"/>
      <c r="G85" s="23"/>
      <c r="H85" s="23"/>
      <c r="I85" s="23"/>
      <c r="J85" s="23"/>
      <c r="K85" s="23"/>
      <c r="L85" s="23"/>
      <c r="M85" s="23"/>
      <c r="N85" s="23"/>
      <c r="O85" s="23"/>
      <c r="P85" s="4"/>
      <c r="Q85" s="23"/>
      <c r="R85" s="23"/>
      <c r="S85" s="23"/>
      <c r="T85" s="4"/>
      <c r="U85" s="4"/>
      <c r="V85" s="4"/>
    </row>
    <row r="86" spans="1:22" x14ac:dyDescent="0.2">
      <c r="A86" s="762"/>
      <c r="B86" s="4"/>
      <c r="C86" s="23"/>
      <c r="D86" s="23"/>
      <c r="E86" s="23"/>
      <c r="F86" s="23"/>
      <c r="G86" s="23"/>
      <c r="H86" s="23"/>
      <c r="I86" s="23"/>
      <c r="J86" s="23"/>
      <c r="K86" s="23"/>
      <c r="L86" s="23"/>
      <c r="M86" s="23"/>
      <c r="N86" s="23"/>
      <c r="O86" s="23"/>
      <c r="P86" s="4"/>
      <c r="Q86" s="23"/>
      <c r="R86" s="23"/>
      <c r="S86" s="23"/>
      <c r="T86" s="4"/>
      <c r="U86" s="4"/>
      <c r="V86" s="4"/>
    </row>
    <row r="87" spans="1:22" x14ac:dyDescent="0.2">
      <c r="A87" s="762"/>
      <c r="B87" s="4"/>
      <c r="C87" s="23"/>
      <c r="D87" s="23"/>
      <c r="E87" s="23"/>
      <c r="F87" s="23"/>
      <c r="G87" s="23"/>
      <c r="H87" s="23"/>
      <c r="I87" s="23"/>
      <c r="J87" s="23"/>
      <c r="K87" s="23"/>
      <c r="L87" s="23"/>
      <c r="M87" s="23"/>
      <c r="N87" s="23"/>
      <c r="O87" s="23"/>
      <c r="P87" s="4"/>
      <c r="Q87" s="23"/>
      <c r="R87" s="23"/>
      <c r="S87" s="23"/>
      <c r="T87" s="4"/>
      <c r="U87" s="4"/>
      <c r="V87" s="4"/>
    </row>
    <row r="88" spans="1:22" x14ac:dyDescent="0.2">
      <c r="A88" s="762"/>
      <c r="B88" s="4"/>
      <c r="C88" s="23"/>
      <c r="D88" s="23"/>
      <c r="E88" s="23"/>
      <c r="F88" s="23"/>
      <c r="G88" s="23"/>
      <c r="H88" s="23"/>
      <c r="I88" s="23"/>
      <c r="J88" s="23"/>
      <c r="K88" s="23"/>
      <c r="L88" s="23"/>
      <c r="M88" s="23"/>
      <c r="N88" s="23"/>
      <c r="O88" s="23"/>
      <c r="P88" s="4"/>
      <c r="Q88" s="23"/>
      <c r="R88" s="23"/>
      <c r="S88" s="23"/>
      <c r="T88" s="4"/>
      <c r="U88" s="4"/>
      <c r="V88" s="4"/>
    </row>
    <row r="89" spans="1:22" x14ac:dyDescent="0.2">
      <c r="A89" s="762"/>
      <c r="B89" s="4"/>
      <c r="C89" s="23"/>
      <c r="D89" s="23"/>
      <c r="E89" s="23"/>
      <c r="F89" s="23"/>
      <c r="G89" s="23"/>
      <c r="H89" s="23"/>
      <c r="I89" s="23"/>
      <c r="J89" s="23"/>
      <c r="K89" s="23"/>
      <c r="L89" s="23"/>
      <c r="M89" s="23"/>
      <c r="N89" s="23"/>
      <c r="O89" s="23"/>
      <c r="P89" s="4"/>
      <c r="Q89" s="23"/>
      <c r="R89" s="23"/>
      <c r="S89" s="23"/>
      <c r="T89" s="4"/>
      <c r="U89" s="4"/>
      <c r="V89" s="4"/>
    </row>
    <row r="90" spans="1:22" x14ac:dyDescent="0.2">
      <c r="A90" s="762"/>
      <c r="B90" s="4"/>
      <c r="C90" s="23"/>
      <c r="D90" s="23"/>
      <c r="E90" s="23"/>
      <c r="F90" s="23"/>
      <c r="G90" s="23"/>
      <c r="H90" s="23"/>
      <c r="I90" s="23"/>
      <c r="J90" s="23"/>
      <c r="K90" s="23"/>
      <c r="L90" s="23"/>
      <c r="M90" s="23"/>
      <c r="N90" s="23"/>
      <c r="O90" s="23"/>
      <c r="P90" s="4"/>
      <c r="Q90" s="23"/>
      <c r="R90" s="23"/>
      <c r="S90" s="23"/>
      <c r="T90" s="4"/>
      <c r="U90" s="4"/>
      <c r="V90" s="4"/>
    </row>
    <row r="91" spans="1:22" x14ac:dyDescent="0.2">
      <c r="A91" s="762"/>
      <c r="B91" s="4"/>
      <c r="C91" s="23"/>
      <c r="D91" s="23"/>
      <c r="E91" s="23"/>
      <c r="F91" s="23"/>
      <c r="G91" s="23"/>
      <c r="H91" s="23"/>
      <c r="I91" s="23"/>
      <c r="J91" s="23"/>
      <c r="K91" s="23"/>
      <c r="L91" s="23"/>
      <c r="M91" s="23"/>
      <c r="N91" s="23"/>
      <c r="O91" s="23"/>
      <c r="P91" s="4"/>
      <c r="Q91" s="23"/>
      <c r="R91" s="23"/>
      <c r="S91" s="23"/>
      <c r="T91" s="4"/>
      <c r="U91" s="4"/>
      <c r="V91" s="4"/>
    </row>
    <row r="92" spans="1:22" x14ac:dyDescent="0.2">
      <c r="A92" s="762"/>
      <c r="B92" s="4"/>
      <c r="C92" s="23"/>
      <c r="D92" s="23"/>
      <c r="E92" s="23"/>
      <c r="F92" s="23"/>
      <c r="G92" s="23"/>
      <c r="H92" s="23"/>
      <c r="I92" s="23"/>
      <c r="J92" s="23"/>
      <c r="K92" s="23"/>
      <c r="L92" s="23"/>
      <c r="M92" s="23"/>
      <c r="N92" s="23"/>
      <c r="O92" s="23"/>
      <c r="P92" s="4"/>
      <c r="Q92" s="23"/>
      <c r="R92" s="23"/>
      <c r="S92" s="23"/>
      <c r="T92" s="4"/>
      <c r="U92" s="4"/>
      <c r="V92" s="4"/>
    </row>
    <row r="93" spans="1:22" x14ac:dyDescent="0.2">
      <c r="A93" s="762"/>
      <c r="B93" s="4"/>
      <c r="C93" s="23"/>
      <c r="D93" s="23"/>
      <c r="E93" s="23"/>
      <c r="F93" s="23"/>
      <c r="G93" s="23"/>
      <c r="H93" s="23"/>
      <c r="I93" s="23"/>
      <c r="J93" s="23"/>
      <c r="K93" s="23"/>
      <c r="L93" s="23"/>
      <c r="M93" s="23"/>
      <c r="N93" s="23"/>
      <c r="O93" s="23"/>
      <c r="P93" s="4"/>
      <c r="Q93" s="23"/>
      <c r="R93" s="23"/>
      <c r="S93" s="23"/>
      <c r="T93" s="4"/>
      <c r="U93" s="4"/>
      <c r="V93" s="4"/>
    </row>
    <row r="94" spans="1:22" x14ac:dyDescent="0.2">
      <c r="A94" s="762"/>
      <c r="B94" s="4"/>
      <c r="C94" s="23"/>
      <c r="D94" s="23"/>
      <c r="E94" s="23"/>
      <c r="F94" s="23"/>
      <c r="G94" s="23"/>
      <c r="H94" s="23"/>
      <c r="I94" s="23"/>
      <c r="J94" s="23"/>
      <c r="K94" s="23"/>
      <c r="L94" s="23"/>
      <c r="M94" s="23"/>
      <c r="N94" s="23"/>
      <c r="O94" s="23"/>
      <c r="P94" s="4"/>
      <c r="Q94" s="23"/>
      <c r="R94" s="23"/>
      <c r="S94" s="23"/>
      <c r="T94" s="4"/>
      <c r="U94" s="4"/>
      <c r="V94" s="4"/>
    </row>
    <row r="95" spans="1:22" x14ac:dyDescent="0.2">
      <c r="A95" s="762"/>
      <c r="B95" s="4"/>
      <c r="C95" s="23"/>
      <c r="D95" s="23"/>
      <c r="E95" s="23"/>
      <c r="F95" s="23"/>
      <c r="G95" s="23"/>
      <c r="H95" s="23"/>
      <c r="I95" s="23"/>
      <c r="J95" s="23"/>
      <c r="K95" s="23"/>
      <c r="L95" s="23"/>
      <c r="M95" s="23"/>
      <c r="N95" s="23"/>
      <c r="O95" s="23"/>
      <c r="P95" s="4"/>
      <c r="Q95" s="23"/>
      <c r="R95" s="23"/>
      <c r="S95" s="23"/>
      <c r="T95" s="4"/>
      <c r="U95" s="4"/>
      <c r="V95" s="4"/>
    </row>
    <row r="96" spans="1:22" x14ac:dyDescent="0.2">
      <c r="A96" s="762"/>
      <c r="B96" s="4"/>
      <c r="C96" s="23"/>
      <c r="D96" s="23"/>
      <c r="E96" s="23"/>
      <c r="F96" s="23"/>
      <c r="G96" s="23"/>
      <c r="H96" s="23"/>
      <c r="I96" s="23"/>
      <c r="J96" s="23"/>
      <c r="K96" s="23"/>
      <c r="L96" s="23"/>
      <c r="M96" s="23"/>
      <c r="N96" s="23"/>
      <c r="O96" s="23"/>
      <c r="P96" s="4"/>
      <c r="Q96" s="23"/>
      <c r="R96" s="23"/>
      <c r="S96" s="23"/>
      <c r="T96" s="4"/>
      <c r="U96" s="4"/>
      <c r="V96" s="4"/>
    </row>
    <row r="97" spans="1:22" x14ac:dyDescent="0.2">
      <c r="A97" s="762"/>
      <c r="B97" s="4"/>
      <c r="C97" s="23"/>
      <c r="D97" s="23"/>
      <c r="E97" s="23"/>
      <c r="F97" s="23"/>
      <c r="G97" s="23"/>
      <c r="H97" s="23"/>
      <c r="I97" s="23"/>
      <c r="J97" s="23"/>
      <c r="K97" s="23"/>
      <c r="L97" s="23"/>
      <c r="M97" s="23"/>
      <c r="N97" s="23"/>
      <c r="O97" s="23"/>
      <c r="P97" s="4"/>
      <c r="Q97" s="23"/>
      <c r="R97" s="23"/>
      <c r="S97" s="23"/>
      <c r="T97" s="4"/>
      <c r="U97" s="4"/>
      <c r="V97" s="4"/>
    </row>
    <row r="98" spans="1:22" x14ac:dyDescent="0.2">
      <c r="A98" s="762"/>
      <c r="B98" s="4"/>
      <c r="C98" s="23"/>
      <c r="D98" s="23"/>
      <c r="E98" s="23"/>
      <c r="F98" s="23"/>
      <c r="G98" s="23"/>
      <c r="H98" s="23"/>
      <c r="I98" s="23"/>
      <c r="J98" s="23"/>
      <c r="K98" s="23"/>
      <c r="L98" s="23"/>
      <c r="M98" s="23"/>
      <c r="N98" s="23"/>
      <c r="O98" s="23"/>
      <c r="P98" s="4"/>
      <c r="Q98" s="23"/>
      <c r="R98" s="23"/>
      <c r="S98" s="23"/>
      <c r="T98" s="4"/>
      <c r="U98" s="4"/>
      <c r="V98" s="4"/>
    </row>
    <row r="99" spans="1:22" x14ac:dyDescent="0.2">
      <c r="A99" s="762"/>
      <c r="B99" s="4"/>
      <c r="C99" s="23"/>
      <c r="D99" s="23"/>
      <c r="E99" s="23"/>
      <c r="F99" s="23"/>
      <c r="G99" s="23"/>
      <c r="H99" s="23"/>
      <c r="I99" s="23"/>
      <c r="J99" s="23"/>
      <c r="K99" s="23"/>
      <c r="L99" s="23"/>
      <c r="M99" s="23"/>
      <c r="N99" s="23"/>
      <c r="O99" s="23"/>
      <c r="P99" s="4"/>
      <c r="Q99" s="23"/>
      <c r="R99" s="23"/>
      <c r="S99" s="23"/>
      <c r="T99" s="4"/>
      <c r="U99" s="4"/>
      <c r="V99" s="4"/>
    </row>
    <row r="100" spans="1:22" x14ac:dyDescent="0.2">
      <c r="A100" s="762"/>
      <c r="B100" s="4"/>
      <c r="C100" s="23"/>
      <c r="D100" s="23"/>
      <c r="E100" s="23"/>
      <c r="F100" s="23"/>
      <c r="G100" s="23"/>
      <c r="H100" s="23"/>
      <c r="I100" s="23"/>
      <c r="J100" s="23"/>
      <c r="K100" s="23"/>
      <c r="L100" s="23"/>
      <c r="M100" s="23"/>
      <c r="N100" s="23"/>
      <c r="O100" s="23"/>
      <c r="P100" s="4"/>
      <c r="Q100" s="23"/>
      <c r="R100" s="23"/>
      <c r="S100" s="23"/>
      <c r="T100" s="4"/>
      <c r="U100" s="4"/>
      <c r="V100" s="4"/>
    </row>
    <row r="101" spans="1:22" x14ac:dyDescent="0.2">
      <c r="A101" s="762"/>
      <c r="B101" s="4"/>
      <c r="C101" s="23"/>
      <c r="D101" s="23"/>
      <c r="E101" s="23"/>
      <c r="F101" s="23"/>
      <c r="G101" s="23"/>
      <c r="H101" s="23"/>
      <c r="I101" s="23"/>
      <c r="J101" s="23"/>
      <c r="K101" s="23"/>
      <c r="L101" s="23"/>
      <c r="M101" s="23"/>
      <c r="N101" s="23"/>
      <c r="O101" s="23"/>
      <c r="P101" s="4"/>
      <c r="Q101" s="23"/>
      <c r="R101" s="23"/>
      <c r="S101" s="23"/>
      <c r="T101" s="4"/>
      <c r="U101" s="4"/>
      <c r="V101" s="4"/>
    </row>
    <row r="102" spans="1:22" x14ac:dyDescent="0.2">
      <c r="A102" s="762"/>
      <c r="B102" s="4"/>
      <c r="C102" s="23"/>
      <c r="D102" s="23"/>
      <c r="E102" s="23"/>
      <c r="F102" s="23"/>
      <c r="G102" s="23"/>
      <c r="H102" s="23"/>
      <c r="I102" s="23"/>
      <c r="J102" s="23"/>
      <c r="K102" s="23"/>
      <c r="L102" s="23"/>
      <c r="M102" s="23"/>
      <c r="N102" s="23"/>
      <c r="O102" s="23"/>
      <c r="P102" s="4"/>
      <c r="Q102" s="23"/>
      <c r="R102" s="23"/>
      <c r="S102" s="23"/>
      <c r="T102" s="4"/>
      <c r="U102" s="4"/>
      <c r="V102" s="4"/>
    </row>
    <row r="103" spans="1:22" x14ac:dyDescent="0.2">
      <c r="A103" s="762"/>
      <c r="B103" s="4"/>
      <c r="C103" s="23"/>
      <c r="D103" s="23"/>
      <c r="E103" s="23"/>
      <c r="F103" s="23"/>
      <c r="G103" s="23"/>
      <c r="H103" s="23"/>
      <c r="I103" s="23"/>
      <c r="J103" s="23"/>
      <c r="K103" s="23"/>
      <c r="L103" s="23"/>
      <c r="M103" s="23"/>
      <c r="N103" s="23"/>
      <c r="O103" s="23"/>
      <c r="P103" s="4"/>
      <c r="Q103" s="23"/>
      <c r="R103" s="23"/>
      <c r="S103" s="23"/>
      <c r="T103" s="4"/>
      <c r="U103" s="4"/>
      <c r="V103" s="4"/>
    </row>
    <row r="104" spans="1:22" x14ac:dyDescent="0.2">
      <c r="A104" s="762"/>
      <c r="B104" s="4"/>
      <c r="C104" s="23"/>
      <c r="D104" s="23"/>
      <c r="E104" s="23"/>
      <c r="F104" s="23"/>
      <c r="G104" s="23"/>
      <c r="H104" s="23"/>
      <c r="I104" s="23"/>
      <c r="J104" s="23"/>
      <c r="K104" s="23"/>
      <c r="L104" s="23"/>
      <c r="M104" s="23"/>
      <c r="N104" s="23"/>
      <c r="O104" s="23"/>
      <c r="P104" s="4"/>
      <c r="Q104" s="23"/>
      <c r="R104" s="23"/>
      <c r="S104" s="23"/>
      <c r="T104" s="4"/>
      <c r="U104" s="4"/>
      <c r="V104" s="4"/>
    </row>
    <row r="105" spans="1:22" x14ac:dyDescent="0.2">
      <c r="A105" s="762"/>
      <c r="B105" s="4"/>
      <c r="C105" s="23"/>
      <c r="D105" s="23"/>
      <c r="E105" s="23"/>
      <c r="F105" s="23"/>
      <c r="G105" s="23"/>
      <c r="H105" s="23"/>
      <c r="I105" s="23"/>
      <c r="J105" s="23"/>
      <c r="K105" s="23"/>
      <c r="L105" s="23"/>
      <c r="M105" s="23"/>
      <c r="N105" s="23"/>
      <c r="O105" s="23"/>
      <c r="P105" s="4"/>
      <c r="Q105" s="23"/>
      <c r="R105" s="23"/>
      <c r="S105" s="23"/>
      <c r="T105" s="4"/>
      <c r="U105" s="4"/>
      <c r="V105" s="4"/>
    </row>
    <row r="106" spans="1:22" x14ac:dyDescent="0.2">
      <c r="C106" s="212"/>
      <c r="D106" s="212"/>
      <c r="E106" s="212"/>
      <c r="F106" s="212"/>
      <c r="G106" s="212"/>
      <c r="H106" s="212"/>
      <c r="I106" s="212"/>
      <c r="J106" s="212"/>
      <c r="K106" s="212"/>
      <c r="L106" s="212"/>
      <c r="M106" s="212"/>
      <c r="N106" s="212"/>
      <c r="O106" s="212"/>
    </row>
    <row r="107" spans="1:22" x14ac:dyDescent="0.2">
      <c r="C107" s="212"/>
      <c r="D107" s="212"/>
      <c r="E107" s="212"/>
      <c r="F107" s="212"/>
      <c r="G107" s="212"/>
      <c r="H107" s="212"/>
      <c r="I107" s="212"/>
      <c r="J107" s="212"/>
      <c r="K107" s="212"/>
      <c r="L107" s="212"/>
      <c r="M107" s="212"/>
      <c r="N107" s="212"/>
      <c r="O107" s="212"/>
    </row>
    <row r="108" spans="1:22" x14ac:dyDescent="0.2">
      <c r="C108" s="212"/>
      <c r="D108" s="212"/>
      <c r="E108" s="212"/>
      <c r="F108" s="212"/>
      <c r="G108" s="212"/>
      <c r="H108" s="212"/>
      <c r="I108" s="212"/>
      <c r="J108" s="212"/>
      <c r="K108" s="212"/>
      <c r="L108" s="212"/>
      <c r="M108" s="212"/>
      <c r="N108" s="212"/>
      <c r="O108" s="212"/>
    </row>
    <row r="109" spans="1:22" x14ac:dyDescent="0.2">
      <c r="C109" s="212"/>
      <c r="D109" s="212"/>
      <c r="E109" s="212"/>
      <c r="F109" s="212"/>
      <c r="G109" s="212"/>
      <c r="H109" s="212"/>
      <c r="I109" s="212"/>
      <c r="J109" s="212"/>
      <c r="K109" s="212"/>
      <c r="L109" s="212"/>
      <c r="M109" s="212"/>
      <c r="N109" s="212"/>
      <c r="O109" s="212"/>
    </row>
    <row r="110" spans="1:22" x14ac:dyDescent="0.2">
      <c r="C110" s="212"/>
      <c r="D110" s="212"/>
      <c r="E110" s="212"/>
      <c r="F110" s="212"/>
      <c r="G110" s="212"/>
      <c r="H110" s="212"/>
      <c r="I110" s="212"/>
      <c r="J110" s="212"/>
      <c r="K110" s="212"/>
      <c r="L110" s="212"/>
      <c r="M110" s="212"/>
      <c r="N110" s="212"/>
      <c r="O110" s="212"/>
    </row>
    <row r="111" spans="1:22" x14ac:dyDescent="0.2">
      <c r="C111" s="212"/>
      <c r="D111" s="212"/>
      <c r="E111" s="212"/>
      <c r="F111" s="212"/>
      <c r="G111" s="212"/>
      <c r="H111" s="212"/>
      <c r="I111" s="212"/>
      <c r="J111" s="212"/>
      <c r="K111" s="212"/>
      <c r="L111" s="212"/>
      <c r="M111" s="212"/>
      <c r="N111" s="212"/>
      <c r="O111" s="212"/>
    </row>
    <row r="112" spans="1:22" x14ac:dyDescent="0.2">
      <c r="C112" s="212"/>
      <c r="D112" s="212"/>
      <c r="E112" s="212"/>
      <c r="F112" s="212"/>
      <c r="G112" s="212"/>
      <c r="H112" s="212"/>
      <c r="I112" s="212"/>
      <c r="J112" s="212"/>
      <c r="K112" s="212"/>
      <c r="L112" s="212"/>
      <c r="M112" s="212"/>
      <c r="N112" s="212"/>
      <c r="O112" s="212"/>
    </row>
    <row r="113" spans="3:3" x14ac:dyDescent="0.2">
      <c r="C113" s="212"/>
    </row>
    <row r="114" spans="3:3" x14ac:dyDescent="0.2">
      <c r="C114" s="212"/>
    </row>
    <row r="115" spans="3:3" x14ac:dyDescent="0.2">
      <c r="C115" s="212"/>
    </row>
    <row r="116" spans="3:3" x14ac:dyDescent="0.2">
      <c r="C116" s="212"/>
    </row>
    <row r="117" spans="3:3" x14ac:dyDescent="0.2">
      <c r="C117" s="212"/>
    </row>
    <row r="118" spans="3:3" x14ac:dyDescent="0.2">
      <c r="C118" s="212"/>
    </row>
    <row r="119" spans="3:3" x14ac:dyDescent="0.2">
      <c r="C119" s="212"/>
    </row>
    <row r="120" spans="3:3" x14ac:dyDescent="0.2">
      <c r="C120" s="212"/>
    </row>
    <row r="121" spans="3:3" x14ac:dyDescent="0.2">
      <c r="C121" s="212"/>
    </row>
    <row r="122" spans="3:3" x14ac:dyDescent="0.2">
      <c r="C122" s="212"/>
    </row>
    <row r="123" spans="3:3" x14ac:dyDescent="0.2">
      <c r="C123" s="212"/>
    </row>
    <row r="124" spans="3:3" x14ac:dyDescent="0.2">
      <c r="C124" s="212"/>
    </row>
    <row r="125" spans="3:3" x14ac:dyDescent="0.2">
      <c r="C125" s="212"/>
    </row>
    <row r="126" spans="3:3" x14ac:dyDescent="0.2">
      <c r="C126" s="212"/>
    </row>
    <row r="127" spans="3:3" x14ac:dyDescent="0.2">
      <c r="C127" s="212"/>
    </row>
    <row r="128" spans="3:3" x14ac:dyDescent="0.2">
      <c r="C128" s="212"/>
    </row>
    <row r="129" spans="3:3" x14ac:dyDescent="0.2">
      <c r="C129" s="212"/>
    </row>
    <row r="130" spans="3:3" x14ac:dyDescent="0.2">
      <c r="C130" s="212"/>
    </row>
    <row r="131" spans="3:3" x14ac:dyDescent="0.2">
      <c r="C131" s="212"/>
    </row>
    <row r="132" spans="3:3" x14ac:dyDescent="0.2">
      <c r="C132" s="212"/>
    </row>
    <row r="133" spans="3:3" x14ac:dyDescent="0.2">
      <c r="C133" s="212"/>
    </row>
    <row r="134" spans="3:3" x14ac:dyDescent="0.2">
      <c r="C134" s="212"/>
    </row>
    <row r="135" spans="3:3" x14ac:dyDescent="0.2">
      <c r="C135" s="212"/>
    </row>
    <row r="136" spans="3:3" x14ac:dyDescent="0.2">
      <c r="C136" s="212"/>
    </row>
    <row r="137" spans="3:3" x14ac:dyDescent="0.2">
      <c r="C137" s="212"/>
    </row>
    <row r="138" spans="3:3" x14ac:dyDescent="0.2">
      <c r="C138" s="212"/>
    </row>
    <row r="139" spans="3:3" x14ac:dyDescent="0.2">
      <c r="C139" s="212"/>
    </row>
    <row r="140" spans="3:3" x14ac:dyDescent="0.2">
      <c r="C140" s="212"/>
    </row>
    <row r="141" spans="3:3" x14ac:dyDescent="0.2">
      <c r="C141" s="212"/>
    </row>
    <row r="142" spans="3:3" x14ac:dyDescent="0.2">
      <c r="C142" s="212"/>
    </row>
    <row r="143" spans="3:3" x14ac:dyDescent="0.2">
      <c r="C143" s="212"/>
    </row>
    <row r="144" spans="3:3" x14ac:dyDescent="0.2">
      <c r="C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sheetData>
  <phoneticPr fontId="0" type="noConversion"/>
  <hyperlinks>
    <hyperlink ref="A1" location="'Working Budget with funding det'!A1" display="Main " xr:uid="{00000000-0004-0000-1D00-000000000000}"/>
    <hyperlink ref="B1" location="'Table of Contents'!A1" display="TOC" xr:uid="{00000000-0004-0000-1D00-000001000000}"/>
  </hyperlinks>
  <pageMargins left="0.75" right="0.75" top="1" bottom="1" header="0.5" footer="0.5"/>
  <pageSetup scale="92" orientation="landscape" horizontalDpi="300" verticalDpi="300" r:id="rId1"/>
  <headerFooter alignWithMargins="0">
    <oddFooter>&amp;L&amp;D     &amp;T&amp;C&amp;F&amp;R&amp;A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W159"/>
  <sheetViews>
    <sheetView workbookViewId="0">
      <selection activeCell="Q15" sqref="Q15"/>
    </sheetView>
  </sheetViews>
  <sheetFormatPr defaultRowHeight="12.75" x14ac:dyDescent="0.2"/>
  <cols>
    <col min="1" max="1" width="10.83203125" style="783" bestFit="1" customWidth="1"/>
    <col min="2" max="2" width="36.6640625" customWidth="1"/>
    <col min="3" max="3" width="14.5" style="1" hidden="1" customWidth="1"/>
    <col min="4" max="12" width="14.5" style="106" hidden="1" customWidth="1"/>
    <col min="13" max="15" width="14.5" style="106" customWidth="1"/>
    <col min="16" max="16" width="14.5" customWidth="1"/>
    <col min="17" max="19" width="14.5" style="1" customWidth="1"/>
    <col min="20" max="22" width="14.5" customWidth="1"/>
    <col min="23" max="23" width="14.6640625" style="2" customWidth="1"/>
  </cols>
  <sheetData>
    <row r="1" spans="1:23" x14ac:dyDescent="0.2">
      <c r="A1" s="772" t="s">
        <v>847</v>
      </c>
      <c r="B1" s="308" t="s">
        <v>197</v>
      </c>
      <c r="D1" s="212"/>
      <c r="E1" s="212"/>
      <c r="F1" s="212"/>
      <c r="G1" s="212"/>
      <c r="H1" s="212"/>
      <c r="I1" s="212"/>
      <c r="J1" s="212"/>
      <c r="K1" s="212"/>
      <c r="L1" s="212"/>
      <c r="M1" s="212"/>
      <c r="N1" s="212"/>
      <c r="O1" s="212"/>
      <c r="S1"/>
    </row>
    <row r="2" spans="1:23" ht="15" x14ac:dyDescent="0.25">
      <c r="A2" s="773" t="s">
        <v>1138</v>
      </c>
      <c r="B2" s="43"/>
      <c r="D2" s="212"/>
      <c r="E2" s="126"/>
      <c r="F2" s="212"/>
      <c r="G2" s="212"/>
      <c r="H2" s="212"/>
      <c r="I2" s="126" t="s">
        <v>816</v>
      </c>
      <c r="J2" s="126"/>
      <c r="K2" s="126"/>
      <c r="L2" s="126"/>
      <c r="M2" s="126"/>
      <c r="N2" s="126"/>
      <c r="O2" s="126"/>
      <c r="P2" s="58" t="s">
        <v>642</v>
      </c>
      <c r="S2" s="44" t="s">
        <v>1258</v>
      </c>
    </row>
    <row r="3" spans="1:23" ht="13.5" thickBot="1" x14ac:dyDescent="0.25">
      <c r="A3" s="774"/>
      <c r="B3" s="4"/>
      <c r="C3" s="23"/>
      <c r="D3" s="23"/>
      <c r="E3" s="23"/>
      <c r="F3" s="23"/>
      <c r="G3" s="23"/>
      <c r="H3" s="23"/>
      <c r="I3" s="23"/>
      <c r="J3" s="23"/>
      <c r="K3" s="23"/>
      <c r="L3" s="23"/>
      <c r="M3" s="23"/>
      <c r="N3" s="23"/>
      <c r="O3" s="23"/>
      <c r="P3" s="4"/>
      <c r="Q3" s="23"/>
      <c r="R3" s="23"/>
      <c r="S3" s="4"/>
      <c r="V3" s="4"/>
    </row>
    <row r="4" spans="1:23"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3"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3" x14ac:dyDescent="0.2">
      <c r="A6" s="776"/>
      <c r="B6" s="202"/>
      <c r="C6" s="113"/>
      <c r="D6" s="113"/>
      <c r="E6" s="113"/>
      <c r="F6" s="113"/>
      <c r="G6" s="113"/>
      <c r="H6" s="113"/>
      <c r="I6" s="83"/>
      <c r="J6" s="83"/>
      <c r="K6" s="83"/>
      <c r="L6" s="83"/>
      <c r="M6" s="83"/>
      <c r="N6" s="83"/>
      <c r="O6" s="83"/>
      <c r="P6" s="113"/>
      <c r="Q6" s="83" t="s">
        <v>823</v>
      </c>
      <c r="R6" s="83" t="s">
        <v>585</v>
      </c>
      <c r="S6" s="45" t="s">
        <v>824</v>
      </c>
    </row>
    <row r="7" spans="1:23"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3" ht="13.5" thickTop="1" x14ac:dyDescent="0.2">
      <c r="A8" s="796"/>
      <c r="B8" s="203"/>
      <c r="C8" s="118"/>
      <c r="D8" s="18"/>
      <c r="E8" s="18"/>
      <c r="F8" s="18"/>
      <c r="G8" s="18"/>
      <c r="H8" s="18"/>
      <c r="I8" s="19"/>
      <c r="J8" s="19"/>
      <c r="K8" s="19"/>
      <c r="L8" s="19"/>
      <c r="M8" s="19"/>
      <c r="N8" s="19"/>
      <c r="O8" s="19"/>
      <c r="P8" s="18"/>
      <c r="Q8" s="19"/>
      <c r="R8" s="19"/>
      <c r="S8" s="19"/>
    </row>
    <row r="9" spans="1:23" x14ac:dyDescent="0.2">
      <c r="A9" s="779">
        <v>5247</v>
      </c>
      <c r="B9" s="60" t="s">
        <v>1259</v>
      </c>
      <c r="C9" s="116">
        <v>3000</v>
      </c>
      <c r="D9" s="128">
        <v>0</v>
      </c>
      <c r="E9" s="128">
        <v>300</v>
      </c>
      <c r="F9" s="128">
        <v>300</v>
      </c>
      <c r="G9" s="128">
        <v>395</v>
      </c>
      <c r="H9" s="128">
        <v>387.1</v>
      </c>
      <c r="I9" s="128">
        <v>387.1</v>
      </c>
      <c r="J9" s="128">
        <v>387.1</v>
      </c>
      <c r="K9" s="14">
        <v>395</v>
      </c>
      <c r="L9" s="128">
        <v>387.1</v>
      </c>
      <c r="M9" s="14">
        <v>395</v>
      </c>
      <c r="N9" s="19">
        <v>387.1</v>
      </c>
      <c r="O9" s="14">
        <v>395</v>
      </c>
      <c r="P9" s="13"/>
      <c r="Q9" s="14"/>
      <c r="R9" s="14"/>
      <c r="S9" s="14"/>
    </row>
    <row r="10" spans="1:23" x14ac:dyDescent="0.2">
      <c r="A10" s="779">
        <v>5300</v>
      </c>
      <c r="B10" s="60" t="s">
        <v>1260</v>
      </c>
      <c r="C10" s="116"/>
      <c r="D10" s="128">
        <v>1050</v>
      </c>
      <c r="E10" s="128">
        <v>800</v>
      </c>
      <c r="F10" s="128"/>
      <c r="G10" s="128">
        <v>800</v>
      </c>
      <c r="H10" s="128">
        <v>800</v>
      </c>
      <c r="I10" s="128">
        <v>800</v>
      </c>
      <c r="J10" s="128">
        <v>800</v>
      </c>
      <c r="K10" s="14">
        <v>800</v>
      </c>
      <c r="L10" s="128">
        <v>800</v>
      </c>
      <c r="M10" s="14">
        <v>800</v>
      </c>
      <c r="N10" s="128">
        <v>800</v>
      </c>
      <c r="O10" s="14">
        <v>800</v>
      </c>
      <c r="P10" s="13">
        <v>800</v>
      </c>
      <c r="Q10" s="14">
        <v>800</v>
      </c>
      <c r="R10" s="14"/>
      <c r="S10" s="14"/>
    </row>
    <row r="11" spans="1:23" x14ac:dyDescent="0.2">
      <c r="A11" s="779">
        <v>5310</v>
      </c>
      <c r="B11" s="60" t="s">
        <v>1261</v>
      </c>
      <c r="C11" s="116">
        <v>575</v>
      </c>
      <c r="D11" s="128">
        <v>322.38</v>
      </c>
      <c r="E11" s="128">
        <v>169.5</v>
      </c>
      <c r="F11" s="128">
        <v>261.10000000000002</v>
      </c>
      <c r="G11" s="128"/>
      <c r="H11" s="128"/>
      <c r="I11" s="128">
        <v>0</v>
      </c>
      <c r="J11" s="128">
        <v>490</v>
      </c>
      <c r="K11" s="14">
        <v>500</v>
      </c>
      <c r="L11" s="128">
        <v>20</v>
      </c>
      <c r="M11" s="14">
        <v>500</v>
      </c>
      <c r="N11" s="128">
        <v>483</v>
      </c>
      <c r="O11" s="14">
        <v>500</v>
      </c>
      <c r="P11" s="13"/>
      <c r="Q11" s="14">
        <v>500</v>
      </c>
      <c r="R11" s="14"/>
      <c r="S11" s="14"/>
    </row>
    <row r="12" spans="1:23" x14ac:dyDescent="0.2">
      <c r="A12" s="779">
        <v>5344</v>
      </c>
      <c r="B12" s="60" t="s">
        <v>832</v>
      </c>
      <c r="C12" s="116">
        <v>59.4</v>
      </c>
      <c r="D12" s="128">
        <v>61.64</v>
      </c>
      <c r="E12" s="128">
        <v>19.149999999999999</v>
      </c>
      <c r="F12" s="128"/>
      <c r="G12" s="128">
        <v>128.81</v>
      </c>
      <c r="H12" s="128"/>
      <c r="I12" s="128">
        <v>655.45</v>
      </c>
      <c r="J12" s="128">
        <v>507.9</v>
      </c>
      <c r="K12" s="14">
        <v>150</v>
      </c>
      <c r="L12" s="128">
        <v>646.01</v>
      </c>
      <c r="M12" s="14">
        <v>150</v>
      </c>
      <c r="N12" s="128">
        <v>479.25</v>
      </c>
      <c r="O12" s="14">
        <v>150</v>
      </c>
      <c r="P12" s="13">
        <v>153.08000000000001</v>
      </c>
      <c r="Q12" s="14"/>
      <c r="R12" s="14"/>
      <c r="S12" s="14"/>
    </row>
    <row r="13" spans="1:23" x14ac:dyDescent="0.2">
      <c r="A13" s="779">
        <v>5351</v>
      </c>
      <c r="B13" s="60" t="s">
        <v>1262</v>
      </c>
      <c r="C13" s="118">
        <v>100</v>
      </c>
      <c r="D13" s="112">
        <v>100</v>
      </c>
      <c r="E13" s="112">
        <v>100</v>
      </c>
      <c r="F13" s="112">
        <v>100</v>
      </c>
      <c r="G13" s="112">
        <v>100</v>
      </c>
      <c r="H13" s="112">
        <v>100</v>
      </c>
      <c r="I13" s="112">
        <v>100</v>
      </c>
      <c r="J13" s="112"/>
      <c r="K13" s="19">
        <v>100</v>
      </c>
      <c r="L13" s="112"/>
      <c r="M13" s="19">
        <v>100</v>
      </c>
      <c r="N13" s="112"/>
      <c r="O13" s="19">
        <v>100</v>
      </c>
      <c r="P13" s="18"/>
      <c r="Q13" s="19"/>
      <c r="R13" s="19"/>
      <c r="S13" s="19"/>
    </row>
    <row r="14" spans="1:23" x14ac:dyDescent="0.2">
      <c r="A14" s="779">
        <v>5380</v>
      </c>
      <c r="B14" s="60" t="s">
        <v>1263</v>
      </c>
      <c r="C14" s="118"/>
      <c r="D14" s="112">
        <v>10553.43</v>
      </c>
      <c r="E14" s="112">
        <v>14804.76</v>
      </c>
      <c r="F14" s="112">
        <v>15704.88</v>
      </c>
      <c r="G14" s="112">
        <v>16389.04</v>
      </c>
      <c r="H14" s="112">
        <v>16758.32</v>
      </c>
      <c r="I14" s="112">
        <v>17011.04</v>
      </c>
      <c r="J14" s="112">
        <v>17812.080000000002</v>
      </c>
      <c r="K14" s="19">
        <v>18169</v>
      </c>
      <c r="L14" s="112">
        <v>18084.68</v>
      </c>
      <c r="M14" s="19">
        <v>19282</v>
      </c>
      <c r="N14" s="112">
        <v>18084.68</v>
      </c>
      <c r="O14" s="19">
        <v>19520</v>
      </c>
      <c r="P14" s="18">
        <v>9758.82</v>
      </c>
      <c r="Q14" s="19">
        <v>21812</v>
      </c>
      <c r="R14" s="19"/>
      <c r="S14" s="19"/>
    </row>
    <row r="15" spans="1:23" ht="13.5" thickBot="1" x14ac:dyDescent="0.25">
      <c r="A15" s="779">
        <v>5420</v>
      </c>
      <c r="B15" s="60" t="s">
        <v>1264</v>
      </c>
      <c r="C15" s="117">
        <v>135.41</v>
      </c>
      <c r="D15" s="270">
        <v>153.27000000000001</v>
      </c>
      <c r="E15" s="270">
        <v>159</v>
      </c>
      <c r="F15" s="270">
        <v>160.6</v>
      </c>
      <c r="G15" s="270">
        <v>181.75</v>
      </c>
      <c r="H15" s="270">
        <v>236.08</v>
      </c>
      <c r="I15" s="270">
        <v>203</v>
      </c>
      <c r="J15" s="270">
        <v>203</v>
      </c>
      <c r="K15" s="16">
        <v>300</v>
      </c>
      <c r="L15" s="270">
        <v>203.69</v>
      </c>
      <c r="M15" s="16">
        <v>300</v>
      </c>
      <c r="N15" s="270">
        <v>156.25</v>
      </c>
      <c r="O15" s="16">
        <v>300</v>
      </c>
      <c r="P15" s="15">
        <v>169.77</v>
      </c>
      <c r="Q15" s="16"/>
      <c r="R15" s="16"/>
      <c r="S15" s="16"/>
    </row>
    <row r="16" spans="1:23" x14ac:dyDescent="0.2">
      <c r="A16" s="779"/>
      <c r="B16" s="61" t="s">
        <v>838</v>
      </c>
      <c r="C16" s="118">
        <f t="shared" ref="C16:P16" si="0">SUM(C9:C15)</f>
        <v>3869.81</v>
      </c>
      <c r="D16" s="18">
        <f t="shared" si="0"/>
        <v>12240.720000000001</v>
      </c>
      <c r="E16" s="18">
        <f t="shared" si="0"/>
        <v>16352.41</v>
      </c>
      <c r="F16" s="18">
        <f t="shared" ref="F16:K16" si="1">SUM(F9:F15)</f>
        <v>16526.579999999998</v>
      </c>
      <c r="G16" s="18">
        <f t="shared" si="1"/>
        <v>17994.600000000002</v>
      </c>
      <c r="H16" s="18">
        <f t="shared" si="1"/>
        <v>18281.5</v>
      </c>
      <c r="I16" s="18">
        <f t="shared" si="1"/>
        <v>19156.59</v>
      </c>
      <c r="J16" s="18">
        <f t="shared" si="1"/>
        <v>20200.080000000002</v>
      </c>
      <c r="K16" s="19">
        <f t="shared" si="1"/>
        <v>20414</v>
      </c>
      <c r="L16" s="18">
        <f t="shared" ref="L16:O16" si="2">SUM(L9:L15)</f>
        <v>20141.48</v>
      </c>
      <c r="M16" s="19">
        <f t="shared" si="2"/>
        <v>21527</v>
      </c>
      <c r="N16" s="18">
        <f t="shared" ref="N16" si="3">SUM(N9:N15)</f>
        <v>20390.28</v>
      </c>
      <c r="O16" s="19">
        <f t="shared" si="2"/>
        <v>21765</v>
      </c>
      <c r="P16" s="18">
        <f t="shared" si="0"/>
        <v>10881.67</v>
      </c>
      <c r="Q16" s="19">
        <f>SUM(Q9:Q15)</f>
        <v>23112</v>
      </c>
      <c r="R16" s="19">
        <f>+Q16</f>
        <v>23112</v>
      </c>
      <c r="S16" s="19">
        <f>+Q16</f>
        <v>23112</v>
      </c>
      <c r="W16"/>
    </row>
    <row r="17" spans="1:23" x14ac:dyDescent="0.2">
      <c r="A17" s="779"/>
      <c r="B17" s="61"/>
      <c r="C17" s="118"/>
      <c r="D17" s="18"/>
      <c r="E17" s="18"/>
      <c r="F17" s="18"/>
      <c r="G17" s="18"/>
      <c r="H17" s="18"/>
      <c r="I17" s="18"/>
      <c r="J17" s="18"/>
      <c r="K17" s="19"/>
      <c r="L17" s="18"/>
      <c r="M17" s="19"/>
      <c r="N17" s="18"/>
      <c r="O17" s="19"/>
      <c r="P17" s="18"/>
      <c r="Q17" s="19"/>
      <c r="R17" s="19"/>
      <c r="S17" s="19"/>
      <c r="W17"/>
    </row>
    <row r="18" spans="1:23" ht="13.5" hidden="1" thickBot="1" x14ac:dyDescent="0.25">
      <c r="A18" s="779">
        <v>5800</v>
      </c>
      <c r="B18" s="60" t="s">
        <v>1265</v>
      </c>
      <c r="C18" s="118"/>
      <c r="D18" s="18"/>
      <c r="E18" s="15"/>
      <c r="F18" s="15"/>
      <c r="G18" s="15"/>
      <c r="H18" s="15">
        <v>7883.74</v>
      </c>
      <c r="I18" s="15"/>
      <c r="J18" s="15"/>
      <c r="K18" s="16"/>
      <c r="L18" s="15"/>
      <c r="M18" s="16"/>
      <c r="N18" s="15"/>
      <c r="O18" s="16"/>
      <c r="P18" s="15"/>
      <c r="Q18" s="16"/>
      <c r="R18" s="16"/>
      <c r="S18" s="16"/>
      <c r="W18"/>
    </row>
    <row r="19" spans="1:23" hidden="1" x14ac:dyDescent="0.2">
      <c r="A19" s="779"/>
      <c r="B19" s="17" t="s">
        <v>952</v>
      </c>
      <c r="C19" s="18"/>
      <c r="D19" s="18"/>
      <c r="E19" s="18"/>
      <c r="F19" s="18"/>
      <c r="G19" s="18"/>
      <c r="H19" s="18">
        <f>SUM(H18)</f>
        <v>7883.74</v>
      </c>
      <c r="I19" s="18">
        <f>+I18</f>
        <v>0</v>
      </c>
      <c r="J19" s="18">
        <f>+J18</f>
        <v>0</v>
      </c>
      <c r="K19" s="19">
        <f>+K18</f>
        <v>0</v>
      </c>
      <c r="L19" s="18">
        <f t="shared" ref="L19:O19" si="4">+L18</f>
        <v>0</v>
      </c>
      <c r="M19" s="19">
        <f t="shared" si="4"/>
        <v>0</v>
      </c>
      <c r="N19" s="18">
        <f t="shared" ref="N19" si="5">+N18</f>
        <v>0</v>
      </c>
      <c r="O19" s="19">
        <f t="shared" si="4"/>
        <v>0</v>
      </c>
      <c r="P19" s="18"/>
      <c r="Q19" s="19">
        <f>+Q18</f>
        <v>0</v>
      </c>
      <c r="R19" s="19"/>
      <c r="S19" s="19"/>
      <c r="W19"/>
    </row>
    <row r="20" spans="1:23" hidden="1" x14ac:dyDescent="0.2">
      <c r="A20" s="779"/>
      <c r="B20" s="12"/>
      <c r="C20" s="13"/>
      <c r="D20" s="13"/>
      <c r="E20" s="13"/>
      <c r="F20" s="13"/>
      <c r="G20" s="13"/>
      <c r="H20" s="13"/>
      <c r="I20" s="13"/>
      <c r="J20" s="13"/>
      <c r="K20" s="14"/>
      <c r="L20" s="13"/>
      <c r="M20" s="14"/>
      <c r="N20" s="13"/>
      <c r="O20" s="14"/>
      <c r="P20" s="13"/>
      <c r="Q20" s="14"/>
      <c r="R20" s="14"/>
      <c r="S20" s="14"/>
      <c r="W20"/>
    </row>
    <row r="21" spans="1:23" ht="13.5" thickBot="1" x14ac:dyDescent="0.25">
      <c r="A21" s="780"/>
      <c r="B21" s="20" t="s">
        <v>1010</v>
      </c>
      <c r="C21" s="21">
        <f>+C16</f>
        <v>3869.81</v>
      </c>
      <c r="D21" s="21">
        <f>+D16</f>
        <v>12240.720000000001</v>
      </c>
      <c r="E21" s="21">
        <f>+E16</f>
        <v>16352.41</v>
      </c>
      <c r="F21" s="21">
        <f>+F16</f>
        <v>16526.579999999998</v>
      </c>
      <c r="G21" s="21">
        <f>+G16</f>
        <v>17994.600000000002</v>
      </c>
      <c r="H21" s="21">
        <f>+H16+H19</f>
        <v>26165.239999999998</v>
      </c>
      <c r="I21" s="21">
        <f>+I16+I19</f>
        <v>19156.59</v>
      </c>
      <c r="J21" s="21">
        <f>+J16+J19</f>
        <v>20200.080000000002</v>
      </c>
      <c r="K21" s="39">
        <f>+K19+K16</f>
        <v>20414</v>
      </c>
      <c r="L21" s="21">
        <f t="shared" ref="L21:O21" si="6">+L19+L16</f>
        <v>20141.48</v>
      </c>
      <c r="M21" s="39">
        <f t="shared" si="6"/>
        <v>21527</v>
      </c>
      <c r="N21" s="21">
        <f t="shared" ref="N21" si="7">+N19+N16</f>
        <v>20390.28</v>
      </c>
      <c r="O21" s="39">
        <f t="shared" si="6"/>
        <v>21765</v>
      </c>
      <c r="P21" s="21">
        <f>+P16</f>
        <v>10881.67</v>
      </c>
      <c r="Q21" s="39">
        <f>+Q19+Q16</f>
        <v>23112</v>
      </c>
      <c r="R21" s="39">
        <f>+Q21</f>
        <v>23112</v>
      </c>
      <c r="S21" s="39">
        <f>+Q21</f>
        <v>23112</v>
      </c>
      <c r="W21"/>
    </row>
    <row r="22" spans="1:23" ht="13.5" thickTop="1" x14ac:dyDescent="0.2">
      <c r="A22" s="774"/>
      <c r="B22" s="74"/>
      <c r="C22" s="24"/>
      <c r="D22" s="24"/>
      <c r="E22" s="24"/>
      <c r="F22" s="24"/>
      <c r="G22" s="24"/>
      <c r="H22" s="24"/>
      <c r="I22" s="24"/>
      <c r="J22" s="24"/>
      <c r="K22" s="24"/>
      <c r="L22" s="24"/>
      <c r="M22" s="24"/>
      <c r="N22" s="24"/>
      <c r="O22" s="24"/>
      <c r="P22" s="199" t="s">
        <v>843</v>
      </c>
      <c r="Q22" s="1116">
        <f>+Q21-O21</f>
        <v>1347</v>
      </c>
      <c r="R22" s="1117">
        <f>ROUND((+Q22/O21),4)</f>
        <v>6.1899999999999997E-2</v>
      </c>
      <c r="S22" s="25"/>
      <c r="U22" s="25"/>
      <c r="V22" s="25"/>
      <c r="W22"/>
    </row>
    <row r="23" spans="1:23" x14ac:dyDescent="0.2">
      <c r="A23" s="54">
        <v>44937</v>
      </c>
      <c r="B23" s="4" t="s">
        <v>2420</v>
      </c>
      <c r="C23" s="24"/>
      <c r="D23" s="24"/>
      <c r="E23" s="24"/>
      <c r="F23" s="24"/>
      <c r="G23" s="24"/>
      <c r="H23" s="24"/>
      <c r="I23" s="24"/>
      <c r="J23" s="24"/>
      <c r="K23" s="24"/>
      <c r="L23" s="24"/>
      <c r="M23" s="24"/>
      <c r="N23" s="24"/>
      <c r="O23" s="24"/>
      <c r="P23" s="25"/>
      <c r="Q23" s="24"/>
      <c r="R23" s="24"/>
      <c r="S23" s="25"/>
      <c r="U23" s="25"/>
      <c r="V23" s="25"/>
      <c r="W23"/>
    </row>
    <row r="24" spans="1:23" x14ac:dyDescent="0.2">
      <c r="A24" s="63">
        <v>44943</v>
      </c>
      <c r="B24" s="4" t="s">
        <v>2422</v>
      </c>
      <c r="C24" s="23"/>
      <c r="D24" s="23"/>
      <c r="E24" s="23"/>
      <c r="F24" s="23"/>
      <c r="G24" s="23"/>
      <c r="H24" s="23"/>
      <c r="I24" s="23"/>
      <c r="J24" s="23"/>
      <c r="K24" s="23"/>
      <c r="L24" s="23"/>
      <c r="M24" s="23"/>
      <c r="N24" s="23"/>
      <c r="O24" s="23"/>
      <c r="P24" s="25"/>
      <c r="Q24" s="23"/>
      <c r="R24" s="23"/>
      <c r="S24" s="25"/>
      <c r="T24" s="25"/>
      <c r="U24" s="25"/>
      <c r="V24" s="25"/>
      <c r="W24"/>
    </row>
    <row r="25" spans="1:23" ht="13.5" thickBot="1" x14ac:dyDescent="0.25">
      <c r="A25" s="774"/>
      <c r="B25" s="4"/>
      <c r="C25" s="23"/>
      <c r="D25" s="23"/>
      <c r="E25" s="23"/>
      <c r="F25" s="23"/>
      <c r="G25" s="23"/>
      <c r="H25" s="23"/>
      <c r="I25" s="23"/>
      <c r="J25" s="23"/>
      <c r="K25" s="23"/>
      <c r="L25" s="23"/>
      <c r="M25" s="23"/>
      <c r="N25" s="23"/>
      <c r="O25" s="23"/>
      <c r="P25" s="25"/>
      <c r="Q25" s="23"/>
      <c r="R25" s="23"/>
      <c r="S25" s="23"/>
      <c r="T25" s="25"/>
      <c r="U25" s="25"/>
      <c r="V25" s="25"/>
      <c r="W25"/>
    </row>
    <row r="26" spans="1:23" ht="13.5" thickTop="1" x14ac:dyDescent="0.2">
      <c r="A26" s="789"/>
      <c r="B26" s="367"/>
      <c r="C26" s="368" t="s">
        <v>280</v>
      </c>
      <c r="D26" s="369" t="s">
        <v>280</v>
      </c>
      <c r="E26" s="369" t="s">
        <v>280</v>
      </c>
      <c r="F26" s="212"/>
      <c r="G26" s="212"/>
      <c r="H26" s="212"/>
      <c r="I26" s="212"/>
      <c r="J26" s="212"/>
      <c r="K26" s="212"/>
      <c r="L26" s="212"/>
      <c r="M26" s="370" t="s">
        <v>279</v>
      </c>
      <c r="N26" s="371" t="s">
        <v>826</v>
      </c>
      <c r="O26" s="372" t="s">
        <v>840</v>
      </c>
      <c r="P26" s="371" t="s">
        <v>841</v>
      </c>
      <c r="Q26" s="373"/>
      <c r="R26" s="569"/>
      <c r="S26" s="372"/>
      <c r="T26" s="25"/>
      <c r="U26" s="25"/>
      <c r="V26" s="25"/>
      <c r="W26"/>
    </row>
    <row r="27" spans="1:23" ht="13.5" thickBot="1" x14ac:dyDescent="0.25">
      <c r="A27" s="790" t="s">
        <v>825</v>
      </c>
      <c r="B27" s="374"/>
      <c r="C27" s="375" t="s">
        <v>267</v>
      </c>
      <c r="D27" s="375" t="s">
        <v>268</v>
      </c>
      <c r="E27" s="376" t="s">
        <v>269</v>
      </c>
      <c r="F27" s="212"/>
      <c r="G27" s="212"/>
      <c r="H27" s="212"/>
      <c r="I27" s="212"/>
      <c r="J27" s="212"/>
      <c r="K27" s="212"/>
      <c r="L27" s="212"/>
      <c r="M27" s="377" t="s">
        <v>277</v>
      </c>
      <c r="N27" s="377" t="s">
        <v>571</v>
      </c>
      <c r="O27" s="376" t="s">
        <v>843</v>
      </c>
      <c r="P27" s="378" t="s">
        <v>843</v>
      </c>
      <c r="Q27" s="379" t="s">
        <v>844</v>
      </c>
      <c r="R27" s="570"/>
      <c r="S27" s="377"/>
      <c r="T27" s="25"/>
      <c r="U27" s="25"/>
      <c r="V27" s="25"/>
      <c r="W27"/>
    </row>
    <row r="28" spans="1:23" ht="13.5" thickTop="1" x14ac:dyDescent="0.2">
      <c r="A28" s="797"/>
      <c r="B28" s="394"/>
      <c r="C28" s="383"/>
      <c r="D28" s="383"/>
      <c r="E28" s="383"/>
      <c r="F28" s="212"/>
      <c r="G28" s="212"/>
      <c r="H28" s="212"/>
      <c r="I28" s="212"/>
      <c r="J28" s="212"/>
      <c r="K28" s="212"/>
      <c r="L28" s="212"/>
      <c r="M28" s="384"/>
      <c r="N28" s="403"/>
      <c r="O28" s="404"/>
      <c r="P28" s="402"/>
      <c r="Q28" s="385"/>
      <c r="R28" s="572"/>
      <c r="S28" s="386"/>
      <c r="T28" s="25"/>
      <c r="U28" s="25"/>
      <c r="V28" s="25"/>
      <c r="W28"/>
    </row>
    <row r="29" spans="1:23" x14ac:dyDescent="0.2">
      <c r="A29" s="795">
        <v>5247</v>
      </c>
      <c r="B29" s="387" t="s">
        <v>1259</v>
      </c>
      <c r="C29" s="391">
        <v>3000</v>
      </c>
      <c r="D29" s="391">
        <v>0</v>
      </c>
      <c r="E29" s="391">
        <v>300</v>
      </c>
      <c r="F29" s="212"/>
      <c r="G29" s="212"/>
      <c r="H29" s="212"/>
      <c r="I29" s="212"/>
      <c r="J29" s="212"/>
      <c r="K29" s="212"/>
      <c r="L29" s="212"/>
      <c r="M29" s="390">
        <f t="shared" ref="M29:M35" si="8">+O9</f>
        <v>395</v>
      </c>
      <c r="N29" s="432">
        <f t="shared" ref="N29:N35" si="9">+Q9</f>
        <v>0</v>
      </c>
      <c r="O29" s="386">
        <f t="shared" ref="O29:O36" si="10">+N29-M29</f>
        <v>-395</v>
      </c>
      <c r="P29" s="392">
        <f t="shared" ref="P29:P36" si="11">IF(M29+N29&lt;&gt;0,IF(M29&lt;&gt;0,IF(O29&lt;&gt;0,ROUND((+O29/M29),4),""),1),"")</f>
        <v>-1</v>
      </c>
      <c r="Q29" s="385" t="s">
        <v>2365</v>
      </c>
      <c r="R29" s="572"/>
      <c r="S29" s="386"/>
      <c r="T29" s="25"/>
      <c r="U29" s="25"/>
      <c r="V29" s="25"/>
      <c r="W29"/>
    </row>
    <row r="30" spans="1:23" x14ac:dyDescent="0.2">
      <c r="A30" s="795">
        <v>5300</v>
      </c>
      <c r="B30" s="387" t="s">
        <v>1260</v>
      </c>
      <c r="C30" s="391"/>
      <c r="D30" s="391">
        <v>1050</v>
      </c>
      <c r="E30" s="391">
        <v>800</v>
      </c>
      <c r="F30" s="212"/>
      <c r="G30" s="212"/>
      <c r="H30" s="212"/>
      <c r="I30" s="212"/>
      <c r="J30" s="212"/>
      <c r="K30" s="212"/>
      <c r="L30" s="212"/>
      <c r="M30" s="390">
        <f t="shared" si="8"/>
        <v>800</v>
      </c>
      <c r="N30" s="432">
        <f t="shared" si="9"/>
        <v>800</v>
      </c>
      <c r="O30" s="386">
        <f t="shared" si="10"/>
        <v>0</v>
      </c>
      <c r="P30" s="392" t="str">
        <f t="shared" si="11"/>
        <v/>
      </c>
      <c r="Q30" s="385"/>
      <c r="R30" s="572"/>
      <c r="S30" s="386"/>
      <c r="T30" s="25"/>
      <c r="U30" s="25"/>
      <c r="V30" s="25"/>
      <c r="W30"/>
    </row>
    <row r="31" spans="1:23" x14ac:dyDescent="0.2">
      <c r="A31" s="795">
        <v>5310</v>
      </c>
      <c r="B31" s="387" t="s">
        <v>1261</v>
      </c>
      <c r="C31" s="391">
        <v>575</v>
      </c>
      <c r="D31" s="391">
        <v>322.38</v>
      </c>
      <c r="E31" s="391">
        <v>169.5</v>
      </c>
      <c r="F31" s="212"/>
      <c r="G31" s="212"/>
      <c r="H31" s="212"/>
      <c r="I31" s="212"/>
      <c r="J31" s="212"/>
      <c r="K31" s="212"/>
      <c r="L31" s="212"/>
      <c r="M31" s="390">
        <f t="shared" si="8"/>
        <v>500</v>
      </c>
      <c r="N31" s="432">
        <f t="shared" si="9"/>
        <v>500</v>
      </c>
      <c r="O31" s="386">
        <f t="shared" si="10"/>
        <v>0</v>
      </c>
      <c r="P31" s="392" t="str">
        <f t="shared" si="11"/>
        <v/>
      </c>
      <c r="Q31" s="385"/>
      <c r="R31" s="572"/>
      <c r="S31" s="386"/>
      <c r="T31" s="25"/>
      <c r="U31" s="25"/>
      <c r="V31" s="25"/>
      <c r="W31"/>
    </row>
    <row r="32" spans="1:23" x14ac:dyDescent="0.2">
      <c r="A32" s="795">
        <v>5344</v>
      </c>
      <c r="B32" s="387" t="s">
        <v>832</v>
      </c>
      <c r="C32" s="391">
        <v>59.4</v>
      </c>
      <c r="D32" s="391">
        <v>61.64</v>
      </c>
      <c r="E32" s="391">
        <v>19.149999999999999</v>
      </c>
      <c r="F32" s="212"/>
      <c r="G32" s="212"/>
      <c r="H32" s="212"/>
      <c r="I32" s="212"/>
      <c r="J32" s="212"/>
      <c r="K32" s="212"/>
      <c r="L32" s="212"/>
      <c r="M32" s="390">
        <f t="shared" si="8"/>
        <v>150</v>
      </c>
      <c r="N32" s="432">
        <f t="shared" si="9"/>
        <v>0</v>
      </c>
      <c r="O32" s="386">
        <f t="shared" si="10"/>
        <v>-150</v>
      </c>
      <c r="P32" s="392">
        <f t="shared" si="11"/>
        <v>-1</v>
      </c>
      <c r="Q32" s="385" t="s">
        <v>2365</v>
      </c>
      <c r="R32" s="572"/>
      <c r="S32" s="386"/>
      <c r="T32" s="25"/>
      <c r="U32" s="25"/>
      <c r="V32" s="25"/>
      <c r="W32"/>
    </row>
    <row r="33" spans="1:23" x14ac:dyDescent="0.2">
      <c r="A33" s="795">
        <v>5351</v>
      </c>
      <c r="B33" s="387" t="s">
        <v>1262</v>
      </c>
      <c r="C33" s="383">
        <v>100</v>
      </c>
      <c r="D33" s="383">
        <v>100</v>
      </c>
      <c r="E33" s="383">
        <v>100</v>
      </c>
      <c r="F33" s="212"/>
      <c r="G33" s="212"/>
      <c r="H33" s="212"/>
      <c r="I33" s="212"/>
      <c r="J33" s="212"/>
      <c r="K33" s="212"/>
      <c r="L33" s="212"/>
      <c r="M33" s="390">
        <f t="shared" si="8"/>
        <v>100</v>
      </c>
      <c r="N33" s="432">
        <f t="shared" si="9"/>
        <v>0</v>
      </c>
      <c r="O33" s="386">
        <f t="shared" si="10"/>
        <v>-100</v>
      </c>
      <c r="P33" s="392">
        <f t="shared" si="11"/>
        <v>-1</v>
      </c>
      <c r="Q33" s="385" t="s">
        <v>2366</v>
      </c>
      <c r="R33" s="572"/>
      <c r="S33" s="386"/>
      <c r="T33" s="25"/>
      <c r="U33" s="25"/>
      <c r="V33" s="25"/>
      <c r="W33"/>
    </row>
    <row r="34" spans="1:23" x14ac:dyDescent="0.2">
      <c r="A34" s="795">
        <v>5380</v>
      </c>
      <c r="B34" s="387" t="s">
        <v>1263</v>
      </c>
      <c r="C34" s="383"/>
      <c r="D34" s="383">
        <v>10553.43</v>
      </c>
      <c r="E34" s="383">
        <v>14804.76</v>
      </c>
      <c r="F34" s="212"/>
      <c r="G34" s="212"/>
      <c r="H34" s="212"/>
      <c r="I34" s="212"/>
      <c r="J34" s="212"/>
      <c r="K34" s="212"/>
      <c r="L34" s="212"/>
      <c r="M34" s="390">
        <f t="shared" si="8"/>
        <v>19520</v>
      </c>
      <c r="N34" s="432">
        <f t="shared" si="9"/>
        <v>21812</v>
      </c>
      <c r="O34" s="386">
        <f t="shared" si="10"/>
        <v>2292</v>
      </c>
      <c r="P34" s="392">
        <f t="shared" si="11"/>
        <v>0.1174</v>
      </c>
      <c r="Q34" s="385"/>
      <c r="R34" s="572"/>
      <c r="S34" s="386"/>
      <c r="T34" s="25"/>
      <c r="U34" s="25"/>
      <c r="V34" s="25"/>
      <c r="W34"/>
    </row>
    <row r="35" spans="1:23" ht="13.5" thickBot="1" x14ac:dyDescent="0.25">
      <c r="A35" s="795">
        <v>5420</v>
      </c>
      <c r="B35" s="387" t="s">
        <v>1264</v>
      </c>
      <c r="C35" s="389">
        <v>135.41</v>
      </c>
      <c r="D35" s="389">
        <v>153.27000000000001</v>
      </c>
      <c r="E35" s="389">
        <v>159</v>
      </c>
      <c r="F35" s="212"/>
      <c r="G35" s="212"/>
      <c r="H35" s="212"/>
      <c r="I35" s="212"/>
      <c r="J35" s="212"/>
      <c r="K35" s="212"/>
      <c r="L35" s="212"/>
      <c r="M35" s="390">
        <f t="shared" si="8"/>
        <v>300</v>
      </c>
      <c r="N35" s="432">
        <f t="shared" si="9"/>
        <v>0</v>
      </c>
      <c r="O35" s="386">
        <f t="shared" si="10"/>
        <v>-300</v>
      </c>
      <c r="P35" s="392">
        <f t="shared" si="11"/>
        <v>-1</v>
      </c>
      <c r="Q35" s="385" t="s">
        <v>2365</v>
      </c>
      <c r="R35" s="572"/>
      <c r="S35" s="386"/>
      <c r="T35" s="25"/>
      <c r="U35" s="25"/>
      <c r="V35" s="25"/>
      <c r="W35"/>
    </row>
    <row r="36" spans="1:23" ht="13.5" thickBot="1" x14ac:dyDescent="0.25">
      <c r="A36" s="795">
        <v>5800</v>
      </c>
      <c r="B36" s="387" t="s">
        <v>1265</v>
      </c>
      <c r="C36" s="383"/>
      <c r="D36" s="383"/>
      <c r="E36" s="389"/>
      <c r="F36" s="212"/>
      <c r="G36" s="212"/>
      <c r="H36" s="212"/>
      <c r="I36" s="212"/>
      <c r="J36" s="212"/>
      <c r="K36" s="212"/>
      <c r="L36" s="212"/>
      <c r="M36" s="390"/>
      <c r="N36" s="432">
        <f>+Q18</f>
        <v>0</v>
      </c>
      <c r="O36" s="386">
        <f t="shared" si="10"/>
        <v>0</v>
      </c>
      <c r="P36" s="392" t="str">
        <f t="shared" si="11"/>
        <v/>
      </c>
      <c r="Q36" s="385"/>
      <c r="R36" s="572"/>
      <c r="S36" s="386"/>
      <c r="T36" s="25"/>
      <c r="U36" s="25"/>
      <c r="V36" s="25"/>
      <c r="W36"/>
    </row>
    <row r="37" spans="1:23" x14ac:dyDescent="0.2">
      <c r="A37" s="774"/>
      <c r="B37" s="4"/>
      <c r="C37" s="23"/>
      <c r="D37" s="23"/>
      <c r="E37" s="23"/>
      <c r="F37" s="23"/>
      <c r="G37" s="23"/>
      <c r="H37" s="212"/>
      <c r="I37" s="212"/>
      <c r="J37" s="212"/>
      <c r="K37" s="212"/>
      <c r="L37" s="212"/>
      <c r="M37" s="23"/>
      <c r="N37" s="23"/>
      <c r="O37" s="23"/>
      <c r="P37" s="25"/>
      <c r="Q37" s="23"/>
      <c r="R37" s="23"/>
      <c r="S37" s="23"/>
      <c r="T37" s="25"/>
      <c r="U37" s="25"/>
      <c r="V37" s="25"/>
      <c r="W37"/>
    </row>
    <row r="38" spans="1:23" x14ac:dyDescent="0.2">
      <c r="A38" s="774"/>
      <c r="B38" s="4" t="s">
        <v>846</v>
      </c>
      <c r="C38" s="23"/>
      <c r="D38" s="23"/>
      <c r="E38" s="23"/>
      <c r="F38" s="23"/>
      <c r="G38" s="23"/>
      <c r="H38" s="212"/>
      <c r="I38" s="212"/>
      <c r="J38" s="212"/>
      <c r="K38" s="212"/>
      <c r="L38" s="212"/>
      <c r="M38" s="616">
        <f>SUM(M27:M37)</f>
        <v>21765</v>
      </c>
      <c r="N38" s="616">
        <f>SUM(N27:N37)</f>
        <v>23112</v>
      </c>
      <c r="O38" s="25">
        <f>+N38-M38</f>
        <v>1347</v>
      </c>
      <c r="P38" s="617">
        <f>IF(M38+N38&lt;&gt;0,IF(M38&lt;&gt;0,IF(O38&lt;&gt;0,ROUND((+O38/M38),4),""),1),"")</f>
        <v>6.1899999999999997E-2</v>
      </c>
      <c r="Q38" s="23"/>
      <c r="R38" s="23"/>
      <c r="S38" s="23"/>
      <c r="T38" s="25"/>
      <c r="U38" s="25"/>
      <c r="V38" s="25"/>
      <c r="W38"/>
    </row>
    <row r="39" spans="1:23" x14ac:dyDescent="0.2">
      <c r="A39" s="774"/>
      <c r="B39" s="4"/>
      <c r="C39" s="23"/>
      <c r="D39" s="23"/>
      <c r="E39" s="23"/>
      <c r="F39" s="23"/>
      <c r="G39" s="23"/>
      <c r="H39" s="23"/>
      <c r="I39" s="23"/>
      <c r="J39" s="23"/>
      <c r="K39" s="23"/>
      <c r="L39" s="23"/>
      <c r="M39" s="23"/>
      <c r="N39" s="23"/>
      <c r="O39" s="23"/>
      <c r="P39" s="25"/>
      <c r="Q39" s="23"/>
      <c r="R39" s="23"/>
      <c r="S39" s="23"/>
      <c r="T39" s="25"/>
      <c r="U39" s="25"/>
      <c r="V39" s="25"/>
      <c r="W39"/>
    </row>
    <row r="40" spans="1:23" x14ac:dyDescent="0.2">
      <c r="A40" s="774"/>
      <c r="B40" s="4"/>
      <c r="C40" s="23"/>
      <c r="D40" s="23"/>
      <c r="E40" s="23"/>
      <c r="F40" s="23"/>
      <c r="G40" s="23"/>
      <c r="H40" s="23"/>
      <c r="I40" s="23"/>
      <c r="J40" s="23"/>
      <c r="K40" s="23"/>
      <c r="L40" s="23"/>
      <c r="M40" s="23"/>
      <c r="N40" s="23"/>
      <c r="O40" s="23"/>
      <c r="P40" s="25"/>
      <c r="Q40" s="23"/>
      <c r="R40" s="23"/>
      <c r="S40" s="23"/>
      <c r="T40" s="25"/>
      <c r="U40" s="25"/>
      <c r="V40" s="25"/>
      <c r="W40"/>
    </row>
    <row r="41" spans="1:23" x14ac:dyDescent="0.2">
      <c r="A41" s="774"/>
      <c r="B41" s="4"/>
      <c r="C41" s="23"/>
      <c r="D41" s="23"/>
      <c r="E41" s="23"/>
      <c r="F41" s="23"/>
      <c r="G41" s="23"/>
      <c r="H41" s="23"/>
      <c r="I41" s="23"/>
      <c r="J41" s="23"/>
      <c r="K41" s="23"/>
      <c r="L41" s="23"/>
      <c r="M41" s="23"/>
      <c r="N41" s="23"/>
      <c r="O41" s="23"/>
      <c r="P41" s="25"/>
      <c r="Q41" s="23"/>
      <c r="R41" s="23"/>
      <c r="S41" s="23"/>
      <c r="T41" s="25"/>
      <c r="U41" s="25"/>
      <c r="V41" s="25"/>
      <c r="W41"/>
    </row>
    <row r="42" spans="1:23" x14ac:dyDescent="0.2">
      <c r="A42" s="774"/>
      <c r="B42" s="4"/>
      <c r="C42" s="23"/>
      <c r="D42" s="23"/>
      <c r="E42" s="23"/>
      <c r="F42" s="23"/>
      <c r="G42" s="23"/>
      <c r="H42" s="23"/>
      <c r="I42" s="23"/>
      <c r="J42" s="23"/>
      <c r="K42" s="23"/>
      <c r="L42" s="23"/>
      <c r="M42" s="23"/>
      <c r="N42" s="23"/>
      <c r="O42" s="23"/>
      <c r="P42" s="25"/>
      <c r="Q42" s="23"/>
      <c r="R42" s="23"/>
      <c r="S42" s="23"/>
      <c r="T42" s="25"/>
      <c r="U42" s="25"/>
      <c r="V42" s="25"/>
      <c r="W42"/>
    </row>
    <row r="43" spans="1:23" x14ac:dyDescent="0.2">
      <c r="A43" s="774"/>
      <c r="B43" s="4"/>
      <c r="C43" s="23"/>
      <c r="D43" s="23"/>
      <c r="E43" s="23"/>
      <c r="F43" s="23"/>
      <c r="G43" s="23"/>
      <c r="H43" s="23"/>
      <c r="I43" s="23"/>
      <c r="J43" s="23"/>
      <c r="K43" s="23"/>
      <c r="L43" s="23"/>
      <c r="M43" s="23"/>
      <c r="N43" s="23"/>
      <c r="O43" s="23"/>
      <c r="P43" s="25"/>
      <c r="Q43" s="23"/>
      <c r="R43" s="23"/>
      <c r="S43" s="23"/>
      <c r="T43" s="25"/>
      <c r="U43" s="25"/>
      <c r="V43" s="25"/>
      <c r="W43"/>
    </row>
    <row r="44" spans="1:23" x14ac:dyDescent="0.2">
      <c r="A44" s="774"/>
      <c r="B44" s="4"/>
      <c r="C44" s="23"/>
      <c r="D44" s="23"/>
      <c r="E44" s="23"/>
      <c r="F44" s="23"/>
      <c r="G44" s="23"/>
      <c r="H44" s="23"/>
      <c r="I44" s="23"/>
      <c r="J44" s="23"/>
      <c r="K44" s="23"/>
      <c r="L44" s="23"/>
      <c r="M44" s="23"/>
      <c r="N44" s="23"/>
      <c r="O44" s="23"/>
      <c r="P44" s="25"/>
      <c r="Q44" s="23"/>
      <c r="R44" s="23"/>
      <c r="S44" s="23"/>
      <c r="T44" s="25"/>
      <c r="U44" s="25"/>
      <c r="V44" s="25"/>
      <c r="W44"/>
    </row>
    <row r="45" spans="1:23" x14ac:dyDescent="0.2">
      <c r="A45" s="774"/>
      <c r="B45" s="4"/>
      <c r="C45" s="23"/>
      <c r="D45" s="23"/>
      <c r="E45" s="23"/>
      <c r="F45" s="23"/>
      <c r="G45" s="23"/>
      <c r="H45" s="23"/>
      <c r="I45" s="23"/>
      <c r="J45" s="23"/>
      <c r="K45" s="23"/>
      <c r="L45" s="23"/>
      <c r="M45" s="23"/>
      <c r="N45" s="23"/>
      <c r="O45" s="23"/>
      <c r="P45" s="4"/>
      <c r="Q45" s="23"/>
      <c r="R45" s="23"/>
      <c r="S45" s="23"/>
      <c r="T45" s="4"/>
      <c r="U45" s="4"/>
      <c r="V45" s="4"/>
      <c r="W45"/>
    </row>
    <row r="46" spans="1:23" x14ac:dyDescent="0.2">
      <c r="A46" s="774"/>
      <c r="B46" s="4"/>
      <c r="C46" s="23"/>
      <c r="D46" s="23"/>
      <c r="E46" s="23"/>
      <c r="F46" s="23"/>
      <c r="G46" s="23"/>
      <c r="H46" s="23"/>
      <c r="I46" s="23"/>
      <c r="J46" s="23"/>
      <c r="K46" s="23"/>
      <c r="L46" s="23"/>
      <c r="M46" s="23"/>
      <c r="N46" s="23"/>
      <c r="O46" s="23"/>
      <c r="P46" s="4"/>
      <c r="Q46" s="23"/>
      <c r="R46" s="23"/>
      <c r="S46" s="23"/>
      <c r="T46" s="4"/>
      <c r="U46" s="4"/>
      <c r="V46" s="4"/>
      <c r="W46"/>
    </row>
    <row r="47" spans="1:23" x14ac:dyDescent="0.2">
      <c r="A47" s="774"/>
      <c r="B47" s="4"/>
      <c r="C47" s="23"/>
      <c r="D47" s="23"/>
      <c r="E47" s="23"/>
      <c r="F47" s="23"/>
      <c r="G47" s="23"/>
      <c r="H47" s="23"/>
      <c r="I47" s="23"/>
      <c r="J47" s="23"/>
      <c r="K47" s="23"/>
      <c r="L47" s="23"/>
      <c r="M47" s="23"/>
      <c r="N47" s="23"/>
      <c r="O47" s="23"/>
      <c r="P47" s="4"/>
      <c r="Q47" s="23"/>
      <c r="R47" s="23"/>
      <c r="S47" s="23"/>
      <c r="T47" s="4"/>
      <c r="U47" s="4"/>
      <c r="V47" s="4"/>
      <c r="W47"/>
    </row>
    <row r="48" spans="1:23" x14ac:dyDescent="0.2">
      <c r="A48" s="774"/>
      <c r="B48" s="4"/>
      <c r="C48" s="23"/>
      <c r="D48" s="23"/>
      <c r="E48" s="23"/>
      <c r="F48" s="23"/>
      <c r="G48" s="23"/>
      <c r="H48" s="23"/>
      <c r="I48" s="23"/>
      <c r="J48" s="23"/>
      <c r="K48" s="23"/>
      <c r="L48" s="23"/>
      <c r="M48" s="23"/>
      <c r="N48" s="23"/>
      <c r="O48" s="23"/>
      <c r="P48" s="4"/>
      <c r="Q48" s="23"/>
      <c r="R48" s="23"/>
      <c r="S48" s="23"/>
      <c r="T48" s="4"/>
      <c r="U48" s="4"/>
      <c r="V48" s="4"/>
      <c r="W48"/>
    </row>
    <row r="49" spans="1:23" x14ac:dyDescent="0.2">
      <c r="A49" s="774"/>
      <c r="B49" s="4"/>
      <c r="C49" s="23"/>
      <c r="D49" s="23"/>
      <c r="E49" s="23"/>
      <c r="F49" s="23"/>
      <c r="G49" s="23"/>
      <c r="H49" s="23"/>
      <c r="I49" s="23"/>
      <c r="J49" s="23"/>
      <c r="K49" s="23"/>
      <c r="L49" s="23"/>
      <c r="M49" s="23"/>
      <c r="N49" s="23"/>
      <c r="O49" s="23"/>
      <c r="P49" s="4"/>
      <c r="Q49" s="23"/>
      <c r="R49" s="23"/>
      <c r="S49" s="23"/>
      <c r="T49" s="4"/>
      <c r="U49" s="4"/>
      <c r="V49" s="4"/>
      <c r="W49"/>
    </row>
    <row r="50" spans="1:23" x14ac:dyDescent="0.2">
      <c r="A50" s="774"/>
      <c r="B50" s="4"/>
      <c r="C50" s="23"/>
      <c r="D50" s="23"/>
      <c r="E50" s="23"/>
      <c r="F50" s="23"/>
      <c r="G50" s="23"/>
      <c r="H50" s="23"/>
      <c r="I50" s="23"/>
      <c r="J50" s="23"/>
      <c r="K50" s="23"/>
      <c r="L50" s="23"/>
      <c r="M50" s="23"/>
      <c r="N50" s="23"/>
      <c r="O50" s="23"/>
      <c r="P50" s="4"/>
      <c r="Q50" s="23"/>
      <c r="R50" s="23"/>
      <c r="S50" s="23"/>
      <c r="T50" s="4"/>
      <c r="U50" s="4"/>
      <c r="V50" s="4"/>
      <c r="W50"/>
    </row>
    <row r="51" spans="1:23" x14ac:dyDescent="0.2">
      <c r="A51" s="774"/>
      <c r="B51" s="4"/>
      <c r="C51" s="23"/>
      <c r="D51" s="23"/>
      <c r="E51" s="23"/>
      <c r="F51" s="23"/>
      <c r="G51" s="23"/>
      <c r="H51" s="23"/>
      <c r="I51" s="23"/>
      <c r="J51" s="23"/>
      <c r="K51" s="23"/>
      <c r="L51" s="23"/>
      <c r="M51" s="23"/>
      <c r="N51" s="23"/>
      <c r="O51" s="23"/>
      <c r="P51" s="4"/>
      <c r="Q51" s="23"/>
      <c r="R51" s="23"/>
      <c r="S51" s="23"/>
      <c r="T51" s="4"/>
      <c r="U51" s="4"/>
      <c r="V51" s="4"/>
      <c r="W51"/>
    </row>
    <row r="52" spans="1:23" x14ac:dyDescent="0.2">
      <c r="A52" s="774"/>
      <c r="B52" s="4"/>
      <c r="C52" s="23"/>
      <c r="D52" s="23"/>
      <c r="E52" s="23"/>
      <c r="F52" s="23"/>
      <c r="G52" s="23"/>
      <c r="H52" s="23"/>
      <c r="I52" s="23"/>
      <c r="J52" s="23"/>
      <c r="K52" s="23"/>
      <c r="L52" s="23"/>
      <c r="M52" s="23"/>
      <c r="N52" s="23"/>
      <c r="O52" s="23"/>
      <c r="P52" s="4"/>
      <c r="Q52" s="23"/>
      <c r="R52" s="23"/>
      <c r="S52" s="23"/>
      <c r="T52" s="4"/>
      <c r="U52" s="4"/>
      <c r="V52" s="4"/>
      <c r="W52"/>
    </row>
    <row r="53" spans="1:23" x14ac:dyDescent="0.2">
      <c r="A53" s="774"/>
      <c r="B53" s="4"/>
      <c r="C53" s="23"/>
      <c r="D53" s="23"/>
      <c r="E53" s="23"/>
      <c r="F53" s="23"/>
      <c r="G53" s="23"/>
      <c r="H53" s="23"/>
      <c r="I53" s="23"/>
      <c r="J53" s="23"/>
      <c r="K53" s="23"/>
      <c r="L53" s="23"/>
      <c r="M53" s="23"/>
      <c r="N53" s="23"/>
      <c r="O53" s="23"/>
      <c r="P53" s="4"/>
      <c r="Q53" s="23"/>
      <c r="R53" s="23"/>
      <c r="S53" s="23"/>
      <c r="T53" s="4"/>
      <c r="U53" s="4"/>
      <c r="V53" s="4"/>
      <c r="W53"/>
    </row>
    <row r="54" spans="1:23" x14ac:dyDescent="0.2">
      <c r="A54" s="774"/>
      <c r="B54" s="4"/>
      <c r="C54" s="23"/>
      <c r="D54" s="23"/>
      <c r="E54" s="23"/>
      <c r="F54" s="23"/>
      <c r="G54" s="23"/>
      <c r="H54" s="23"/>
      <c r="I54" s="23"/>
      <c r="J54" s="23"/>
      <c r="K54" s="23"/>
      <c r="L54" s="23"/>
      <c r="M54" s="23"/>
      <c r="N54" s="23"/>
      <c r="O54" s="23"/>
      <c r="P54" s="4"/>
      <c r="Q54" s="23"/>
      <c r="R54" s="23"/>
      <c r="S54" s="23"/>
      <c r="T54" s="4"/>
      <c r="U54" s="4"/>
      <c r="V54" s="4"/>
      <c r="W54"/>
    </row>
    <row r="55" spans="1:23" x14ac:dyDescent="0.2">
      <c r="A55" s="774"/>
      <c r="B55" s="4"/>
      <c r="C55" s="23"/>
      <c r="D55" s="23"/>
      <c r="E55" s="23"/>
      <c r="F55" s="23"/>
      <c r="G55" s="23"/>
      <c r="H55" s="23"/>
      <c r="I55" s="23"/>
      <c r="J55" s="23"/>
      <c r="K55" s="23"/>
      <c r="L55" s="23"/>
      <c r="M55" s="23"/>
      <c r="N55" s="23"/>
      <c r="O55" s="23"/>
      <c r="P55" s="4"/>
      <c r="Q55" s="23"/>
      <c r="R55" s="23"/>
      <c r="S55" s="23"/>
      <c r="T55" s="4"/>
      <c r="U55" s="4"/>
      <c r="V55" s="4"/>
      <c r="W55"/>
    </row>
    <row r="56" spans="1:23" x14ac:dyDescent="0.2">
      <c r="A56" s="774"/>
      <c r="B56" s="4"/>
      <c r="C56" s="23"/>
      <c r="D56" s="23"/>
      <c r="E56" s="23"/>
      <c r="F56" s="23"/>
      <c r="G56" s="23"/>
      <c r="H56" s="23"/>
      <c r="I56" s="23"/>
      <c r="J56" s="23"/>
      <c r="K56" s="23"/>
      <c r="L56" s="23"/>
      <c r="M56" s="23"/>
      <c r="N56" s="23"/>
      <c r="O56" s="23"/>
      <c r="P56" s="4"/>
      <c r="Q56" s="23"/>
      <c r="R56" s="23"/>
      <c r="S56" s="23"/>
      <c r="T56" s="4"/>
      <c r="U56" s="4"/>
      <c r="V56" s="4"/>
      <c r="W56"/>
    </row>
    <row r="57" spans="1:23" x14ac:dyDescent="0.2">
      <c r="A57" s="774"/>
      <c r="B57" s="4"/>
      <c r="C57" s="23"/>
      <c r="D57" s="23"/>
      <c r="E57" s="23"/>
      <c r="F57" s="23"/>
      <c r="G57" s="23"/>
      <c r="H57" s="23"/>
      <c r="I57" s="23"/>
      <c r="J57" s="23"/>
      <c r="K57" s="23"/>
      <c r="L57" s="23"/>
      <c r="M57" s="23"/>
      <c r="N57" s="23"/>
      <c r="O57" s="23"/>
      <c r="P57" s="4"/>
      <c r="Q57" s="23"/>
      <c r="R57" s="23"/>
      <c r="S57" s="23"/>
      <c r="T57" s="4"/>
      <c r="U57" s="4"/>
      <c r="V57" s="4"/>
      <c r="W57"/>
    </row>
    <row r="58" spans="1:23" x14ac:dyDescent="0.2">
      <c r="A58" s="774"/>
      <c r="B58" s="4"/>
      <c r="C58" s="23"/>
      <c r="D58" s="23"/>
      <c r="E58" s="23"/>
      <c r="F58" s="23"/>
      <c r="G58" s="23"/>
      <c r="H58" s="23"/>
      <c r="I58" s="23"/>
      <c r="J58" s="23"/>
      <c r="K58" s="23"/>
      <c r="L58" s="23"/>
      <c r="M58" s="23"/>
      <c r="N58" s="23"/>
      <c r="O58" s="23"/>
      <c r="P58" s="4"/>
      <c r="Q58" s="23"/>
      <c r="R58" s="23"/>
      <c r="S58" s="23"/>
      <c r="T58" s="4"/>
      <c r="U58" s="4"/>
      <c r="V58" s="4"/>
      <c r="W58"/>
    </row>
    <row r="59" spans="1:23" x14ac:dyDescent="0.2">
      <c r="A59" s="774"/>
      <c r="B59" s="4"/>
      <c r="C59" s="23"/>
      <c r="D59" s="23"/>
      <c r="E59" s="23"/>
      <c r="F59" s="23"/>
      <c r="G59" s="23"/>
      <c r="H59" s="23"/>
      <c r="I59" s="23"/>
      <c r="J59" s="23"/>
      <c r="K59" s="23"/>
      <c r="L59" s="23"/>
      <c r="M59" s="23"/>
      <c r="N59" s="23"/>
      <c r="O59" s="23"/>
      <c r="P59" s="4"/>
      <c r="Q59" s="23"/>
      <c r="R59" s="23"/>
      <c r="S59" s="23"/>
      <c r="T59" s="4"/>
      <c r="U59" s="4"/>
      <c r="V59" s="4"/>
      <c r="W59"/>
    </row>
    <row r="60" spans="1:23" x14ac:dyDescent="0.2">
      <c r="A60" s="774"/>
      <c r="B60" s="4"/>
      <c r="C60" s="23"/>
      <c r="D60" s="23"/>
      <c r="E60" s="23"/>
      <c r="F60" s="23"/>
      <c r="G60" s="23"/>
      <c r="H60" s="23"/>
      <c r="I60" s="23"/>
      <c r="J60" s="23"/>
      <c r="K60" s="23"/>
      <c r="L60" s="23"/>
      <c r="M60" s="23"/>
      <c r="N60" s="23"/>
      <c r="O60" s="23"/>
      <c r="P60" s="4"/>
      <c r="Q60" s="23"/>
      <c r="R60" s="23"/>
      <c r="S60" s="23"/>
      <c r="T60" s="4"/>
      <c r="U60" s="4"/>
      <c r="V60" s="4"/>
      <c r="W60"/>
    </row>
    <row r="61" spans="1:23" x14ac:dyDescent="0.2">
      <c r="A61" s="774"/>
      <c r="B61" s="4"/>
      <c r="C61" s="23"/>
      <c r="D61" s="23"/>
      <c r="E61" s="23"/>
      <c r="F61" s="23"/>
      <c r="G61" s="23"/>
      <c r="H61" s="23"/>
      <c r="I61" s="23"/>
      <c r="J61" s="23"/>
      <c r="K61" s="23"/>
      <c r="L61" s="23"/>
      <c r="M61" s="23"/>
      <c r="N61" s="23"/>
      <c r="O61" s="23"/>
      <c r="P61" s="4"/>
      <c r="Q61" s="23"/>
      <c r="R61" s="23"/>
      <c r="S61" s="23"/>
      <c r="T61" s="4"/>
      <c r="U61" s="4"/>
      <c r="V61" s="4"/>
      <c r="W61"/>
    </row>
    <row r="62" spans="1:23" x14ac:dyDescent="0.2">
      <c r="A62" s="774"/>
      <c r="B62" s="4"/>
      <c r="C62" s="23"/>
      <c r="D62" s="23"/>
      <c r="E62" s="23"/>
      <c r="F62" s="23"/>
      <c r="G62" s="23"/>
      <c r="H62" s="23"/>
      <c r="I62" s="23"/>
      <c r="J62" s="23"/>
      <c r="K62" s="23"/>
      <c r="L62" s="23"/>
      <c r="M62" s="23"/>
      <c r="N62" s="23"/>
      <c r="O62" s="23"/>
      <c r="P62" s="4"/>
      <c r="Q62" s="23"/>
      <c r="R62" s="23"/>
      <c r="S62" s="23"/>
      <c r="T62" s="4"/>
      <c r="U62" s="4"/>
      <c r="V62" s="4"/>
      <c r="W62"/>
    </row>
    <row r="63" spans="1:23" x14ac:dyDescent="0.2">
      <c r="A63" s="774"/>
      <c r="B63" s="4"/>
      <c r="C63" s="23"/>
      <c r="D63" s="23"/>
      <c r="E63" s="23"/>
      <c r="F63" s="23"/>
      <c r="G63" s="23"/>
      <c r="H63" s="23"/>
      <c r="I63" s="23"/>
      <c r="J63" s="23"/>
      <c r="K63" s="23"/>
      <c r="L63" s="23"/>
      <c r="M63" s="23"/>
      <c r="N63" s="23"/>
      <c r="O63" s="23"/>
      <c r="P63" s="4"/>
      <c r="Q63" s="23"/>
      <c r="R63" s="23"/>
      <c r="S63" s="23"/>
      <c r="T63" s="4"/>
      <c r="U63" s="4"/>
      <c r="V63" s="4"/>
      <c r="W63"/>
    </row>
    <row r="64" spans="1:23" x14ac:dyDescent="0.2">
      <c r="A64" s="774"/>
      <c r="B64" s="4"/>
      <c r="C64" s="23"/>
      <c r="D64" s="23"/>
      <c r="E64" s="23"/>
      <c r="F64" s="23"/>
      <c r="G64" s="23"/>
      <c r="H64" s="23"/>
      <c r="I64" s="23"/>
      <c r="J64" s="23"/>
      <c r="K64" s="23"/>
      <c r="L64" s="23"/>
      <c r="M64" s="23"/>
      <c r="N64" s="23"/>
      <c r="O64" s="23"/>
      <c r="P64" s="4"/>
      <c r="Q64" s="23"/>
      <c r="R64" s="23"/>
      <c r="S64" s="23"/>
      <c r="T64" s="4"/>
      <c r="U64" s="4"/>
      <c r="V64" s="4"/>
      <c r="W64"/>
    </row>
    <row r="65" spans="1:23" x14ac:dyDescent="0.2">
      <c r="A65" s="774"/>
      <c r="B65" s="4"/>
      <c r="C65" s="23"/>
      <c r="D65" s="23"/>
      <c r="E65" s="23"/>
      <c r="F65" s="23"/>
      <c r="G65" s="23"/>
      <c r="H65" s="23"/>
      <c r="I65" s="23"/>
      <c r="J65" s="23"/>
      <c r="K65" s="23"/>
      <c r="L65" s="23"/>
      <c r="M65" s="23"/>
      <c r="N65" s="23"/>
      <c r="O65" s="23"/>
      <c r="P65" s="4"/>
      <c r="Q65" s="23"/>
      <c r="R65" s="23"/>
      <c r="S65" s="23"/>
      <c r="T65" s="4"/>
      <c r="U65" s="4"/>
      <c r="V65" s="4"/>
      <c r="W65"/>
    </row>
    <row r="66" spans="1:23" x14ac:dyDescent="0.2">
      <c r="A66" s="774"/>
      <c r="B66" s="4"/>
      <c r="C66" s="23"/>
      <c r="D66" s="23"/>
      <c r="E66" s="23"/>
      <c r="F66" s="23"/>
      <c r="G66" s="23"/>
      <c r="H66" s="23"/>
      <c r="I66" s="23"/>
      <c r="J66" s="23"/>
      <c r="K66" s="23"/>
      <c r="L66" s="23"/>
      <c r="M66" s="23"/>
      <c r="N66" s="23"/>
      <c r="O66" s="23"/>
      <c r="P66" s="4"/>
      <c r="Q66" s="23"/>
      <c r="R66" s="23"/>
      <c r="S66" s="23"/>
      <c r="T66" s="4"/>
      <c r="U66" s="4"/>
      <c r="V66" s="4"/>
      <c r="W66"/>
    </row>
    <row r="67" spans="1:23" x14ac:dyDescent="0.2">
      <c r="A67" s="774"/>
      <c r="B67" s="4"/>
      <c r="C67" s="23"/>
      <c r="D67" s="23"/>
      <c r="E67" s="23"/>
      <c r="F67" s="23"/>
      <c r="G67" s="23"/>
      <c r="H67" s="23"/>
      <c r="I67" s="23"/>
      <c r="J67" s="23"/>
      <c r="K67" s="23"/>
      <c r="L67" s="23"/>
      <c r="M67" s="23"/>
      <c r="N67" s="23"/>
      <c r="O67" s="23"/>
      <c r="P67" s="4"/>
      <c r="Q67" s="23"/>
      <c r="R67" s="23"/>
      <c r="S67" s="23"/>
      <c r="T67" s="4"/>
      <c r="U67" s="4"/>
      <c r="V67" s="4"/>
      <c r="W67"/>
    </row>
    <row r="68" spans="1:23" x14ac:dyDescent="0.2">
      <c r="A68" s="774"/>
      <c r="B68" s="4"/>
      <c r="C68" s="23"/>
      <c r="D68" s="23"/>
      <c r="E68" s="23"/>
      <c r="F68" s="23"/>
      <c r="G68" s="23"/>
      <c r="H68" s="23"/>
      <c r="I68" s="23"/>
      <c r="J68" s="23"/>
      <c r="K68" s="23"/>
      <c r="L68" s="23"/>
      <c r="M68" s="23"/>
      <c r="N68" s="23"/>
      <c r="O68" s="23"/>
      <c r="P68" s="4"/>
      <c r="Q68" s="23"/>
      <c r="R68" s="23"/>
      <c r="S68" s="23"/>
      <c r="T68" s="4"/>
      <c r="U68" s="4"/>
      <c r="V68" s="4"/>
      <c r="W68"/>
    </row>
    <row r="69" spans="1:23" x14ac:dyDescent="0.2">
      <c r="A69" s="774"/>
      <c r="B69" s="4"/>
      <c r="C69" s="23"/>
      <c r="D69" s="23"/>
      <c r="E69" s="23"/>
      <c r="F69" s="23"/>
      <c r="G69" s="23"/>
      <c r="H69" s="23"/>
      <c r="I69" s="23"/>
      <c r="J69" s="23"/>
      <c r="K69" s="23"/>
      <c r="L69" s="23"/>
      <c r="M69" s="23"/>
      <c r="N69" s="23"/>
      <c r="O69" s="23"/>
      <c r="P69" s="4"/>
      <c r="Q69" s="23"/>
      <c r="R69" s="23"/>
      <c r="S69" s="23"/>
      <c r="T69" s="4"/>
      <c r="U69" s="4"/>
      <c r="V69" s="4"/>
      <c r="W69"/>
    </row>
    <row r="70" spans="1:23" x14ac:dyDescent="0.2">
      <c r="A70" s="774"/>
      <c r="B70" s="4"/>
      <c r="C70" s="23"/>
      <c r="D70" s="23"/>
      <c r="E70" s="23"/>
      <c r="F70" s="23"/>
      <c r="G70" s="23"/>
      <c r="H70" s="23"/>
      <c r="I70" s="23"/>
      <c r="J70" s="23"/>
      <c r="K70" s="23"/>
      <c r="L70" s="23"/>
      <c r="M70" s="23"/>
      <c r="N70" s="23"/>
      <c r="O70" s="23"/>
      <c r="P70" s="4"/>
      <c r="Q70" s="23"/>
      <c r="R70" s="23"/>
      <c r="S70" s="23"/>
      <c r="T70" s="4"/>
      <c r="U70" s="4"/>
      <c r="V70" s="4"/>
      <c r="W70"/>
    </row>
    <row r="71" spans="1:23" x14ac:dyDescent="0.2">
      <c r="A71" s="774"/>
      <c r="B71" s="4"/>
      <c r="C71" s="23"/>
      <c r="D71" s="23"/>
      <c r="E71" s="23"/>
      <c r="F71" s="23"/>
      <c r="G71" s="23"/>
      <c r="H71" s="23"/>
      <c r="I71" s="23"/>
      <c r="J71" s="23"/>
      <c r="K71" s="23"/>
      <c r="L71" s="23"/>
      <c r="M71" s="23"/>
      <c r="N71" s="23"/>
      <c r="O71" s="23"/>
      <c r="P71" s="4"/>
      <c r="Q71" s="23"/>
      <c r="R71" s="23"/>
      <c r="S71" s="23"/>
      <c r="T71" s="4"/>
      <c r="U71" s="4"/>
      <c r="V71" s="4"/>
      <c r="W71"/>
    </row>
    <row r="72" spans="1:23" x14ac:dyDescent="0.2">
      <c r="A72" s="774"/>
      <c r="B72" s="4"/>
      <c r="C72" s="23"/>
      <c r="D72" s="23"/>
      <c r="E72" s="23"/>
      <c r="F72" s="23"/>
      <c r="G72" s="23"/>
      <c r="H72" s="23"/>
      <c r="I72" s="23"/>
      <c r="J72" s="23"/>
      <c r="K72" s="23"/>
      <c r="L72" s="23"/>
      <c r="M72" s="23"/>
      <c r="N72" s="23"/>
      <c r="O72" s="23"/>
      <c r="P72" s="4"/>
      <c r="Q72" s="23"/>
      <c r="R72" s="23"/>
      <c r="S72" s="23"/>
      <c r="T72" s="4"/>
      <c r="U72" s="4"/>
      <c r="V72" s="4"/>
      <c r="W72"/>
    </row>
    <row r="73" spans="1:23" x14ac:dyDescent="0.2">
      <c r="A73" s="774"/>
      <c r="B73" s="4"/>
      <c r="C73" s="23"/>
      <c r="D73" s="23"/>
      <c r="E73" s="23"/>
      <c r="F73" s="23"/>
      <c r="G73" s="23"/>
      <c r="H73" s="23"/>
      <c r="I73" s="23"/>
      <c r="J73" s="23"/>
      <c r="K73" s="23"/>
      <c r="L73" s="23"/>
      <c r="M73" s="23"/>
      <c r="N73" s="23"/>
      <c r="O73" s="23"/>
      <c r="P73" s="4"/>
      <c r="Q73" s="23"/>
      <c r="R73" s="23"/>
      <c r="S73" s="23"/>
      <c r="T73" s="4"/>
      <c r="U73" s="4"/>
      <c r="V73" s="4"/>
      <c r="W73"/>
    </row>
    <row r="74" spans="1:23" x14ac:dyDescent="0.2">
      <c r="A74" s="774"/>
      <c r="B74" s="4"/>
      <c r="C74" s="23"/>
      <c r="D74" s="23"/>
      <c r="E74" s="23"/>
      <c r="F74" s="23"/>
      <c r="G74" s="23"/>
      <c r="H74" s="23"/>
      <c r="I74" s="23"/>
      <c r="J74" s="23"/>
      <c r="K74" s="23"/>
      <c r="L74" s="23"/>
      <c r="M74" s="23"/>
      <c r="N74" s="23"/>
      <c r="O74" s="23"/>
      <c r="P74" s="4"/>
      <c r="Q74" s="23"/>
      <c r="R74" s="23"/>
      <c r="S74" s="23"/>
      <c r="T74" s="4"/>
      <c r="U74" s="4"/>
      <c r="V74" s="4"/>
      <c r="W74"/>
    </row>
    <row r="75" spans="1:23" x14ac:dyDescent="0.2">
      <c r="A75" s="774"/>
      <c r="B75" s="4"/>
      <c r="C75" s="23"/>
      <c r="D75" s="23"/>
      <c r="E75" s="23"/>
      <c r="F75" s="23"/>
      <c r="G75" s="23"/>
      <c r="H75" s="23"/>
      <c r="I75" s="23"/>
      <c r="J75" s="23"/>
      <c r="K75" s="23"/>
      <c r="L75" s="23"/>
      <c r="M75" s="23"/>
      <c r="N75" s="23"/>
      <c r="O75" s="23"/>
      <c r="P75" s="4"/>
      <c r="Q75" s="23"/>
      <c r="R75" s="23"/>
      <c r="S75" s="23"/>
      <c r="T75" s="4"/>
      <c r="U75" s="4"/>
      <c r="V75" s="4"/>
      <c r="W75"/>
    </row>
    <row r="76" spans="1:23" x14ac:dyDescent="0.2">
      <c r="A76" s="774"/>
      <c r="B76" s="4"/>
      <c r="C76" s="23"/>
      <c r="D76" s="23"/>
      <c r="E76" s="23"/>
      <c r="F76" s="23"/>
      <c r="G76" s="23"/>
      <c r="H76" s="23"/>
      <c r="I76" s="23"/>
      <c r="J76" s="23"/>
      <c r="K76" s="23"/>
      <c r="L76" s="23"/>
      <c r="M76" s="23"/>
      <c r="N76" s="23"/>
      <c r="O76" s="23"/>
      <c r="P76" s="4"/>
      <c r="Q76" s="23"/>
      <c r="R76" s="23"/>
      <c r="S76" s="23"/>
      <c r="T76" s="4"/>
      <c r="U76" s="4"/>
      <c r="V76" s="4"/>
      <c r="W76"/>
    </row>
    <row r="77" spans="1:23" x14ac:dyDescent="0.2">
      <c r="A77" s="774"/>
      <c r="B77" s="4"/>
      <c r="C77" s="23"/>
      <c r="D77" s="23"/>
      <c r="E77" s="23"/>
      <c r="F77" s="23"/>
      <c r="G77" s="23"/>
      <c r="H77" s="23"/>
      <c r="I77" s="23"/>
      <c r="J77" s="23"/>
      <c r="K77" s="23"/>
      <c r="L77" s="23"/>
      <c r="M77" s="23"/>
      <c r="N77" s="23"/>
      <c r="O77" s="23"/>
      <c r="P77" s="4"/>
      <c r="Q77" s="23"/>
      <c r="R77" s="23"/>
      <c r="S77" s="23"/>
      <c r="T77" s="4"/>
      <c r="U77" s="4"/>
      <c r="V77" s="4"/>
      <c r="W77"/>
    </row>
    <row r="78" spans="1:23" x14ac:dyDescent="0.2">
      <c r="A78" s="774"/>
      <c r="B78" s="4"/>
      <c r="C78" s="23"/>
      <c r="D78" s="23"/>
      <c r="E78" s="23"/>
      <c r="F78" s="23"/>
      <c r="G78" s="23"/>
      <c r="H78" s="23"/>
      <c r="I78" s="23"/>
      <c r="J78" s="23"/>
      <c r="K78" s="23"/>
      <c r="L78" s="23"/>
      <c r="M78" s="23"/>
      <c r="N78" s="23"/>
      <c r="O78" s="23"/>
      <c r="P78" s="4"/>
      <c r="Q78" s="23"/>
      <c r="R78" s="23"/>
      <c r="S78" s="23"/>
      <c r="T78" s="4"/>
      <c r="U78" s="4"/>
      <c r="V78" s="4"/>
      <c r="W78"/>
    </row>
    <row r="79" spans="1:23" x14ac:dyDescent="0.2">
      <c r="A79" s="774"/>
      <c r="B79" s="4"/>
      <c r="C79" s="23"/>
      <c r="D79" s="23"/>
      <c r="E79" s="23"/>
      <c r="F79" s="23"/>
      <c r="G79" s="23"/>
      <c r="H79" s="23"/>
      <c r="I79" s="23"/>
      <c r="J79" s="23"/>
      <c r="K79" s="23"/>
      <c r="L79" s="23"/>
      <c r="M79" s="23"/>
      <c r="N79" s="23"/>
      <c r="O79" s="23"/>
      <c r="P79" s="4"/>
      <c r="Q79" s="23"/>
      <c r="R79" s="23"/>
      <c r="S79" s="23"/>
      <c r="T79" s="4"/>
      <c r="U79" s="4"/>
      <c r="V79" s="4"/>
      <c r="W79"/>
    </row>
    <row r="80" spans="1:23" x14ac:dyDescent="0.2">
      <c r="A80" s="774"/>
      <c r="B80" s="4"/>
      <c r="C80" s="23"/>
      <c r="D80" s="23"/>
      <c r="E80" s="23"/>
      <c r="F80" s="23"/>
      <c r="G80" s="23"/>
      <c r="H80" s="23"/>
      <c r="I80" s="23"/>
      <c r="J80" s="23"/>
      <c r="K80" s="23"/>
      <c r="L80" s="23"/>
      <c r="M80" s="23"/>
      <c r="N80" s="23"/>
      <c r="O80" s="23"/>
      <c r="P80" s="4"/>
      <c r="Q80" s="23"/>
      <c r="R80" s="23"/>
      <c r="S80" s="23"/>
      <c r="T80" s="4"/>
      <c r="U80" s="4"/>
      <c r="V80" s="4"/>
      <c r="W80"/>
    </row>
    <row r="81" spans="1:23" x14ac:dyDescent="0.2">
      <c r="A81" s="774"/>
      <c r="B81" s="4"/>
      <c r="C81" s="23"/>
      <c r="D81" s="23"/>
      <c r="E81" s="23"/>
      <c r="F81" s="23"/>
      <c r="G81" s="23"/>
      <c r="H81" s="23"/>
      <c r="I81" s="23"/>
      <c r="J81" s="23"/>
      <c r="K81" s="23"/>
      <c r="L81" s="23"/>
      <c r="M81" s="23"/>
      <c r="N81" s="23"/>
      <c r="O81" s="23"/>
      <c r="P81" s="4"/>
      <c r="Q81" s="23"/>
      <c r="R81" s="23"/>
      <c r="S81" s="23"/>
      <c r="T81" s="4"/>
      <c r="U81" s="4"/>
      <c r="V81" s="4"/>
      <c r="W81"/>
    </row>
    <row r="82" spans="1:23" x14ac:dyDescent="0.2">
      <c r="A82" s="774"/>
      <c r="B82" s="4"/>
      <c r="C82" s="23"/>
      <c r="D82" s="23"/>
      <c r="E82" s="23"/>
      <c r="F82" s="23"/>
      <c r="G82" s="23"/>
      <c r="H82" s="23"/>
      <c r="I82" s="23"/>
      <c r="J82" s="23"/>
      <c r="K82" s="23"/>
      <c r="L82" s="23"/>
      <c r="M82" s="23"/>
      <c r="N82" s="23"/>
      <c r="O82" s="23"/>
      <c r="P82" s="4"/>
      <c r="Q82" s="23"/>
      <c r="R82" s="23"/>
      <c r="S82" s="23"/>
      <c r="T82" s="4"/>
      <c r="U82" s="4"/>
      <c r="V82" s="4"/>
      <c r="W82"/>
    </row>
    <row r="83" spans="1:23" x14ac:dyDescent="0.2">
      <c r="A83" s="774"/>
      <c r="B83" s="4"/>
      <c r="C83" s="23"/>
      <c r="D83" s="23"/>
      <c r="E83" s="23"/>
      <c r="F83" s="23"/>
      <c r="G83" s="23"/>
      <c r="H83" s="23"/>
      <c r="I83" s="23"/>
      <c r="J83" s="23"/>
      <c r="K83" s="23"/>
      <c r="L83" s="23"/>
      <c r="M83" s="23"/>
      <c r="N83" s="23"/>
      <c r="O83" s="23"/>
      <c r="P83" s="4"/>
      <c r="Q83" s="23"/>
      <c r="R83" s="23"/>
      <c r="S83" s="23"/>
      <c r="T83" s="4"/>
      <c r="U83" s="4"/>
      <c r="V83" s="4"/>
      <c r="W83"/>
    </row>
    <row r="84" spans="1:23" x14ac:dyDescent="0.2">
      <c r="A84" s="774"/>
      <c r="B84" s="4"/>
      <c r="C84" s="23"/>
      <c r="D84" s="23"/>
      <c r="E84" s="23"/>
      <c r="F84" s="23"/>
      <c r="G84" s="23"/>
      <c r="H84" s="23"/>
      <c r="I84" s="23"/>
      <c r="J84" s="23"/>
      <c r="K84" s="23"/>
      <c r="L84" s="23"/>
      <c r="M84" s="23"/>
      <c r="N84" s="23"/>
      <c r="O84" s="23"/>
      <c r="P84" s="4"/>
      <c r="Q84" s="23"/>
      <c r="R84" s="23"/>
      <c r="S84" s="23"/>
      <c r="T84" s="4"/>
      <c r="U84" s="4"/>
      <c r="V84" s="4"/>
      <c r="W84"/>
    </row>
    <row r="85" spans="1:23" x14ac:dyDescent="0.2">
      <c r="A85" s="774"/>
      <c r="B85" s="4"/>
      <c r="C85" s="23"/>
      <c r="D85" s="23"/>
      <c r="E85" s="23"/>
      <c r="F85" s="23"/>
      <c r="G85" s="23"/>
      <c r="H85" s="23"/>
      <c r="I85" s="23"/>
      <c r="J85" s="23"/>
      <c r="K85" s="23"/>
      <c r="L85" s="23"/>
      <c r="M85" s="23"/>
      <c r="N85" s="23"/>
      <c r="O85" s="23"/>
      <c r="P85" s="4"/>
      <c r="Q85" s="23"/>
      <c r="R85" s="23"/>
      <c r="S85" s="23"/>
      <c r="T85" s="4"/>
      <c r="U85" s="4"/>
      <c r="V85" s="4"/>
      <c r="W85"/>
    </row>
    <row r="86" spans="1:23" x14ac:dyDescent="0.2">
      <c r="A86" s="774"/>
      <c r="B86" s="4"/>
      <c r="C86" s="23"/>
      <c r="D86" s="23"/>
      <c r="E86" s="23"/>
      <c r="F86" s="23"/>
      <c r="G86" s="23"/>
      <c r="H86" s="23"/>
      <c r="I86" s="23"/>
      <c r="J86" s="23"/>
      <c r="K86" s="23"/>
      <c r="L86" s="23"/>
      <c r="M86" s="23"/>
      <c r="N86" s="23"/>
      <c r="O86" s="23"/>
      <c r="P86" s="4"/>
      <c r="Q86" s="23"/>
      <c r="R86" s="23"/>
      <c r="S86" s="23"/>
      <c r="T86" s="4"/>
      <c r="U86" s="4"/>
      <c r="V86" s="4"/>
      <c r="W86"/>
    </row>
    <row r="87" spans="1:23" x14ac:dyDescent="0.2">
      <c r="A87" s="774"/>
      <c r="B87" s="4"/>
      <c r="C87" s="23"/>
      <c r="D87" s="23"/>
      <c r="E87" s="23"/>
      <c r="F87" s="23"/>
      <c r="G87" s="23"/>
      <c r="H87" s="23"/>
      <c r="I87" s="23"/>
      <c r="J87" s="23"/>
      <c r="K87" s="23"/>
      <c r="L87" s="23"/>
      <c r="M87" s="23"/>
      <c r="N87" s="23"/>
      <c r="O87" s="23"/>
      <c r="P87" s="4"/>
      <c r="Q87" s="23"/>
      <c r="R87" s="23"/>
      <c r="S87" s="23"/>
      <c r="T87" s="4"/>
      <c r="U87" s="4"/>
      <c r="V87" s="4"/>
      <c r="W87"/>
    </row>
    <row r="88" spans="1:23" x14ac:dyDescent="0.2">
      <c r="A88" s="774"/>
      <c r="B88" s="4"/>
      <c r="C88" s="23"/>
      <c r="D88" s="23"/>
      <c r="E88" s="23"/>
      <c r="F88" s="23"/>
      <c r="G88" s="23"/>
      <c r="H88" s="23"/>
      <c r="I88" s="23"/>
      <c r="J88" s="23"/>
      <c r="K88" s="23"/>
      <c r="L88" s="23"/>
      <c r="M88" s="23"/>
      <c r="N88" s="23"/>
      <c r="O88" s="23"/>
      <c r="P88" s="4"/>
      <c r="Q88" s="23"/>
      <c r="R88" s="23"/>
      <c r="S88" s="23"/>
      <c r="T88" s="4"/>
      <c r="U88" s="4"/>
      <c r="V88" s="4"/>
      <c r="W88"/>
    </row>
    <row r="89" spans="1:23" x14ac:dyDescent="0.2">
      <c r="A89" s="774"/>
      <c r="B89" s="4"/>
      <c r="C89" s="23"/>
      <c r="D89" s="23"/>
      <c r="E89" s="23"/>
      <c r="F89" s="23"/>
      <c r="G89" s="23"/>
      <c r="H89" s="23"/>
      <c r="I89" s="23"/>
      <c r="J89" s="23"/>
      <c r="K89" s="23"/>
      <c r="L89" s="23"/>
      <c r="M89" s="23"/>
      <c r="N89" s="23"/>
      <c r="O89" s="23"/>
      <c r="P89" s="4"/>
      <c r="Q89" s="23"/>
      <c r="R89" s="23"/>
      <c r="S89" s="23"/>
      <c r="T89" s="4"/>
      <c r="U89" s="4"/>
      <c r="V89" s="4"/>
      <c r="W89"/>
    </row>
    <row r="90" spans="1:23" x14ac:dyDescent="0.2">
      <c r="A90" s="774"/>
      <c r="B90" s="4"/>
      <c r="C90" s="23"/>
      <c r="D90" s="23"/>
      <c r="E90" s="23"/>
      <c r="F90" s="23"/>
      <c r="G90" s="23"/>
      <c r="H90" s="23"/>
      <c r="I90" s="23"/>
      <c r="J90" s="23"/>
      <c r="K90" s="23"/>
      <c r="L90" s="23"/>
      <c r="M90" s="23"/>
      <c r="N90" s="23"/>
      <c r="O90" s="23"/>
      <c r="P90" s="4"/>
      <c r="Q90" s="23"/>
      <c r="R90" s="23"/>
      <c r="S90" s="23"/>
      <c r="T90" s="4"/>
      <c r="U90" s="4"/>
      <c r="V90" s="4"/>
      <c r="W90"/>
    </row>
    <row r="91" spans="1:23" x14ac:dyDescent="0.2">
      <c r="A91" s="774"/>
      <c r="B91" s="4"/>
      <c r="C91" s="23"/>
      <c r="D91" s="23"/>
      <c r="E91" s="23"/>
      <c r="F91" s="23"/>
      <c r="G91" s="23"/>
      <c r="H91" s="23"/>
      <c r="I91" s="23"/>
      <c r="J91" s="23"/>
      <c r="K91" s="23"/>
      <c r="L91" s="23"/>
      <c r="M91" s="23"/>
      <c r="N91" s="23"/>
      <c r="O91" s="23"/>
      <c r="P91" s="4"/>
      <c r="Q91" s="23"/>
      <c r="R91" s="23"/>
      <c r="S91" s="23"/>
      <c r="T91" s="4"/>
      <c r="U91" s="4"/>
      <c r="V91" s="4"/>
      <c r="W91"/>
    </row>
    <row r="92" spans="1:23" x14ac:dyDescent="0.2">
      <c r="A92" s="774"/>
      <c r="B92" s="4"/>
      <c r="C92" s="23"/>
      <c r="D92" s="23"/>
      <c r="E92" s="23"/>
      <c r="F92" s="23"/>
      <c r="G92" s="23"/>
      <c r="H92" s="23"/>
      <c r="I92" s="23"/>
      <c r="J92" s="23"/>
      <c r="K92" s="23"/>
      <c r="L92" s="23"/>
      <c r="M92" s="23"/>
      <c r="N92" s="23"/>
      <c r="O92" s="23"/>
      <c r="P92" s="4"/>
      <c r="Q92" s="23"/>
      <c r="R92" s="23"/>
      <c r="S92" s="23"/>
      <c r="T92" s="4"/>
      <c r="U92" s="4"/>
      <c r="V92" s="4"/>
      <c r="W92"/>
    </row>
    <row r="93" spans="1:23" x14ac:dyDescent="0.2">
      <c r="A93" s="774"/>
      <c r="B93" s="4"/>
      <c r="C93" s="23"/>
      <c r="D93" s="23"/>
      <c r="E93" s="23"/>
      <c r="F93" s="23"/>
      <c r="G93" s="23"/>
      <c r="H93" s="23"/>
      <c r="I93" s="23"/>
      <c r="J93" s="23"/>
      <c r="K93" s="23"/>
      <c r="L93" s="23"/>
      <c r="M93" s="23"/>
      <c r="N93" s="23"/>
      <c r="O93" s="23"/>
      <c r="P93" s="4"/>
      <c r="Q93" s="23"/>
      <c r="R93" s="23"/>
      <c r="S93" s="23"/>
      <c r="T93" s="4"/>
      <c r="U93" s="4"/>
      <c r="V93" s="4"/>
      <c r="W93"/>
    </row>
    <row r="94" spans="1:23" x14ac:dyDescent="0.2">
      <c r="A94" s="774"/>
      <c r="B94" s="4"/>
      <c r="C94" s="23"/>
      <c r="D94" s="23"/>
      <c r="E94" s="23"/>
      <c r="F94" s="23"/>
      <c r="G94" s="23"/>
      <c r="H94" s="23"/>
      <c r="I94" s="23"/>
      <c r="J94" s="23"/>
      <c r="K94" s="23"/>
      <c r="L94" s="23"/>
      <c r="M94" s="23"/>
      <c r="N94" s="23"/>
      <c r="O94" s="23"/>
      <c r="P94" s="4"/>
      <c r="Q94" s="23"/>
      <c r="R94" s="23"/>
      <c r="S94" s="23"/>
      <c r="T94" s="4"/>
      <c r="U94" s="4"/>
      <c r="V94" s="4"/>
      <c r="W94"/>
    </row>
    <row r="95" spans="1:23" x14ac:dyDescent="0.2">
      <c r="A95" s="774"/>
      <c r="B95" s="4"/>
      <c r="C95" s="23"/>
      <c r="D95" s="23"/>
      <c r="E95" s="23"/>
      <c r="F95" s="23"/>
      <c r="G95" s="23"/>
      <c r="H95" s="23"/>
      <c r="I95" s="23"/>
      <c r="J95" s="23"/>
      <c r="K95" s="23"/>
      <c r="L95" s="23"/>
      <c r="M95" s="23"/>
      <c r="N95" s="23"/>
      <c r="O95" s="23"/>
      <c r="P95" s="4"/>
      <c r="Q95" s="23"/>
      <c r="R95" s="23"/>
      <c r="S95" s="23"/>
      <c r="T95" s="4"/>
      <c r="U95" s="4"/>
      <c r="V95" s="4"/>
      <c r="W95"/>
    </row>
    <row r="96" spans="1:23" x14ac:dyDescent="0.2">
      <c r="A96" s="774"/>
      <c r="B96" s="4"/>
      <c r="C96" s="23"/>
      <c r="D96" s="23"/>
      <c r="E96" s="23"/>
      <c r="F96" s="23"/>
      <c r="G96" s="23"/>
      <c r="H96" s="23"/>
      <c r="I96" s="23"/>
      <c r="J96" s="23"/>
      <c r="K96" s="23"/>
      <c r="L96" s="23"/>
      <c r="M96" s="23"/>
      <c r="N96" s="23"/>
      <c r="O96" s="23"/>
      <c r="P96" s="4"/>
      <c r="Q96" s="23"/>
      <c r="R96" s="23"/>
      <c r="S96" s="23"/>
      <c r="T96" s="4"/>
      <c r="U96" s="4"/>
      <c r="V96" s="4"/>
      <c r="W96"/>
    </row>
    <row r="97" spans="1:23" x14ac:dyDescent="0.2">
      <c r="A97" s="774"/>
      <c r="B97" s="4"/>
      <c r="C97" s="23"/>
      <c r="D97" s="23"/>
      <c r="E97" s="23"/>
      <c r="F97" s="23"/>
      <c r="G97" s="23"/>
      <c r="H97" s="23"/>
      <c r="I97" s="23"/>
      <c r="J97" s="23"/>
      <c r="K97" s="23"/>
      <c r="L97" s="23"/>
      <c r="M97" s="23"/>
      <c r="N97" s="23"/>
      <c r="O97" s="23"/>
      <c r="P97" s="4"/>
      <c r="Q97" s="23"/>
      <c r="R97" s="23"/>
      <c r="S97" s="23"/>
      <c r="T97" s="4"/>
      <c r="U97" s="4"/>
      <c r="V97" s="4"/>
      <c r="W97"/>
    </row>
    <row r="98" spans="1:23" x14ac:dyDescent="0.2">
      <c r="A98" s="774"/>
      <c r="B98" s="4"/>
      <c r="C98" s="23"/>
      <c r="D98" s="23"/>
      <c r="E98" s="23"/>
      <c r="F98" s="23"/>
      <c r="G98" s="23"/>
      <c r="H98" s="23"/>
      <c r="I98" s="23"/>
      <c r="J98" s="23"/>
      <c r="K98" s="23"/>
      <c r="L98" s="23"/>
      <c r="M98" s="23"/>
      <c r="N98" s="23"/>
      <c r="O98" s="23"/>
      <c r="P98" s="4"/>
      <c r="Q98" s="23"/>
      <c r="R98" s="23"/>
      <c r="S98" s="23"/>
      <c r="T98" s="4"/>
      <c r="U98" s="4"/>
      <c r="V98" s="4"/>
      <c r="W98"/>
    </row>
    <row r="99" spans="1:23" x14ac:dyDescent="0.2">
      <c r="A99" s="774"/>
      <c r="B99" s="4"/>
      <c r="C99" s="23"/>
      <c r="D99" s="23"/>
      <c r="E99" s="23"/>
      <c r="F99" s="23"/>
      <c r="G99" s="23"/>
      <c r="H99" s="23"/>
      <c r="I99" s="23"/>
      <c r="J99" s="23"/>
      <c r="K99" s="23"/>
      <c r="L99" s="23"/>
      <c r="M99" s="23"/>
      <c r="N99" s="23"/>
      <c r="O99" s="23"/>
      <c r="P99" s="4"/>
      <c r="Q99" s="23"/>
      <c r="R99" s="23"/>
      <c r="S99" s="23"/>
      <c r="T99" s="4"/>
      <c r="U99" s="4"/>
      <c r="V99" s="4"/>
      <c r="W99"/>
    </row>
    <row r="100" spans="1:23" x14ac:dyDescent="0.2">
      <c r="A100" s="774"/>
      <c r="B100" s="4"/>
      <c r="C100" s="23"/>
      <c r="D100" s="23"/>
      <c r="E100" s="23"/>
      <c r="F100" s="23"/>
      <c r="G100" s="23"/>
      <c r="H100" s="23"/>
      <c r="I100" s="23"/>
      <c r="J100" s="23"/>
      <c r="K100" s="23"/>
      <c r="L100" s="23"/>
      <c r="M100" s="23"/>
      <c r="N100" s="23"/>
      <c r="O100" s="23"/>
      <c r="P100" s="4"/>
      <c r="Q100" s="23"/>
      <c r="R100" s="23"/>
      <c r="S100" s="23"/>
      <c r="T100" s="4"/>
      <c r="U100" s="4"/>
      <c r="V100" s="4"/>
      <c r="W100"/>
    </row>
    <row r="101" spans="1:23" x14ac:dyDescent="0.2">
      <c r="A101" s="774"/>
      <c r="B101" s="4"/>
      <c r="C101" s="23"/>
      <c r="D101" s="23"/>
      <c r="E101" s="23"/>
      <c r="F101" s="23"/>
      <c r="G101" s="23"/>
      <c r="H101" s="23"/>
      <c r="I101" s="23"/>
      <c r="J101" s="23"/>
      <c r="K101" s="23"/>
      <c r="L101" s="23"/>
      <c r="M101" s="23"/>
      <c r="N101" s="23"/>
      <c r="O101" s="23"/>
      <c r="P101" s="4"/>
      <c r="Q101" s="23"/>
      <c r="R101" s="23"/>
      <c r="S101" s="23"/>
      <c r="T101" s="4"/>
      <c r="U101" s="4"/>
      <c r="V101" s="4"/>
      <c r="W101"/>
    </row>
    <row r="102" spans="1:23" x14ac:dyDescent="0.2">
      <c r="A102" s="774"/>
      <c r="B102" s="4"/>
      <c r="C102" s="23"/>
      <c r="D102" s="23"/>
      <c r="E102" s="23"/>
      <c r="F102" s="23"/>
      <c r="G102" s="23"/>
      <c r="H102" s="23"/>
      <c r="I102" s="23"/>
      <c r="J102" s="23"/>
      <c r="K102" s="23"/>
      <c r="L102" s="23"/>
      <c r="M102" s="23"/>
      <c r="N102" s="23"/>
      <c r="O102" s="23"/>
      <c r="P102" s="4"/>
      <c r="Q102" s="23"/>
      <c r="R102" s="23"/>
      <c r="S102" s="23"/>
      <c r="T102" s="4"/>
      <c r="U102" s="4"/>
      <c r="V102" s="4"/>
      <c r="W102"/>
    </row>
    <row r="103" spans="1:23" x14ac:dyDescent="0.2">
      <c r="A103" s="774"/>
      <c r="B103" s="4"/>
      <c r="C103" s="23"/>
      <c r="D103" s="23"/>
      <c r="E103" s="23"/>
      <c r="F103" s="23"/>
      <c r="G103" s="23"/>
      <c r="H103" s="23"/>
      <c r="I103" s="23"/>
      <c r="J103" s="23"/>
      <c r="K103" s="23"/>
      <c r="L103" s="23"/>
      <c r="M103" s="23"/>
      <c r="N103" s="23"/>
      <c r="O103" s="23"/>
      <c r="P103" s="4"/>
      <c r="Q103" s="23"/>
      <c r="R103" s="23"/>
      <c r="S103" s="23"/>
      <c r="T103" s="4"/>
      <c r="U103" s="4"/>
      <c r="V103" s="4"/>
      <c r="W103"/>
    </row>
    <row r="104" spans="1:23" x14ac:dyDescent="0.2">
      <c r="A104" s="774"/>
      <c r="B104" s="4"/>
      <c r="C104" s="23"/>
      <c r="D104" s="23"/>
      <c r="E104" s="23"/>
      <c r="F104" s="23"/>
      <c r="G104" s="23"/>
      <c r="H104" s="23"/>
      <c r="I104" s="23"/>
      <c r="J104" s="23"/>
      <c r="K104" s="23"/>
      <c r="L104" s="23"/>
      <c r="M104" s="23"/>
      <c r="N104" s="23"/>
      <c r="O104" s="23"/>
      <c r="P104" s="4"/>
      <c r="Q104" s="23"/>
      <c r="R104" s="23"/>
      <c r="S104" s="23"/>
      <c r="T104" s="4"/>
      <c r="U104" s="4"/>
      <c r="V104" s="4"/>
      <c r="W104"/>
    </row>
    <row r="105" spans="1:23" x14ac:dyDescent="0.2">
      <c r="A105" s="774"/>
      <c r="B105" s="4"/>
      <c r="C105" s="23"/>
      <c r="D105" s="23"/>
      <c r="E105" s="23"/>
      <c r="F105" s="23"/>
      <c r="G105" s="23"/>
      <c r="H105" s="23"/>
      <c r="I105" s="23"/>
      <c r="J105" s="23"/>
      <c r="K105" s="23"/>
      <c r="L105" s="23"/>
      <c r="M105" s="23"/>
      <c r="N105" s="23"/>
      <c r="O105" s="23"/>
      <c r="P105" s="4"/>
      <c r="Q105" s="23"/>
      <c r="R105" s="23"/>
      <c r="S105" s="23"/>
      <c r="T105" s="4"/>
      <c r="U105" s="4"/>
      <c r="V105" s="4"/>
      <c r="W105"/>
    </row>
    <row r="106" spans="1:23" x14ac:dyDescent="0.2">
      <c r="A106" s="774"/>
      <c r="B106" s="4"/>
      <c r="C106" s="23"/>
      <c r="D106" s="23"/>
      <c r="E106" s="23"/>
      <c r="F106" s="23"/>
      <c r="G106" s="23"/>
      <c r="H106" s="23"/>
      <c r="I106" s="23"/>
      <c r="J106" s="23"/>
      <c r="K106" s="23"/>
      <c r="L106" s="23"/>
      <c r="M106" s="23"/>
      <c r="N106" s="23"/>
      <c r="O106" s="23"/>
      <c r="P106" s="4"/>
      <c r="Q106" s="23"/>
      <c r="R106" s="23"/>
      <c r="S106" s="23"/>
      <c r="T106" s="4"/>
      <c r="U106" s="4"/>
      <c r="V106" s="4"/>
      <c r="W106"/>
    </row>
    <row r="107" spans="1:23" x14ac:dyDescent="0.2">
      <c r="C107" s="212"/>
      <c r="D107"/>
      <c r="E107"/>
      <c r="F107"/>
      <c r="G107"/>
      <c r="H107"/>
      <c r="I107"/>
      <c r="J107"/>
      <c r="K107"/>
      <c r="L107"/>
      <c r="M107"/>
      <c r="N107"/>
      <c r="O107"/>
      <c r="Q107"/>
      <c r="R107"/>
      <c r="S107"/>
      <c r="W107"/>
    </row>
    <row r="108" spans="1:23" x14ac:dyDescent="0.2">
      <c r="C108" s="212"/>
      <c r="D108"/>
      <c r="E108"/>
      <c r="F108"/>
      <c r="G108"/>
      <c r="H108"/>
      <c r="I108"/>
      <c r="J108"/>
      <c r="K108"/>
      <c r="L108"/>
      <c r="M108"/>
      <c r="N108"/>
      <c r="O108"/>
      <c r="Q108"/>
      <c r="R108"/>
      <c r="S108"/>
      <c r="W108"/>
    </row>
    <row r="109" spans="1:23" x14ac:dyDescent="0.2">
      <c r="C109" s="212"/>
      <c r="D109"/>
      <c r="E109"/>
      <c r="F109"/>
      <c r="G109"/>
      <c r="H109"/>
      <c r="I109"/>
      <c r="J109"/>
      <c r="K109"/>
      <c r="L109"/>
      <c r="M109"/>
      <c r="N109"/>
      <c r="O109"/>
      <c r="Q109"/>
      <c r="R109"/>
      <c r="S109"/>
      <c r="W109"/>
    </row>
    <row r="110" spans="1:23" x14ac:dyDescent="0.2">
      <c r="C110" s="212"/>
      <c r="D110"/>
      <c r="E110"/>
      <c r="F110"/>
      <c r="G110"/>
      <c r="H110"/>
      <c r="I110"/>
      <c r="J110"/>
      <c r="K110"/>
      <c r="L110"/>
      <c r="M110"/>
      <c r="N110"/>
      <c r="O110"/>
      <c r="Q110"/>
      <c r="R110"/>
      <c r="S110"/>
      <c r="W110"/>
    </row>
    <row r="111" spans="1:23" x14ac:dyDescent="0.2">
      <c r="C111" s="212"/>
      <c r="D111"/>
      <c r="E111"/>
      <c r="F111"/>
      <c r="G111"/>
      <c r="H111"/>
      <c r="I111"/>
      <c r="J111"/>
      <c r="K111"/>
      <c r="L111"/>
      <c r="M111"/>
      <c r="N111"/>
      <c r="O111"/>
      <c r="Q111"/>
      <c r="R111"/>
      <c r="S111"/>
      <c r="W111"/>
    </row>
    <row r="112" spans="1:23" x14ac:dyDescent="0.2">
      <c r="C112" s="212"/>
      <c r="D112"/>
      <c r="E112"/>
      <c r="F112"/>
      <c r="G112"/>
      <c r="H112"/>
      <c r="I112"/>
      <c r="J112"/>
      <c r="K112"/>
      <c r="L112"/>
      <c r="M112"/>
      <c r="N112"/>
      <c r="O112"/>
      <c r="Q112"/>
      <c r="R112"/>
      <c r="S112"/>
      <c r="W112"/>
    </row>
    <row r="113" spans="3:23" x14ac:dyDescent="0.2">
      <c r="C113" s="212"/>
      <c r="D113"/>
      <c r="E113"/>
      <c r="F113"/>
      <c r="G113"/>
      <c r="H113"/>
      <c r="I113"/>
      <c r="J113"/>
      <c r="K113"/>
      <c r="L113"/>
      <c r="M113"/>
      <c r="N113"/>
      <c r="O113"/>
      <c r="Q113"/>
      <c r="R113"/>
      <c r="S113"/>
      <c r="W113"/>
    </row>
    <row r="114" spans="3:23" x14ac:dyDescent="0.2">
      <c r="C114" s="212"/>
      <c r="D114"/>
      <c r="E114"/>
      <c r="F114"/>
      <c r="G114"/>
      <c r="H114"/>
      <c r="I114"/>
      <c r="J114"/>
      <c r="K114"/>
      <c r="L114"/>
      <c r="M114"/>
      <c r="N114"/>
      <c r="O114"/>
      <c r="Q114"/>
      <c r="R114"/>
      <c r="S114"/>
      <c r="W114"/>
    </row>
    <row r="115" spans="3:23" x14ac:dyDescent="0.2">
      <c r="C115" s="212"/>
      <c r="D115"/>
      <c r="E115"/>
      <c r="F115"/>
      <c r="G115"/>
      <c r="H115"/>
      <c r="I115"/>
      <c r="J115"/>
      <c r="K115"/>
      <c r="L115"/>
      <c r="M115"/>
      <c r="N115"/>
      <c r="O115"/>
      <c r="Q115"/>
      <c r="R115"/>
      <c r="S115"/>
      <c r="W115"/>
    </row>
    <row r="116" spans="3:23" x14ac:dyDescent="0.2">
      <c r="C116" s="212"/>
      <c r="D116"/>
      <c r="E116"/>
      <c r="F116"/>
      <c r="G116"/>
      <c r="H116"/>
      <c r="I116"/>
      <c r="J116"/>
      <c r="K116"/>
      <c r="L116"/>
      <c r="M116"/>
      <c r="N116"/>
      <c r="O116"/>
      <c r="Q116"/>
      <c r="R116"/>
      <c r="S116"/>
      <c r="W116"/>
    </row>
    <row r="117" spans="3:23" x14ac:dyDescent="0.2">
      <c r="C117" s="212"/>
      <c r="D117"/>
      <c r="E117"/>
      <c r="F117"/>
      <c r="G117"/>
      <c r="H117"/>
      <c r="I117"/>
      <c r="J117"/>
      <c r="K117"/>
      <c r="L117"/>
      <c r="M117"/>
      <c r="N117"/>
      <c r="O117"/>
      <c r="Q117"/>
      <c r="R117"/>
      <c r="S117"/>
      <c r="W117"/>
    </row>
    <row r="118" spans="3:23" x14ac:dyDescent="0.2">
      <c r="C118" s="212"/>
      <c r="D118"/>
      <c r="E118"/>
      <c r="F118"/>
      <c r="G118"/>
      <c r="H118"/>
      <c r="I118"/>
      <c r="J118"/>
      <c r="K118"/>
      <c r="L118"/>
      <c r="M118"/>
      <c r="N118"/>
      <c r="O118"/>
      <c r="Q118"/>
      <c r="R118"/>
      <c r="S118"/>
      <c r="W118"/>
    </row>
    <row r="119" spans="3:23" x14ac:dyDescent="0.2">
      <c r="C119" s="212"/>
      <c r="D119"/>
      <c r="E119"/>
      <c r="F119"/>
      <c r="G119"/>
      <c r="H119"/>
      <c r="I119"/>
      <c r="J119"/>
      <c r="K119"/>
      <c r="L119"/>
      <c r="M119"/>
      <c r="N119"/>
      <c r="O119"/>
      <c r="Q119"/>
      <c r="R119"/>
      <c r="S119"/>
      <c r="W119"/>
    </row>
    <row r="120" spans="3:23" x14ac:dyDescent="0.2">
      <c r="C120" s="212"/>
      <c r="D120"/>
      <c r="E120"/>
      <c r="F120"/>
      <c r="G120"/>
      <c r="H120"/>
      <c r="I120"/>
      <c r="J120"/>
      <c r="K120"/>
      <c r="L120"/>
      <c r="M120"/>
      <c r="N120"/>
      <c r="O120"/>
      <c r="Q120"/>
      <c r="R120"/>
      <c r="S120"/>
      <c r="W120"/>
    </row>
    <row r="121" spans="3:23" x14ac:dyDescent="0.2">
      <c r="C121" s="212"/>
      <c r="D121"/>
      <c r="E121"/>
      <c r="F121"/>
      <c r="G121"/>
      <c r="H121"/>
      <c r="I121"/>
      <c r="J121"/>
      <c r="K121"/>
      <c r="L121"/>
      <c r="M121"/>
      <c r="N121"/>
      <c r="O121"/>
      <c r="Q121"/>
      <c r="R121"/>
      <c r="S121"/>
      <c r="W121"/>
    </row>
    <row r="122" spans="3:23" x14ac:dyDescent="0.2">
      <c r="C122" s="212"/>
      <c r="D122"/>
      <c r="E122"/>
      <c r="F122"/>
      <c r="G122"/>
      <c r="H122"/>
      <c r="I122"/>
      <c r="J122"/>
      <c r="K122"/>
      <c r="L122"/>
      <c r="M122"/>
      <c r="N122"/>
      <c r="O122"/>
      <c r="Q122"/>
      <c r="R122"/>
      <c r="S122"/>
      <c r="W122"/>
    </row>
    <row r="123" spans="3:23" x14ac:dyDescent="0.2">
      <c r="C123" s="212"/>
      <c r="D123"/>
      <c r="E123"/>
      <c r="F123"/>
      <c r="G123"/>
      <c r="H123"/>
      <c r="I123"/>
      <c r="J123"/>
      <c r="K123"/>
      <c r="L123"/>
      <c r="M123"/>
      <c r="N123"/>
      <c r="O123"/>
      <c r="Q123"/>
      <c r="R123"/>
      <c r="S123"/>
      <c r="W123"/>
    </row>
    <row r="124" spans="3:23" x14ac:dyDescent="0.2">
      <c r="C124" s="212"/>
      <c r="D124"/>
      <c r="E124"/>
      <c r="F124"/>
      <c r="G124"/>
      <c r="H124"/>
      <c r="I124"/>
      <c r="J124"/>
      <c r="K124"/>
      <c r="L124"/>
      <c r="M124"/>
      <c r="N124"/>
      <c r="O124"/>
      <c r="Q124"/>
      <c r="R124"/>
      <c r="S124"/>
      <c r="W124"/>
    </row>
    <row r="125" spans="3:23" x14ac:dyDescent="0.2">
      <c r="C125" s="212"/>
      <c r="D125"/>
      <c r="E125"/>
      <c r="F125"/>
      <c r="G125"/>
      <c r="H125"/>
      <c r="I125"/>
      <c r="J125"/>
      <c r="K125"/>
      <c r="L125"/>
      <c r="M125"/>
      <c r="N125"/>
      <c r="O125"/>
      <c r="Q125"/>
      <c r="R125"/>
      <c r="S125"/>
      <c r="W125"/>
    </row>
    <row r="126" spans="3:23" x14ac:dyDescent="0.2">
      <c r="C126" s="212"/>
      <c r="D126"/>
      <c r="E126"/>
      <c r="F126"/>
      <c r="G126"/>
      <c r="H126"/>
      <c r="I126"/>
      <c r="J126"/>
      <c r="K126"/>
      <c r="L126"/>
      <c r="M126"/>
      <c r="N126"/>
      <c r="O126"/>
      <c r="Q126"/>
      <c r="R126"/>
      <c r="S126"/>
      <c r="W126"/>
    </row>
    <row r="127" spans="3:23" x14ac:dyDescent="0.2">
      <c r="C127" s="212"/>
      <c r="D127"/>
      <c r="E127"/>
      <c r="F127"/>
      <c r="G127"/>
      <c r="H127"/>
      <c r="I127"/>
      <c r="J127"/>
      <c r="K127"/>
      <c r="L127"/>
      <c r="M127"/>
      <c r="N127"/>
      <c r="O127"/>
      <c r="Q127"/>
      <c r="R127"/>
      <c r="S127"/>
      <c r="W127"/>
    </row>
    <row r="128" spans="3:23" x14ac:dyDescent="0.2">
      <c r="C128" s="212"/>
      <c r="D128"/>
      <c r="E128"/>
      <c r="F128"/>
      <c r="G128"/>
      <c r="H128"/>
      <c r="I128"/>
      <c r="J128"/>
      <c r="K128"/>
      <c r="L128"/>
      <c r="M128"/>
      <c r="N128"/>
      <c r="O128"/>
      <c r="Q128"/>
      <c r="R128"/>
      <c r="S128"/>
      <c r="W128"/>
    </row>
    <row r="129" spans="3:23" x14ac:dyDescent="0.2">
      <c r="C129" s="212"/>
      <c r="D129"/>
      <c r="E129"/>
      <c r="F129"/>
      <c r="G129"/>
      <c r="H129"/>
      <c r="I129"/>
      <c r="J129"/>
      <c r="K129"/>
      <c r="L129"/>
      <c r="M129"/>
      <c r="N129"/>
      <c r="O129"/>
      <c r="Q129"/>
      <c r="R129"/>
      <c r="S129"/>
      <c r="W129"/>
    </row>
    <row r="130" spans="3:23" x14ac:dyDescent="0.2">
      <c r="C130" s="212"/>
      <c r="D130"/>
      <c r="E130"/>
      <c r="F130"/>
      <c r="G130"/>
      <c r="H130"/>
      <c r="I130"/>
      <c r="J130"/>
      <c r="K130"/>
      <c r="L130"/>
      <c r="M130"/>
      <c r="N130"/>
      <c r="O130"/>
      <c r="Q130"/>
      <c r="R130"/>
      <c r="S130"/>
      <c r="W130"/>
    </row>
    <row r="131" spans="3:23" x14ac:dyDescent="0.2">
      <c r="C131" s="212"/>
      <c r="D131"/>
      <c r="E131"/>
      <c r="F131"/>
      <c r="G131"/>
      <c r="H131"/>
      <c r="I131"/>
      <c r="J131"/>
      <c r="K131"/>
      <c r="L131"/>
      <c r="M131"/>
      <c r="N131"/>
      <c r="O131"/>
      <c r="Q131"/>
      <c r="R131"/>
      <c r="S131"/>
      <c r="W131"/>
    </row>
    <row r="132" spans="3:23" x14ac:dyDescent="0.2">
      <c r="C132" s="212"/>
      <c r="D132"/>
      <c r="E132"/>
      <c r="F132"/>
      <c r="G132"/>
      <c r="H132"/>
      <c r="I132"/>
      <c r="J132"/>
      <c r="K132"/>
      <c r="L132"/>
      <c r="M132"/>
      <c r="N132"/>
      <c r="O132"/>
      <c r="Q132"/>
      <c r="R132"/>
      <c r="S132"/>
      <c r="W132"/>
    </row>
    <row r="133" spans="3:23" x14ac:dyDescent="0.2">
      <c r="C133" s="212"/>
      <c r="D133"/>
      <c r="E133"/>
      <c r="F133"/>
      <c r="G133"/>
      <c r="H133"/>
      <c r="I133"/>
      <c r="J133"/>
      <c r="K133"/>
      <c r="L133"/>
      <c r="M133"/>
      <c r="N133"/>
      <c r="O133"/>
      <c r="Q133"/>
      <c r="R133"/>
      <c r="S133"/>
      <c r="W133"/>
    </row>
    <row r="134" spans="3:23" x14ac:dyDescent="0.2">
      <c r="C134" s="212"/>
      <c r="D134"/>
      <c r="E134"/>
      <c r="F134"/>
      <c r="G134"/>
      <c r="H134"/>
      <c r="I134"/>
      <c r="J134"/>
      <c r="K134"/>
      <c r="L134"/>
      <c r="M134"/>
      <c r="N134"/>
      <c r="O134"/>
      <c r="Q134"/>
      <c r="R134"/>
      <c r="S134"/>
      <c r="W134"/>
    </row>
    <row r="135" spans="3:23" x14ac:dyDescent="0.2">
      <c r="C135" s="212"/>
      <c r="D135"/>
      <c r="E135"/>
      <c r="F135"/>
      <c r="G135"/>
      <c r="H135"/>
      <c r="I135"/>
      <c r="J135"/>
      <c r="K135"/>
      <c r="L135"/>
      <c r="M135"/>
      <c r="N135"/>
      <c r="O135"/>
      <c r="Q135"/>
      <c r="R135"/>
      <c r="S135"/>
      <c r="W135"/>
    </row>
    <row r="136" spans="3:23" x14ac:dyDescent="0.2">
      <c r="C136" s="212"/>
      <c r="D136"/>
      <c r="E136"/>
      <c r="F136"/>
      <c r="G136"/>
      <c r="H136"/>
      <c r="I136"/>
      <c r="J136"/>
      <c r="K136"/>
      <c r="L136"/>
      <c r="M136"/>
      <c r="N136"/>
      <c r="O136"/>
      <c r="Q136"/>
      <c r="R136"/>
      <c r="S136"/>
      <c r="W136"/>
    </row>
    <row r="137" spans="3:23" x14ac:dyDescent="0.2">
      <c r="C137" s="212"/>
      <c r="D137"/>
      <c r="E137"/>
      <c r="F137"/>
      <c r="G137"/>
      <c r="H137"/>
      <c r="I137"/>
      <c r="J137"/>
      <c r="K137"/>
      <c r="L137"/>
      <c r="M137"/>
      <c r="N137"/>
      <c r="O137"/>
      <c r="Q137"/>
      <c r="R137"/>
      <c r="S137"/>
      <c r="W137"/>
    </row>
    <row r="138" spans="3:23" x14ac:dyDescent="0.2">
      <c r="C138" s="212"/>
      <c r="D138"/>
      <c r="E138"/>
      <c r="F138"/>
      <c r="G138"/>
      <c r="H138"/>
      <c r="I138"/>
      <c r="J138"/>
      <c r="K138"/>
      <c r="L138"/>
      <c r="M138"/>
      <c r="N138"/>
      <c r="O138"/>
      <c r="Q138"/>
      <c r="R138"/>
      <c r="S138"/>
      <c r="W138"/>
    </row>
    <row r="139" spans="3:23" x14ac:dyDescent="0.2">
      <c r="C139" s="212"/>
      <c r="D139"/>
      <c r="E139"/>
      <c r="F139"/>
      <c r="G139"/>
      <c r="H139"/>
      <c r="I139"/>
      <c r="J139"/>
      <c r="K139"/>
      <c r="L139"/>
      <c r="M139"/>
      <c r="N139"/>
      <c r="O139"/>
      <c r="Q139"/>
      <c r="R139"/>
      <c r="S139"/>
      <c r="W139"/>
    </row>
    <row r="140" spans="3:23" x14ac:dyDescent="0.2">
      <c r="C140" s="212"/>
      <c r="D140"/>
      <c r="E140"/>
      <c r="F140"/>
      <c r="G140"/>
      <c r="H140"/>
      <c r="I140"/>
      <c r="J140"/>
      <c r="K140"/>
      <c r="L140"/>
      <c r="M140"/>
      <c r="N140"/>
      <c r="O140"/>
      <c r="Q140"/>
      <c r="R140"/>
      <c r="S140"/>
      <c r="W140"/>
    </row>
    <row r="141" spans="3:23" x14ac:dyDescent="0.2">
      <c r="C141" s="212"/>
      <c r="D141"/>
      <c r="E141"/>
      <c r="F141"/>
      <c r="G141"/>
      <c r="H141"/>
      <c r="I141"/>
      <c r="J141"/>
      <c r="K141"/>
      <c r="L141"/>
      <c r="M141"/>
      <c r="N141"/>
      <c r="O141"/>
      <c r="Q141"/>
      <c r="R141"/>
      <c r="S141"/>
      <c r="W141"/>
    </row>
    <row r="142" spans="3:23" x14ac:dyDescent="0.2">
      <c r="C142" s="212"/>
      <c r="D142"/>
      <c r="E142"/>
      <c r="F142"/>
      <c r="G142"/>
      <c r="H142"/>
      <c r="I142"/>
      <c r="J142"/>
      <c r="K142"/>
      <c r="L142"/>
      <c r="M142"/>
      <c r="N142"/>
      <c r="O142"/>
      <c r="Q142"/>
      <c r="R142"/>
      <c r="S142"/>
      <c r="W142"/>
    </row>
    <row r="143" spans="3:23" x14ac:dyDescent="0.2">
      <c r="C143" s="212"/>
      <c r="D143"/>
      <c r="E143"/>
      <c r="F143"/>
      <c r="G143"/>
      <c r="H143"/>
      <c r="I143"/>
      <c r="J143"/>
      <c r="K143"/>
      <c r="L143"/>
      <c r="M143"/>
      <c r="N143"/>
      <c r="O143"/>
      <c r="Q143"/>
      <c r="R143"/>
      <c r="S143"/>
      <c r="W143"/>
    </row>
    <row r="144" spans="3:23" x14ac:dyDescent="0.2">
      <c r="C144" s="212"/>
      <c r="D144"/>
      <c r="E144"/>
      <c r="F144"/>
      <c r="G144"/>
      <c r="H144"/>
      <c r="I144"/>
      <c r="J144"/>
      <c r="K144"/>
      <c r="L144"/>
      <c r="M144"/>
      <c r="N144"/>
      <c r="O144"/>
      <c r="Q144"/>
      <c r="R144"/>
      <c r="S144"/>
      <c r="W144"/>
    </row>
    <row r="145" spans="3:23" x14ac:dyDescent="0.2">
      <c r="C145" s="212"/>
      <c r="D145"/>
      <c r="E145"/>
      <c r="F145"/>
      <c r="G145"/>
      <c r="H145"/>
      <c r="I145"/>
      <c r="J145"/>
      <c r="K145"/>
      <c r="L145"/>
      <c r="M145"/>
      <c r="N145"/>
      <c r="O145"/>
      <c r="Q145"/>
      <c r="R145"/>
      <c r="S145"/>
      <c r="W145"/>
    </row>
    <row r="146" spans="3:23" x14ac:dyDescent="0.2">
      <c r="C146" s="212"/>
      <c r="D146"/>
      <c r="E146"/>
      <c r="F146"/>
      <c r="G146"/>
      <c r="H146"/>
      <c r="I146"/>
      <c r="J146"/>
      <c r="K146"/>
      <c r="L146"/>
      <c r="M146"/>
      <c r="N146"/>
      <c r="O146"/>
      <c r="Q146"/>
      <c r="R146"/>
      <c r="S146"/>
      <c r="W146"/>
    </row>
    <row r="147" spans="3:23" x14ac:dyDescent="0.2">
      <c r="C147" s="212"/>
      <c r="D147"/>
      <c r="E147"/>
      <c r="F147"/>
      <c r="G147"/>
      <c r="H147"/>
      <c r="I147"/>
      <c r="J147"/>
      <c r="K147"/>
      <c r="L147"/>
      <c r="M147"/>
      <c r="N147"/>
      <c r="O147"/>
      <c r="Q147"/>
      <c r="R147"/>
      <c r="S147"/>
      <c r="W147"/>
    </row>
    <row r="148" spans="3:23" x14ac:dyDescent="0.2">
      <c r="C148" s="212"/>
      <c r="D148"/>
      <c r="E148"/>
      <c r="F148"/>
      <c r="G148"/>
      <c r="H148"/>
      <c r="I148"/>
      <c r="J148"/>
      <c r="K148"/>
      <c r="L148"/>
      <c r="M148"/>
      <c r="N148"/>
      <c r="O148"/>
      <c r="Q148"/>
      <c r="R148"/>
      <c r="S148"/>
      <c r="W148"/>
    </row>
    <row r="149" spans="3:23" x14ac:dyDescent="0.2">
      <c r="C149" s="212"/>
      <c r="D149"/>
      <c r="E149"/>
      <c r="F149"/>
      <c r="G149"/>
      <c r="H149"/>
      <c r="I149"/>
      <c r="J149"/>
      <c r="K149"/>
      <c r="L149"/>
      <c r="M149"/>
      <c r="N149"/>
      <c r="O149"/>
      <c r="Q149"/>
      <c r="R149"/>
      <c r="S149"/>
      <c r="W149"/>
    </row>
    <row r="150" spans="3:23" x14ac:dyDescent="0.2">
      <c r="C150" s="212"/>
      <c r="D150"/>
      <c r="E150"/>
      <c r="F150"/>
      <c r="G150"/>
      <c r="H150"/>
      <c r="I150"/>
      <c r="J150"/>
      <c r="K150"/>
      <c r="L150"/>
      <c r="M150"/>
      <c r="N150"/>
      <c r="O150"/>
      <c r="Q150"/>
      <c r="R150"/>
      <c r="S150"/>
      <c r="W150"/>
    </row>
    <row r="151" spans="3:23" x14ac:dyDescent="0.2">
      <c r="C151" s="212"/>
      <c r="D151"/>
      <c r="E151"/>
      <c r="F151"/>
      <c r="G151"/>
      <c r="H151"/>
      <c r="I151"/>
      <c r="J151"/>
      <c r="K151"/>
      <c r="L151"/>
      <c r="M151"/>
      <c r="N151"/>
      <c r="O151"/>
      <c r="Q151"/>
      <c r="R151"/>
      <c r="S151"/>
      <c r="W151"/>
    </row>
    <row r="152" spans="3:23" x14ac:dyDescent="0.2">
      <c r="C152" s="212"/>
      <c r="D152"/>
      <c r="E152"/>
      <c r="F152"/>
      <c r="G152"/>
      <c r="H152"/>
      <c r="I152"/>
      <c r="J152"/>
      <c r="K152"/>
      <c r="L152"/>
      <c r="M152"/>
      <c r="N152"/>
      <c r="O152"/>
      <c r="Q152"/>
      <c r="R152"/>
      <c r="S152"/>
      <c r="W152"/>
    </row>
    <row r="153" spans="3:23" x14ac:dyDescent="0.2">
      <c r="C153" s="212"/>
      <c r="D153"/>
      <c r="E153"/>
      <c r="F153"/>
      <c r="G153"/>
      <c r="H153"/>
      <c r="I153"/>
      <c r="J153"/>
      <c r="K153"/>
      <c r="L153"/>
      <c r="M153"/>
      <c r="N153"/>
      <c r="O153"/>
      <c r="Q153"/>
      <c r="R153"/>
      <c r="S153"/>
      <c r="W153"/>
    </row>
    <row r="154" spans="3:23" x14ac:dyDescent="0.2">
      <c r="C154" s="212"/>
      <c r="D154"/>
      <c r="E154"/>
      <c r="F154"/>
      <c r="G154"/>
      <c r="H154"/>
      <c r="I154"/>
      <c r="J154"/>
      <c r="K154"/>
      <c r="L154"/>
      <c r="M154"/>
      <c r="N154"/>
      <c r="O154"/>
      <c r="Q154"/>
      <c r="R154"/>
      <c r="S154"/>
      <c r="W154"/>
    </row>
    <row r="155" spans="3:23" x14ac:dyDescent="0.2">
      <c r="C155" s="212"/>
      <c r="D155"/>
      <c r="E155"/>
      <c r="F155"/>
      <c r="G155"/>
      <c r="H155"/>
      <c r="I155"/>
      <c r="J155"/>
      <c r="K155"/>
      <c r="L155"/>
      <c r="M155"/>
      <c r="N155"/>
      <c r="O155"/>
      <c r="Q155"/>
      <c r="R155"/>
      <c r="S155"/>
      <c r="W155"/>
    </row>
    <row r="156" spans="3:23" x14ac:dyDescent="0.2">
      <c r="C156" s="212"/>
      <c r="D156"/>
      <c r="E156"/>
      <c r="F156"/>
      <c r="G156"/>
      <c r="H156"/>
      <c r="I156"/>
      <c r="J156"/>
      <c r="K156"/>
      <c r="L156"/>
      <c r="M156"/>
      <c r="N156"/>
      <c r="O156"/>
      <c r="Q156"/>
      <c r="R156"/>
      <c r="S156"/>
      <c r="W156"/>
    </row>
    <row r="157" spans="3:23" x14ac:dyDescent="0.2">
      <c r="C157" s="212"/>
      <c r="D157"/>
      <c r="E157"/>
      <c r="F157"/>
      <c r="G157"/>
      <c r="H157"/>
      <c r="I157"/>
      <c r="J157"/>
      <c r="K157"/>
      <c r="L157"/>
      <c r="M157"/>
      <c r="N157"/>
      <c r="O157"/>
      <c r="Q157"/>
      <c r="R157"/>
      <c r="S157"/>
      <c r="W157"/>
    </row>
    <row r="158" spans="3:23" x14ac:dyDescent="0.2">
      <c r="C158" s="212"/>
      <c r="D158"/>
      <c r="E158"/>
      <c r="F158"/>
      <c r="G158"/>
      <c r="H158"/>
      <c r="I158"/>
      <c r="J158"/>
      <c r="K158"/>
      <c r="L158"/>
      <c r="M158"/>
      <c r="N158"/>
      <c r="O158"/>
      <c r="Q158"/>
      <c r="R158"/>
      <c r="S158"/>
      <c r="W158"/>
    </row>
    <row r="159" spans="3:23" x14ac:dyDescent="0.2">
      <c r="C159" s="212"/>
      <c r="D159"/>
      <c r="E159"/>
      <c r="F159"/>
      <c r="G159"/>
      <c r="H159"/>
      <c r="I159"/>
      <c r="J159"/>
      <c r="K159"/>
      <c r="L159"/>
      <c r="M159"/>
      <c r="N159"/>
      <c r="O159"/>
      <c r="Q159"/>
      <c r="R159"/>
      <c r="S159"/>
      <c r="W159"/>
    </row>
  </sheetData>
  <phoneticPr fontId="0" type="noConversion"/>
  <hyperlinks>
    <hyperlink ref="A1" location="'Working Budget with funding det'!A1" display="Main " xr:uid="{00000000-0004-0000-1E00-000000000000}"/>
    <hyperlink ref="B1" location="'Table of Contents'!A1" display="TOC" xr:uid="{00000000-0004-0000-1E00-000001000000}"/>
  </hyperlinks>
  <pageMargins left="0.75" right="0.75" top="1" bottom="1" header="0.5" footer="0.5"/>
  <pageSetup scale="91" orientation="landscape" horizontalDpi="300" verticalDpi="300" r:id="rId1"/>
  <headerFooter alignWithMargins="0">
    <oddFooter>&amp;L&amp;D     &amp;T&amp;C&amp;F&amp;R&amp;A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W168"/>
  <sheetViews>
    <sheetView workbookViewId="0">
      <selection activeCell="P15" sqref="P15"/>
    </sheetView>
  </sheetViews>
  <sheetFormatPr defaultRowHeight="12.75" x14ac:dyDescent="0.2"/>
  <cols>
    <col min="1" max="1" width="8.83203125" style="783"/>
    <col min="2" max="2" width="36.6640625" customWidth="1"/>
    <col min="3" max="3" width="14.5" style="1" hidden="1" customWidth="1"/>
    <col min="4" max="12" width="14.5" style="106" hidden="1" customWidth="1"/>
    <col min="13" max="15" width="14.5" style="106" customWidth="1"/>
    <col min="16" max="16" width="14.5" customWidth="1"/>
    <col min="17" max="19" width="14.5" style="1" customWidth="1"/>
    <col min="20" max="22" width="14.5" customWidth="1"/>
    <col min="23" max="23" width="14.6640625" style="2" customWidth="1"/>
  </cols>
  <sheetData>
    <row r="1" spans="1:22" x14ac:dyDescent="0.2">
      <c r="A1" s="772" t="s">
        <v>847</v>
      </c>
      <c r="B1" s="308" t="s">
        <v>197</v>
      </c>
      <c r="D1" s="212"/>
      <c r="E1" s="212"/>
      <c r="F1" s="212"/>
      <c r="G1" s="212"/>
      <c r="H1" s="212"/>
      <c r="I1" s="212"/>
      <c r="J1" s="212"/>
      <c r="K1" s="212"/>
      <c r="L1" s="212"/>
      <c r="M1" s="212"/>
      <c r="N1" s="212"/>
      <c r="O1" s="212"/>
      <c r="S1"/>
    </row>
    <row r="2" spans="1:22" ht="15" x14ac:dyDescent="0.25">
      <c r="A2" s="773" t="s">
        <v>1138</v>
      </c>
      <c r="B2" s="43"/>
      <c r="D2" s="212"/>
      <c r="E2" s="126"/>
      <c r="F2" s="212"/>
      <c r="G2" s="212"/>
      <c r="H2" s="212"/>
      <c r="I2" s="126" t="s">
        <v>816</v>
      </c>
      <c r="J2" s="126"/>
      <c r="K2" s="126"/>
      <c r="L2" s="126"/>
      <c r="M2" s="126"/>
      <c r="N2" s="126"/>
      <c r="O2" s="126"/>
      <c r="P2" s="58" t="s">
        <v>644</v>
      </c>
      <c r="S2" s="44" t="s">
        <v>1266</v>
      </c>
    </row>
    <row r="3" spans="1:22" ht="13.5" thickBot="1" x14ac:dyDescent="0.25">
      <c r="A3" s="774"/>
      <c r="B3" s="4"/>
      <c r="C3" s="23"/>
      <c r="D3" s="23"/>
      <c r="E3" s="23"/>
      <c r="F3" s="23"/>
      <c r="G3" s="23"/>
      <c r="H3" s="23"/>
      <c r="I3" s="23"/>
      <c r="J3" s="23"/>
      <c r="K3" s="23"/>
      <c r="L3" s="23"/>
      <c r="M3" s="23"/>
      <c r="N3" s="23"/>
      <c r="O3" s="23"/>
      <c r="P3" s="4"/>
      <c r="Q3" s="23"/>
      <c r="R3" s="23"/>
      <c r="S3" s="4"/>
      <c r="V3" s="4"/>
    </row>
    <row r="4" spans="1:22"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2"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2" x14ac:dyDescent="0.2">
      <c r="A6" s="776"/>
      <c r="B6" s="202"/>
      <c r="C6" s="113"/>
      <c r="D6" s="113"/>
      <c r="E6" s="113"/>
      <c r="F6" s="113"/>
      <c r="G6" s="113"/>
      <c r="H6" s="113"/>
      <c r="I6" s="83"/>
      <c r="J6" s="83"/>
      <c r="K6" s="83"/>
      <c r="L6" s="83"/>
      <c r="M6" s="83"/>
      <c r="N6" s="83"/>
      <c r="O6" s="83"/>
      <c r="P6" s="113"/>
      <c r="Q6" s="83" t="s">
        <v>823</v>
      </c>
      <c r="R6" s="83" t="s">
        <v>585</v>
      </c>
      <c r="S6" s="45" t="s">
        <v>824</v>
      </c>
    </row>
    <row r="7" spans="1:22"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2" ht="13.5" thickTop="1" x14ac:dyDescent="0.2">
      <c r="A8" s="796"/>
      <c r="B8" s="203"/>
      <c r="C8" s="118"/>
      <c r="D8" s="18"/>
      <c r="E8" s="18"/>
      <c r="F8" s="18"/>
      <c r="G8" s="18"/>
      <c r="H8" s="18"/>
      <c r="I8" s="19"/>
      <c r="J8" s="19"/>
      <c r="K8" s="19"/>
      <c r="L8" s="19"/>
      <c r="M8" s="19"/>
      <c r="N8" s="19"/>
      <c r="O8" s="19"/>
      <c r="P8" s="18"/>
      <c r="Q8" s="19"/>
      <c r="R8" s="19"/>
      <c r="S8" s="19"/>
    </row>
    <row r="9" spans="1:22" ht="13.5" thickBot="1" x14ac:dyDescent="0.25">
      <c r="A9" s="779">
        <v>5114</v>
      </c>
      <c r="B9" s="60" t="s">
        <v>1267</v>
      </c>
      <c r="C9" s="116">
        <v>1584</v>
      </c>
      <c r="D9" s="13">
        <v>1631</v>
      </c>
      <c r="E9" s="13">
        <v>1631</v>
      </c>
      <c r="F9" s="15">
        <v>1631</v>
      </c>
      <c r="G9" s="15">
        <v>1631</v>
      </c>
      <c r="H9" s="15">
        <v>1631</v>
      </c>
      <c r="I9" s="15">
        <v>1631</v>
      </c>
      <c r="J9" s="15">
        <v>1710</v>
      </c>
      <c r="K9" s="16">
        <v>1710</v>
      </c>
      <c r="L9" s="15">
        <v>1710</v>
      </c>
      <c r="M9" s="16">
        <v>1710</v>
      </c>
      <c r="N9" s="15">
        <v>1710</v>
      </c>
      <c r="O9" s="16">
        <v>1710</v>
      </c>
      <c r="P9" s="15">
        <v>0</v>
      </c>
      <c r="Q9" s="16">
        <v>1710</v>
      </c>
      <c r="R9" s="16"/>
      <c r="S9" s="16"/>
    </row>
    <row r="10" spans="1:22" x14ac:dyDescent="0.2">
      <c r="A10" s="779"/>
      <c r="B10" s="61" t="s">
        <v>828</v>
      </c>
      <c r="C10" s="118">
        <f t="shared" ref="C10:S10" si="0">SUM(C9:C9)</f>
        <v>1584</v>
      </c>
      <c r="D10" s="18">
        <f t="shared" si="0"/>
        <v>1631</v>
      </c>
      <c r="E10" s="18">
        <f t="shared" si="0"/>
        <v>1631</v>
      </c>
      <c r="F10" s="18">
        <f t="shared" si="0"/>
        <v>1631</v>
      </c>
      <c r="G10" s="18">
        <f t="shared" si="0"/>
        <v>1631</v>
      </c>
      <c r="H10" s="18">
        <f>SUM(H9:H9)</f>
        <v>1631</v>
      </c>
      <c r="I10" s="18">
        <f t="shared" si="0"/>
        <v>1631</v>
      </c>
      <c r="J10" s="18">
        <f t="shared" ref="J10" si="1">SUM(J9:J9)</f>
        <v>1710</v>
      </c>
      <c r="K10" s="19">
        <f t="shared" ref="K10:O10" si="2">SUM(K9:K9)</f>
        <v>1710</v>
      </c>
      <c r="L10" s="18">
        <f t="shared" si="2"/>
        <v>1710</v>
      </c>
      <c r="M10" s="19">
        <f t="shared" si="2"/>
        <v>1710</v>
      </c>
      <c r="N10" s="18">
        <f t="shared" ref="N10" si="3">SUM(N9:N9)</f>
        <v>1710</v>
      </c>
      <c r="O10" s="19">
        <f t="shared" si="2"/>
        <v>1710</v>
      </c>
      <c r="P10" s="18">
        <f t="shared" si="0"/>
        <v>0</v>
      </c>
      <c r="Q10" s="19">
        <f t="shared" si="0"/>
        <v>1710</v>
      </c>
      <c r="R10" s="19"/>
      <c r="S10" s="19">
        <f t="shared" si="0"/>
        <v>0</v>
      </c>
    </row>
    <row r="11" spans="1:22" x14ac:dyDescent="0.2">
      <c r="A11" s="779"/>
      <c r="B11" s="60"/>
      <c r="C11" s="116"/>
      <c r="D11" s="13"/>
      <c r="E11" s="13"/>
      <c r="F11" s="13"/>
      <c r="G11" s="13"/>
      <c r="H11" s="13"/>
      <c r="I11" s="13"/>
      <c r="J11" s="13"/>
      <c r="K11" s="14"/>
      <c r="L11" s="13"/>
      <c r="M11" s="14"/>
      <c r="N11" s="13"/>
      <c r="O11" s="14"/>
      <c r="P11" s="13"/>
      <c r="Q11" s="14"/>
      <c r="R11" s="14"/>
      <c r="S11" s="14"/>
    </row>
    <row r="12" spans="1:22" ht="13.5" thickBot="1" x14ac:dyDescent="0.25">
      <c r="A12" s="780"/>
      <c r="B12" s="602" t="s">
        <v>1010</v>
      </c>
      <c r="C12" s="596">
        <f t="shared" ref="C12:Q12" si="4">+C10</f>
        <v>1584</v>
      </c>
      <c r="D12" s="21">
        <f t="shared" si="4"/>
        <v>1631</v>
      </c>
      <c r="E12" s="21">
        <f t="shared" si="4"/>
        <v>1631</v>
      </c>
      <c r="F12" s="21">
        <f t="shared" si="4"/>
        <v>1631</v>
      </c>
      <c r="G12" s="21">
        <f t="shared" si="4"/>
        <v>1631</v>
      </c>
      <c r="H12" s="21">
        <f t="shared" si="4"/>
        <v>1631</v>
      </c>
      <c r="I12" s="21">
        <f t="shared" si="4"/>
        <v>1631</v>
      </c>
      <c r="J12" s="21">
        <f t="shared" ref="J12" si="5">+J10</f>
        <v>1710</v>
      </c>
      <c r="K12" s="22">
        <f t="shared" ref="K12:O12" si="6">+K10</f>
        <v>1710</v>
      </c>
      <c r="L12" s="21">
        <f t="shared" si="6"/>
        <v>1710</v>
      </c>
      <c r="M12" s="22">
        <f t="shared" si="6"/>
        <v>1710</v>
      </c>
      <c r="N12" s="21">
        <f t="shared" ref="N12" si="7">+N10</f>
        <v>1710</v>
      </c>
      <c r="O12" s="22">
        <f t="shared" si="6"/>
        <v>1710</v>
      </c>
      <c r="P12" s="22">
        <f t="shared" si="4"/>
        <v>0</v>
      </c>
      <c r="Q12" s="22">
        <f t="shared" si="4"/>
        <v>1710</v>
      </c>
      <c r="R12" s="22">
        <f>+Q12</f>
        <v>1710</v>
      </c>
      <c r="S12" s="22">
        <f>+Q12</f>
        <v>1710</v>
      </c>
    </row>
    <row r="13" spans="1:22" ht="13.5" thickTop="1" x14ac:dyDescent="0.2">
      <c r="A13" s="774"/>
      <c r="B13" s="603"/>
      <c r="C13" s="24"/>
      <c r="D13" s="24"/>
      <c r="E13" s="24"/>
      <c r="F13" s="24"/>
      <c r="G13" s="24"/>
      <c r="H13" s="24"/>
      <c r="I13" s="24"/>
      <c r="J13" s="24"/>
      <c r="K13" s="24"/>
      <c r="L13" s="24"/>
      <c r="M13" s="24"/>
      <c r="N13" s="24"/>
      <c r="O13" s="24"/>
      <c r="P13" s="199" t="s">
        <v>843</v>
      </c>
      <c r="Q13" s="1116">
        <f>+Q12-O12</f>
        <v>0</v>
      </c>
      <c r="R13" s="1117">
        <f>ROUND((+Q13/O12),4)</f>
        <v>0</v>
      </c>
      <c r="S13" s="24"/>
      <c r="T13" s="25"/>
      <c r="U13" s="25"/>
      <c r="V13" s="25"/>
    </row>
    <row r="14" spans="1:22" ht="13.5" thickBot="1" x14ac:dyDescent="0.25">
      <c r="A14" s="774"/>
      <c r="B14" s="603"/>
      <c r="C14" s="23"/>
      <c r="D14" s="23"/>
      <c r="E14" s="23"/>
      <c r="F14" s="23"/>
      <c r="G14" s="23"/>
      <c r="H14" s="23"/>
      <c r="I14" s="23"/>
      <c r="J14" s="23"/>
      <c r="K14" s="23"/>
      <c r="L14" s="23"/>
      <c r="M14" s="23"/>
      <c r="N14" s="23"/>
      <c r="O14" s="23"/>
      <c r="P14" s="25"/>
      <c r="Q14" s="23"/>
      <c r="R14" s="23"/>
      <c r="S14" s="25"/>
      <c r="T14" s="25"/>
      <c r="U14" s="25"/>
      <c r="V14" s="25"/>
    </row>
    <row r="15" spans="1:22" ht="13.5" thickTop="1" x14ac:dyDescent="0.2">
      <c r="A15" s="789"/>
      <c r="B15" s="604"/>
      <c r="C15" s="597" t="s">
        <v>280</v>
      </c>
      <c r="D15" s="369" t="s">
        <v>280</v>
      </c>
      <c r="E15" s="369" t="s">
        <v>280</v>
      </c>
      <c r="F15" s="212"/>
      <c r="G15" s="372"/>
      <c r="H15" s="212"/>
      <c r="I15" s="212"/>
      <c r="J15" s="212"/>
      <c r="K15" s="212"/>
      <c r="L15" s="212"/>
      <c r="M15" s="370" t="s">
        <v>279</v>
      </c>
      <c r="N15" s="371" t="s">
        <v>826</v>
      </c>
      <c r="O15" s="372" t="s">
        <v>840</v>
      </c>
      <c r="P15" s="371" t="s">
        <v>841</v>
      </c>
      <c r="Q15" s="373"/>
      <c r="R15" s="569"/>
      <c r="S15" s="372"/>
      <c r="T15" s="25"/>
      <c r="U15" s="25"/>
      <c r="V15" s="25"/>
    </row>
    <row r="16" spans="1:22" ht="13.5" thickBot="1" x14ac:dyDescent="0.25">
      <c r="A16" s="790" t="s">
        <v>825</v>
      </c>
      <c r="B16" s="374"/>
      <c r="C16" s="421" t="s">
        <v>267</v>
      </c>
      <c r="D16" s="375" t="s">
        <v>268</v>
      </c>
      <c r="E16" s="376" t="s">
        <v>269</v>
      </c>
      <c r="F16" s="212"/>
      <c r="G16" s="377"/>
      <c r="H16" s="212"/>
      <c r="I16" s="212"/>
      <c r="J16" s="212"/>
      <c r="K16" s="212"/>
      <c r="L16" s="212"/>
      <c r="M16" s="377" t="s">
        <v>277</v>
      </c>
      <c r="N16" s="377" t="s">
        <v>571</v>
      </c>
      <c r="O16" s="376" t="s">
        <v>843</v>
      </c>
      <c r="P16" s="378" t="s">
        <v>843</v>
      </c>
      <c r="Q16" s="379" t="s">
        <v>844</v>
      </c>
      <c r="R16" s="570"/>
      <c r="S16" s="377"/>
      <c r="T16" s="25"/>
      <c r="U16" s="25"/>
      <c r="V16" s="25"/>
    </row>
    <row r="17" spans="1:22" ht="13.5" thickTop="1" x14ac:dyDescent="0.2">
      <c r="A17" s="797"/>
      <c r="B17" s="418"/>
      <c r="C17" s="426"/>
      <c r="D17" s="383"/>
      <c r="E17" s="383"/>
      <c r="F17" s="212"/>
      <c r="G17" s="386"/>
      <c r="H17" s="212"/>
      <c r="I17" s="212"/>
      <c r="J17" s="212"/>
      <c r="K17" s="212"/>
      <c r="L17" s="212"/>
      <c r="M17" s="384"/>
      <c r="N17" s="403"/>
      <c r="O17" s="404"/>
      <c r="P17" s="402"/>
      <c r="Q17" s="385"/>
      <c r="R17" s="572"/>
      <c r="S17" s="386"/>
      <c r="T17" s="25"/>
      <c r="U17" s="25"/>
      <c r="V17" s="25"/>
    </row>
    <row r="18" spans="1:22" x14ac:dyDescent="0.2">
      <c r="A18" s="795">
        <v>5114</v>
      </c>
      <c r="B18" s="415" t="s">
        <v>1267</v>
      </c>
      <c r="C18" s="429">
        <v>1584</v>
      </c>
      <c r="D18" s="391">
        <v>1631</v>
      </c>
      <c r="E18" s="391">
        <v>1631</v>
      </c>
      <c r="F18" s="212"/>
      <c r="G18" s="386"/>
      <c r="H18" s="212"/>
      <c r="I18" s="212"/>
      <c r="J18" s="212"/>
      <c r="K18" s="212"/>
      <c r="L18" s="212"/>
      <c r="M18" s="390">
        <f>+O9</f>
        <v>1710</v>
      </c>
      <c r="N18" s="391">
        <f>+Q9</f>
        <v>1710</v>
      </c>
      <c r="O18" s="386">
        <f>+N18-M18</f>
        <v>0</v>
      </c>
      <c r="P18" s="392" t="str">
        <f>IF(M18+N18&lt;&gt;0,IF(M18&lt;&gt;0,IF(O18&lt;&gt;0,ROUND((+O18/M18),4),""),1),"")</f>
        <v/>
      </c>
      <c r="Q18" s="385"/>
      <c r="R18" s="572"/>
      <c r="S18" s="386"/>
      <c r="T18" s="25"/>
      <c r="U18" s="25"/>
      <c r="V18" s="25"/>
    </row>
    <row r="19" spans="1:22" x14ac:dyDescent="0.2">
      <c r="A19" s="774"/>
      <c r="B19" s="4"/>
      <c r="C19" s="23"/>
      <c r="D19" s="23"/>
      <c r="E19" s="23"/>
      <c r="F19" s="23"/>
      <c r="G19" s="23"/>
      <c r="H19" s="212"/>
      <c r="I19" s="212"/>
      <c r="J19" s="212"/>
      <c r="K19" s="212"/>
      <c r="L19" s="212"/>
      <c r="M19" s="23"/>
      <c r="N19" s="23"/>
      <c r="O19" s="23"/>
      <c r="P19" s="25"/>
      <c r="Q19" s="23"/>
      <c r="R19" s="23"/>
      <c r="S19" s="23"/>
      <c r="T19" s="25"/>
      <c r="U19" s="25"/>
      <c r="V19" s="25"/>
    </row>
    <row r="20" spans="1:22" x14ac:dyDescent="0.2">
      <c r="A20" s="774"/>
      <c r="B20" s="4" t="s">
        <v>846</v>
      </c>
      <c r="C20" s="23"/>
      <c r="D20" s="23"/>
      <c r="E20" s="23"/>
      <c r="F20" s="23"/>
      <c r="G20" s="23"/>
      <c r="H20" s="212"/>
      <c r="I20" s="212"/>
      <c r="J20" s="212"/>
      <c r="K20" s="212"/>
      <c r="L20" s="212"/>
      <c r="M20" s="616">
        <f>SUM(M18:M19)</f>
        <v>1710</v>
      </c>
      <c r="N20" s="616">
        <f>SUM(N18:N19)</f>
        <v>1710</v>
      </c>
      <c r="O20" s="25">
        <f>+N20-M20</f>
        <v>0</v>
      </c>
      <c r="P20" s="617" t="str">
        <f>IF(M20+N20&lt;&gt;0,IF(M20&lt;&gt;0,IF(O20&lt;&gt;0,ROUND((+O20/M20),4),""),1),"")</f>
        <v/>
      </c>
      <c r="Q20" s="23"/>
      <c r="R20" s="23"/>
      <c r="S20" s="23"/>
      <c r="T20" s="25"/>
      <c r="U20" s="25"/>
      <c r="V20" s="25"/>
    </row>
    <row r="21" spans="1:22" x14ac:dyDescent="0.2">
      <c r="A21" s="774"/>
      <c r="B21" s="4"/>
      <c r="C21" s="23"/>
      <c r="D21" s="23"/>
      <c r="E21" s="23"/>
      <c r="F21" s="23"/>
      <c r="G21" s="23"/>
      <c r="H21" s="23"/>
      <c r="I21" s="23"/>
      <c r="J21" s="23"/>
      <c r="K21" s="23"/>
      <c r="L21" s="23"/>
      <c r="M21" s="23"/>
      <c r="N21" s="23"/>
      <c r="O21" s="23"/>
      <c r="P21" s="25"/>
      <c r="Q21" s="23"/>
      <c r="R21" s="23"/>
      <c r="S21" s="23"/>
      <c r="T21" s="25"/>
      <c r="U21" s="25"/>
      <c r="V21" s="25"/>
    </row>
    <row r="22" spans="1:22" x14ac:dyDescent="0.2">
      <c r="A22" s="774"/>
      <c r="B22" s="4"/>
      <c r="C22" s="23"/>
      <c r="D22" s="23"/>
      <c r="E22" s="23"/>
      <c r="F22" s="23"/>
      <c r="G22" s="23"/>
      <c r="H22" s="23"/>
      <c r="I22" s="23"/>
      <c r="J22" s="23"/>
      <c r="K22" s="23"/>
      <c r="L22" s="23"/>
      <c r="M22" s="23"/>
      <c r="N22" s="23"/>
      <c r="O22" s="23"/>
      <c r="P22" s="25"/>
      <c r="Q22" s="23"/>
      <c r="R22" s="23"/>
      <c r="S22" s="23"/>
      <c r="T22" s="25"/>
      <c r="U22" s="25"/>
      <c r="V22" s="25"/>
    </row>
    <row r="23" spans="1:22" x14ac:dyDescent="0.2">
      <c r="A23" s="774"/>
      <c r="B23" s="4"/>
      <c r="C23" s="23"/>
      <c r="D23" s="23"/>
      <c r="E23" s="23"/>
      <c r="F23" s="23"/>
      <c r="G23" s="23"/>
      <c r="H23" s="23"/>
      <c r="I23" s="23"/>
      <c r="J23" s="23"/>
      <c r="K23" s="23"/>
      <c r="L23" s="23"/>
      <c r="M23" s="23"/>
      <c r="N23" s="23"/>
      <c r="O23" s="23"/>
      <c r="P23" s="25"/>
      <c r="Q23" s="23"/>
      <c r="R23" s="23"/>
      <c r="S23" s="23"/>
      <c r="T23" s="25"/>
      <c r="U23" s="25"/>
      <c r="V23" s="25"/>
    </row>
    <row r="24" spans="1:22" x14ac:dyDescent="0.2">
      <c r="A24" s="774"/>
      <c r="B24" s="4"/>
      <c r="C24" s="23"/>
      <c r="D24" s="23"/>
      <c r="E24" s="23"/>
      <c r="F24" s="23"/>
      <c r="G24" s="23"/>
      <c r="H24" s="23"/>
      <c r="I24" s="23"/>
      <c r="J24" s="23"/>
      <c r="K24" s="23"/>
      <c r="L24" s="23"/>
      <c r="M24" s="23"/>
      <c r="N24" s="23"/>
      <c r="O24" s="23"/>
      <c r="P24" s="25"/>
      <c r="Q24" s="23"/>
      <c r="R24" s="23"/>
      <c r="S24" s="23"/>
      <c r="T24" s="25"/>
      <c r="U24" s="25"/>
      <c r="V24" s="25"/>
    </row>
    <row r="25" spans="1:22" x14ac:dyDescent="0.2">
      <c r="A25" s="774"/>
      <c r="B25" s="4"/>
      <c r="C25" s="23"/>
      <c r="D25" s="23"/>
      <c r="E25" s="23"/>
      <c r="F25" s="23"/>
      <c r="G25" s="23"/>
      <c r="H25" s="23"/>
      <c r="I25" s="23"/>
      <c r="J25" s="23"/>
      <c r="K25" s="23"/>
      <c r="L25" s="23"/>
      <c r="M25" s="23"/>
      <c r="N25" s="23"/>
      <c r="O25" s="23"/>
      <c r="P25" s="25"/>
      <c r="Q25" s="23"/>
      <c r="R25" s="23"/>
      <c r="S25" s="23"/>
      <c r="T25" s="25"/>
      <c r="U25" s="25"/>
      <c r="V25" s="25"/>
    </row>
    <row r="26" spans="1:22" x14ac:dyDescent="0.2">
      <c r="A26" s="774"/>
      <c r="B26" s="4"/>
      <c r="C26" s="23"/>
      <c r="D26" s="23"/>
      <c r="E26" s="23"/>
      <c r="F26" s="23"/>
      <c r="G26" s="23"/>
      <c r="H26" s="23"/>
      <c r="I26" s="23"/>
      <c r="J26" s="23"/>
      <c r="K26" s="23"/>
      <c r="L26" s="23"/>
      <c r="M26" s="23"/>
      <c r="N26" s="23"/>
      <c r="O26" s="23"/>
      <c r="P26" s="25"/>
      <c r="Q26" s="23"/>
      <c r="R26" s="23"/>
      <c r="S26" s="23"/>
      <c r="T26" s="25"/>
      <c r="U26" s="25"/>
      <c r="V26" s="25"/>
    </row>
    <row r="27" spans="1:22" x14ac:dyDescent="0.2">
      <c r="A27" s="774"/>
      <c r="B27" s="4"/>
      <c r="C27" s="23"/>
      <c r="D27" s="23"/>
      <c r="E27" s="23"/>
      <c r="F27" s="23"/>
      <c r="G27" s="23"/>
      <c r="H27" s="23"/>
      <c r="I27" s="23"/>
      <c r="J27" s="23"/>
      <c r="K27" s="23"/>
      <c r="L27" s="23"/>
      <c r="M27" s="23"/>
      <c r="N27" s="23"/>
      <c r="O27" s="23"/>
      <c r="P27" s="25"/>
      <c r="Q27" s="23"/>
      <c r="R27" s="23"/>
      <c r="S27" s="23"/>
      <c r="T27" s="25"/>
      <c r="U27" s="25"/>
      <c r="V27" s="25"/>
    </row>
    <row r="28" spans="1:22" x14ac:dyDescent="0.2">
      <c r="A28" s="774"/>
      <c r="B28" s="4"/>
      <c r="C28" s="23"/>
      <c r="D28" s="23"/>
      <c r="E28" s="23"/>
      <c r="F28" s="23"/>
      <c r="G28" s="23"/>
      <c r="H28" s="23"/>
      <c r="I28" s="23"/>
      <c r="J28" s="23"/>
      <c r="K28" s="23"/>
      <c r="L28" s="23"/>
      <c r="M28" s="23"/>
      <c r="N28" s="23"/>
      <c r="O28" s="23"/>
      <c r="P28" s="25"/>
      <c r="Q28" s="23"/>
      <c r="R28" s="23"/>
      <c r="S28" s="23"/>
      <c r="T28" s="25"/>
      <c r="U28" s="25"/>
      <c r="V28" s="25"/>
    </row>
    <row r="29" spans="1:22" x14ac:dyDescent="0.2">
      <c r="A29" s="774"/>
      <c r="B29" s="4"/>
      <c r="C29" s="23"/>
      <c r="D29" s="23"/>
      <c r="E29" s="23"/>
      <c r="F29" s="23"/>
      <c r="G29" s="23"/>
      <c r="H29" s="23"/>
      <c r="I29" s="23"/>
      <c r="J29" s="23"/>
      <c r="K29" s="23"/>
      <c r="L29" s="23"/>
      <c r="M29" s="23"/>
      <c r="N29" s="23"/>
      <c r="O29" s="23"/>
      <c r="P29" s="25"/>
      <c r="Q29" s="23"/>
      <c r="R29" s="23"/>
      <c r="S29" s="23"/>
      <c r="T29" s="25"/>
      <c r="U29" s="25"/>
      <c r="V29" s="25"/>
    </row>
    <row r="30" spans="1:22" x14ac:dyDescent="0.2">
      <c r="A30" s="774"/>
      <c r="B30" s="4"/>
      <c r="C30" s="23"/>
      <c r="D30" s="23"/>
      <c r="E30" s="23"/>
      <c r="F30" s="23"/>
      <c r="G30" s="23"/>
      <c r="H30" s="23"/>
      <c r="I30" s="23"/>
      <c r="J30" s="23"/>
      <c r="K30" s="23"/>
      <c r="L30" s="23"/>
      <c r="M30" s="23"/>
      <c r="N30" s="23"/>
      <c r="O30" s="23"/>
      <c r="P30" s="25"/>
      <c r="Q30" s="23"/>
      <c r="R30" s="23"/>
      <c r="S30" s="23"/>
      <c r="T30" s="25"/>
      <c r="U30" s="25"/>
      <c r="V30" s="25"/>
    </row>
    <row r="31" spans="1:22" x14ac:dyDescent="0.2">
      <c r="A31" s="774"/>
      <c r="B31" s="4"/>
      <c r="C31" s="23"/>
      <c r="D31" s="23"/>
      <c r="E31" s="23"/>
      <c r="F31" s="23"/>
      <c r="G31" s="23"/>
      <c r="H31" s="23"/>
      <c r="I31" s="23"/>
      <c r="J31" s="23"/>
      <c r="K31" s="23"/>
      <c r="L31" s="23"/>
      <c r="M31" s="23"/>
      <c r="N31" s="23"/>
      <c r="O31" s="23"/>
      <c r="P31" s="25"/>
      <c r="Q31" s="23"/>
      <c r="R31" s="23"/>
      <c r="S31" s="23"/>
      <c r="T31" s="25"/>
      <c r="U31" s="25"/>
      <c r="V31" s="25"/>
    </row>
    <row r="32" spans="1:22" x14ac:dyDescent="0.2">
      <c r="A32" s="774"/>
      <c r="B32" s="4"/>
      <c r="C32" s="23"/>
      <c r="D32" s="23"/>
      <c r="E32" s="23"/>
      <c r="F32" s="23"/>
      <c r="G32" s="23"/>
      <c r="H32" s="23"/>
      <c r="I32" s="23"/>
      <c r="J32" s="23"/>
      <c r="K32" s="23"/>
      <c r="L32" s="23"/>
      <c r="M32" s="23"/>
      <c r="N32" s="23"/>
      <c r="O32" s="23"/>
      <c r="P32" s="25"/>
      <c r="Q32" s="23"/>
      <c r="R32" s="23"/>
      <c r="S32" s="23"/>
      <c r="T32" s="25"/>
      <c r="U32" s="25"/>
      <c r="V32" s="25"/>
    </row>
    <row r="33" spans="1:22" x14ac:dyDescent="0.2">
      <c r="A33" s="774"/>
      <c r="B33" s="4"/>
      <c r="C33" s="23"/>
      <c r="D33" s="23"/>
      <c r="E33" s="23"/>
      <c r="F33" s="23"/>
      <c r="G33" s="23"/>
      <c r="H33" s="23"/>
      <c r="I33" s="23"/>
      <c r="J33" s="23"/>
      <c r="K33" s="23"/>
      <c r="L33" s="23"/>
      <c r="M33" s="23"/>
      <c r="N33" s="23"/>
      <c r="O33" s="23"/>
      <c r="P33" s="25"/>
      <c r="Q33" s="23"/>
      <c r="R33" s="23"/>
      <c r="S33" s="23"/>
      <c r="T33" s="25"/>
      <c r="U33" s="25"/>
      <c r="V33" s="25"/>
    </row>
    <row r="34" spans="1:22" x14ac:dyDescent="0.2">
      <c r="A34" s="774"/>
      <c r="B34" s="4"/>
      <c r="C34" s="23"/>
      <c r="D34" s="23"/>
      <c r="E34" s="23"/>
      <c r="F34" s="23"/>
      <c r="G34" s="23"/>
      <c r="H34" s="23"/>
      <c r="I34" s="23"/>
      <c r="J34" s="23"/>
      <c r="K34" s="23"/>
      <c r="L34" s="23"/>
      <c r="M34" s="23"/>
      <c r="N34" s="23"/>
      <c r="O34" s="23"/>
      <c r="P34" s="25"/>
      <c r="Q34" s="23"/>
      <c r="R34" s="23"/>
      <c r="S34" s="23"/>
      <c r="T34" s="25"/>
      <c r="U34" s="25"/>
      <c r="V34" s="25"/>
    </row>
    <row r="35" spans="1:22" x14ac:dyDescent="0.2">
      <c r="A35" s="774"/>
      <c r="B35" s="4"/>
      <c r="C35" s="23"/>
      <c r="D35" s="23"/>
      <c r="E35" s="23"/>
      <c r="F35" s="23"/>
      <c r="G35" s="23"/>
      <c r="H35" s="23"/>
      <c r="I35" s="23"/>
      <c r="J35" s="23"/>
      <c r="K35" s="23"/>
      <c r="L35" s="23"/>
      <c r="M35" s="23"/>
      <c r="N35" s="23"/>
      <c r="O35" s="23"/>
      <c r="P35" s="25"/>
      <c r="Q35" s="23"/>
      <c r="R35" s="23"/>
      <c r="S35" s="23"/>
      <c r="T35" s="25"/>
      <c r="U35" s="25"/>
      <c r="V35" s="25"/>
    </row>
    <row r="36" spans="1:22" x14ac:dyDescent="0.2">
      <c r="A36" s="774"/>
      <c r="B36" s="4"/>
      <c r="C36" s="23"/>
      <c r="D36" s="23"/>
      <c r="E36" s="23"/>
      <c r="F36" s="23"/>
      <c r="G36" s="23"/>
      <c r="H36" s="23"/>
      <c r="I36" s="23"/>
      <c r="J36" s="23"/>
      <c r="K36" s="23"/>
      <c r="L36" s="23"/>
      <c r="M36" s="23"/>
      <c r="N36" s="23"/>
      <c r="O36" s="23"/>
      <c r="P36" s="25"/>
      <c r="Q36" s="23"/>
      <c r="R36" s="23"/>
      <c r="S36" s="23"/>
      <c r="T36" s="25"/>
      <c r="U36" s="25"/>
      <c r="V36" s="25"/>
    </row>
    <row r="37" spans="1:22" x14ac:dyDescent="0.2">
      <c r="A37" s="774"/>
      <c r="B37" s="4"/>
      <c r="C37" s="23"/>
      <c r="D37" s="23"/>
      <c r="E37" s="23"/>
      <c r="F37" s="23"/>
      <c r="G37" s="23"/>
      <c r="H37" s="23"/>
      <c r="I37" s="23"/>
      <c r="J37" s="23"/>
      <c r="K37" s="23"/>
      <c r="L37" s="23"/>
      <c r="M37" s="23"/>
      <c r="N37" s="23"/>
      <c r="O37" s="23"/>
      <c r="P37" s="25"/>
      <c r="Q37" s="23"/>
      <c r="R37" s="23"/>
      <c r="S37" s="23"/>
      <c r="T37" s="25"/>
      <c r="U37" s="25"/>
      <c r="V37" s="25"/>
    </row>
    <row r="38" spans="1:22" x14ac:dyDescent="0.2">
      <c r="A38" s="774"/>
      <c r="B38" s="4"/>
      <c r="C38" s="23"/>
      <c r="D38" s="23"/>
      <c r="E38" s="23"/>
      <c r="F38" s="23"/>
      <c r="G38" s="23"/>
      <c r="H38" s="23"/>
      <c r="I38" s="23"/>
      <c r="J38" s="23"/>
      <c r="K38" s="23"/>
      <c r="L38" s="23"/>
      <c r="M38" s="23"/>
      <c r="N38" s="23"/>
      <c r="O38" s="23"/>
      <c r="P38" s="25"/>
      <c r="Q38" s="23"/>
      <c r="R38" s="23"/>
      <c r="S38" s="23"/>
      <c r="T38" s="25"/>
      <c r="U38" s="25"/>
      <c r="V38" s="25"/>
    </row>
    <row r="39" spans="1:22" x14ac:dyDescent="0.2">
      <c r="A39" s="774"/>
      <c r="B39" s="4"/>
      <c r="C39" s="23"/>
      <c r="D39" s="23"/>
      <c r="E39" s="23"/>
      <c r="F39" s="23"/>
      <c r="G39" s="23"/>
      <c r="H39" s="23"/>
      <c r="I39" s="23"/>
      <c r="J39" s="23"/>
      <c r="K39" s="23"/>
      <c r="L39" s="23"/>
      <c r="M39" s="23"/>
      <c r="N39" s="23"/>
      <c r="O39" s="23"/>
      <c r="P39" s="25"/>
      <c r="Q39" s="23"/>
      <c r="R39" s="23"/>
      <c r="S39" s="23"/>
      <c r="T39" s="25"/>
      <c r="U39" s="25"/>
      <c r="V39" s="25"/>
    </row>
    <row r="40" spans="1:22" x14ac:dyDescent="0.2">
      <c r="A40" s="774"/>
      <c r="B40" s="4"/>
      <c r="C40" s="23"/>
      <c r="D40" s="23"/>
      <c r="E40" s="23"/>
      <c r="F40" s="23"/>
      <c r="G40" s="23"/>
      <c r="H40" s="23"/>
      <c r="I40" s="23"/>
      <c r="J40" s="23"/>
      <c r="K40" s="23"/>
      <c r="L40" s="23"/>
      <c r="M40" s="23"/>
      <c r="N40" s="23"/>
      <c r="O40" s="23"/>
      <c r="P40" s="25"/>
      <c r="Q40" s="23"/>
      <c r="R40" s="23"/>
      <c r="S40" s="23"/>
      <c r="T40" s="25"/>
      <c r="U40" s="25"/>
      <c r="V40" s="25"/>
    </row>
    <row r="41" spans="1:22" x14ac:dyDescent="0.2">
      <c r="A41" s="774"/>
      <c r="B41" s="4"/>
      <c r="C41" s="23"/>
      <c r="D41" s="23"/>
      <c r="E41" s="23"/>
      <c r="F41" s="23"/>
      <c r="G41" s="23"/>
      <c r="H41" s="23"/>
      <c r="I41" s="23"/>
      <c r="J41" s="23"/>
      <c r="K41" s="23"/>
      <c r="L41" s="23"/>
      <c r="M41" s="23"/>
      <c r="N41" s="23"/>
      <c r="O41" s="23"/>
      <c r="P41" s="25"/>
      <c r="Q41" s="23"/>
      <c r="R41" s="23"/>
      <c r="S41" s="23"/>
      <c r="T41" s="25"/>
      <c r="U41" s="25"/>
      <c r="V41" s="25"/>
    </row>
    <row r="42" spans="1:22" x14ac:dyDescent="0.2">
      <c r="A42" s="774"/>
      <c r="B42" s="4"/>
      <c r="C42" s="23"/>
      <c r="D42" s="23"/>
      <c r="E42" s="23"/>
      <c r="F42" s="23"/>
      <c r="G42" s="23"/>
      <c r="H42" s="23"/>
      <c r="I42" s="23"/>
      <c r="J42" s="23"/>
      <c r="K42" s="23"/>
      <c r="L42" s="23"/>
      <c r="M42" s="23"/>
      <c r="N42" s="23"/>
      <c r="O42" s="23"/>
      <c r="P42" s="25"/>
      <c r="Q42" s="23"/>
      <c r="R42" s="23"/>
      <c r="S42" s="23"/>
      <c r="T42" s="25"/>
      <c r="U42" s="25"/>
      <c r="V42" s="25"/>
    </row>
    <row r="43" spans="1:22" x14ac:dyDescent="0.2">
      <c r="A43" s="774"/>
      <c r="B43" s="4"/>
      <c r="C43" s="23"/>
      <c r="D43" s="23"/>
      <c r="E43" s="23"/>
      <c r="F43" s="23"/>
      <c r="G43" s="23"/>
      <c r="H43" s="23"/>
      <c r="I43" s="23"/>
      <c r="J43" s="23"/>
      <c r="K43" s="23"/>
      <c r="L43" s="23"/>
      <c r="M43" s="23"/>
      <c r="N43" s="23"/>
      <c r="O43" s="23"/>
      <c r="P43" s="25"/>
      <c r="Q43" s="23"/>
      <c r="R43" s="23"/>
      <c r="S43" s="23"/>
      <c r="T43" s="25"/>
      <c r="U43" s="25"/>
      <c r="V43" s="25"/>
    </row>
    <row r="44" spans="1:22" x14ac:dyDescent="0.2">
      <c r="A44" s="774"/>
      <c r="B44" s="4"/>
      <c r="C44" s="23"/>
      <c r="D44" s="23"/>
      <c r="E44" s="23"/>
      <c r="F44" s="23"/>
      <c r="G44" s="23"/>
      <c r="H44" s="23"/>
      <c r="I44" s="23"/>
      <c r="J44" s="23"/>
      <c r="K44" s="23"/>
      <c r="L44" s="23"/>
      <c r="M44" s="23"/>
      <c r="N44" s="23"/>
      <c r="O44" s="23"/>
      <c r="P44" s="25"/>
      <c r="Q44" s="23"/>
      <c r="R44" s="23"/>
      <c r="S44" s="23"/>
      <c r="T44" s="25"/>
      <c r="U44" s="25"/>
      <c r="V44" s="25"/>
    </row>
    <row r="45" spans="1:22" x14ac:dyDescent="0.2">
      <c r="A45" s="774"/>
      <c r="B45" s="4"/>
      <c r="C45" s="23"/>
      <c r="D45" s="23"/>
      <c r="E45" s="23"/>
      <c r="F45" s="23"/>
      <c r="G45" s="23"/>
      <c r="H45" s="23"/>
      <c r="I45" s="23"/>
      <c r="J45" s="23"/>
      <c r="K45" s="23"/>
      <c r="L45" s="23"/>
      <c r="M45" s="23"/>
      <c r="N45" s="23"/>
      <c r="O45" s="23"/>
      <c r="P45" s="25"/>
      <c r="Q45" s="23"/>
      <c r="R45" s="23"/>
      <c r="S45" s="23"/>
      <c r="T45" s="25"/>
      <c r="U45" s="25"/>
      <c r="V45" s="25"/>
    </row>
    <row r="46" spans="1:22" x14ac:dyDescent="0.2">
      <c r="A46" s="774"/>
      <c r="B46" s="4"/>
      <c r="C46" s="23"/>
      <c r="D46" s="23"/>
      <c r="E46" s="23"/>
      <c r="F46" s="23"/>
      <c r="G46" s="23"/>
      <c r="H46" s="23"/>
      <c r="I46" s="23"/>
      <c r="J46" s="23"/>
      <c r="K46" s="23"/>
      <c r="L46" s="23"/>
      <c r="M46" s="23"/>
      <c r="N46" s="23"/>
      <c r="O46" s="23"/>
      <c r="P46" s="25"/>
      <c r="Q46" s="23"/>
      <c r="R46" s="23"/>
      <c r="S46" s="23"/>
      <c r="T46" s="25"/>
      <c r="U46" s="25"/>
      <c r="V46" s="25"/>
    </row>
    <row r="47" spans="1:22" x14ac:dyDescent="0.2">
      <c r="A47" s="774"/>
      <c r="B47" s="4"/>
      <c r="C47" s="23"/>
      <c r="D47" s="23"/>
      <c r="E47" s="23"/>
      <c r="F47" s="23"/>
      <c r="G47" s="23"/>
      <c r="H47" s="23"/>
      <c r="I47" s="23"/>
      <c r="J47" s="23"/>
      <c r="K47" s="23"/>
      <c r="L47" s="23"/>
      <c r="M47" s="23"/>
      <c r="N47" s="23"/>
      <c r="O47" s="23"/>
      <c r="P47" s="25"/>
      <c r="Q47" s="23"/>
      <c r="R47" s="23"/>
      <c r="S47" s="23"/>
      <c r="T47" s="25"/>
      <c r="U47" s="25"/>
      <c r="V47" s="25"/>
    </row>
    <row r="48" spans="1:22" x14ac:dyDescent="0.2">
      <c r="A48" s="774"/>
      <c r="B48" s="4"/>
      <c r="C48" s="23"/>
      <c r="D48" s="23"/>
      <c r="E48" s="23"/>
      <c r="F48" s="23"/>
      <c r="G48" s="23"/>
      <c r="H48" s="23"/>
      <c r="I48" s="23"/>
      <c r="J48" s="23"/>
      <c r="K48" s="23"/>
      <c r="L48" s="23"/>
      <c r="M48" s="23"/>
      <c r="N48" s="23"/>
      <c r="O48" s="23"/>
      <c r="P48" s="25"/>
      <c r="Q48" s="23"/>
      <c r="R48" s="23"/>
      <c r="S48" s="23"/>
      <c r="T48" s="25"/>
      <c r="U48" s="25"/>
      <c r="V48" s="25"/>
    </row>
    <row r="49" spans="1:22" x14ac:dyDescent="0.2">
      <c r="A49" s="774"/>
      <c r="B49" s="4"/>
      <c r="C49" s="23"/>
      <c r="D49" s="23"/>
      <c r="E49" s="23"/>
      <c r="F49" s="23"/>
      <c r="G49" s="23"/>
      <c r="H49" s="23"/>
      <c r="I49" s="23"/>
      <c r="J49" s="23"/>
      <c r="K49" s="23"/>
      <c r="L49" s="23"/>
      <c r="M49" s="23"/>
      <c r="N49" s="23"/>
      <c r="O49" s="23"/>
      <c r="P49" s="25"/>
      <c r="Q49" s="23"/>
      <c r="R49" s="23"/>
      <c r="S49" s="23"/>
      <c r="T49" s="25"/>
      <c r="U49" s="25"/>
      <c r="V49" s="25"/>
    </row>
    <row r="50" spans="1:22" x14ac:dyDescent="0.2">
      <c r="A50" s="774"/>
      <c r="B50" s="4"/>
      <c r="C50" s="23"/>
      <c r="D50" s="23"/>
      <c r="E50" s="23"/>
      <c r="F50" s="23"/>
      <c r="G50" s="23"/>
      <c r="H50" s="23"/>
      <c r="I50" s="23"/>
      <c r="J50" s="23"/>
      <c r="K50" s="23"/>
      <c r="L50" s="23"/>
      <c r="M50" s="23"/>
      <c r="N50" s="23"/>
      <c r="O50" s="23"/>
      <c r="P50" s="25"/>
      <c r="Q50" s="23"/>
      <c r="R50" s="23"/>
      <c r="S50" s="23"/>
      <c r="T50" s="25"/>
      <c r="U50" s="25"/>
      <c r="V50" s="25"/>
    </row>
    <row r="51" spans="1:22" x14ac:dyDescent="0.2">
      <c r="A51" s="774"/>
      <c r="B51" s="4"/>
      <c r="C51" s="23"/>
      <c r="D51" s="23"/>
      <c r="E51" s="23"/>
      <c r="F51" s="23"/>
      <c r="G51" s="23"/>
      <c r="H51" s="23"/>
      <c r="I51" s="23"/>
      <c r="J51" s="23"/>
      <c r="K51" s="23"/>
      <c r="L51" s="23"/>
      <c r="M51" s="23"/>
      <c r="N51" s="23"/>
      <c r="O51" s="23"/>
      <c r="P51" s="4"/>
      <c r="Q51" s="23"/>
      <c r="R51" s="23"/>
      <c r="S51" s="23"/>
      <c r="T51" s="4"/>
      <c r="U51" s="4"/>
      <c r="V51" s="4"/>
    </row>
    <row r="52" spans="1:22" x14ac:dyDescent="0.2">
      <c r="A52" s="774"/>
      <c r="B52" s="4"/>
      <c r="C52" s="23"/>
      <c r="D52" s="23"/>
      <c r="E52" s="23"/>
      <c r="F52" s="23"/>
      <c r="G52" s="23"/>
      <c r="H52" s="23"/>
      <c r="I52" s="23"/>
      <c r="J52" s="23"/>
      <c r="K52" s="23"/>
      <c r="L52" s="23"/>
      <c r="M52" s="23"/>
      <c r="N52" s="23"/>
      <c r="O52" s="23"/>
      <c r="P52" s="4"/>
      <c r="Q52" s="23"/>
      <c r="R52" s="23"/>
      <c r="S52" s="23"/>
      <c r="T52" s="4"/>
      <c r="U52" s="4"/>
      <c r="V52" s="4"/>
    </row>
    <row r="53" spans="1:22" x14ac:dyDescent="0.2">
      <c r="A53" s="774"/>
      <c r="B53" s="4"/>
      <c r="C53" s="23"/>
      <c r="D53" s="23"/>
      <c r="E53" s="23"/>
      <c r="F53" s="23"/>
      <c r="G53" s="23"/>
      <c r="H53" s="23"/>
      <c r="I53" s="23"/>
      <c r="J53" s="23"/>
      <c r="K53" s="23"/>
      <c r="L53" s="23"/>
      <c r="M53" s="23"/>
      <c r="N53" s="23"/>
      <c r="O53" s="23"/>
      <c r="P53" s="4"/>
      <c r="Q53" s="23"/>
      <c r="R53" s="23"/>
      <c r="S53" s="23"/>
      <c r="T53" s="4"/>
      <c r="U53" s="4"/>
      <c r="V53" s="4"/>
    </row>
    <row r="54" spans="1:22" x14ac:dyDescent="0.2">
      <c r="A54" s="774"/>
      <c r="B54" s="4"/>
      <c r="C54" s="23"/>
      <c r="D54" s="23"/>
      <c r="E54" s="23"/>
      <c r="F54" s="23"/>
      <c r="G54" s="23"/>
      <c r="H54" s="23"/>
      <c r="I54" s="23"/>
      <c r="J54" s="23"/>
      <c r="K54" s="23"/>
      <c r="L54" s="23"/>
      <c r="M54" s="23"/>
      <c r="N54" s="23"/>
      <c r="O54" s="23"/>
      <c r="P54" s="4"/>
      <c r="Q54" s="23"/>
      <c r="R54" s="23"/>
      <c r="S54" s="23"/>
      <c r="T54" s="4"/>
      <c r="U54" s="4"/>
      <c r="V54" s="4"/>
    </row>
    <row r="55" spans="1:22" x14ac:dyDescent="0.2">
      <c r="A55" s="774"/>
      <c r="B55" s="4"/>
      <c r="C55" s="23"/>
      <c r="D55" s="23"/>
      <c r="E55" s="23"/>
      <c r="F55" s="23"/>
      <c r="G55" s="23"/>
      <c r="H55" s="23"/>
      <c r="I55" s="23"/>
      <c r="J55" s="23"/>
      <c r="K55" s="23"/>
      <c r="L55" s="23"/>
      <c r="M55" s="23"/>
      <c r="N55" s="23"/>
      <c r="O55" s="23"/>
      <c r="P55" s="4"/>
      <c r="Q55" s="23"/>
      <c r="R55" s="23"/>
      <c r="S55" s="23"/>
      <c r="T55" s="4"/>
      <c r="U55" s="4"/>
      <c r="V55" s="4"/>
    </row>
    <row r="56" spans="1:22" x14ac:dyDescent="0.2">
      <c r="A56" s="774"/>
      <c r="B56" s="4"/>
      <c r="C56" s="23"/>
      <c r="D56" s="23"/>
      <c r="E56" s="23"/>
      <c r="F56" s="23"/>
      <c r="G56" s="23"/>
      <c r="H56" s="23"/>
      <c r="I56" s="23"/>
      <c r="J56" s="23"/>
      <c r="K56" s="23"/>
      <c r="L56" s="23"/>
      <c r="M56" s="23"/>
      <c r="N56" s="23"/>
      <c r="O56" s="23"/>
      <c r="P56" s="4"/>
      <c r="Q56" s="23"/>
      <c r="R56" s="23"/>
      <c r="S56" s="23"/>
      <c r="T56" s="4"/>
      <c r="U56" s="4"/>
      <c r="V56" s="4"/>
    </row>
    <row r="57" spans="1:22" x14ac:dyDescent="0.2">
      <c r="A57" s="774"/>
      <c r="B57" s="4"/>
      <c r="C57" s="23"/>
      <c r="D57" s="23"/>
      <c r="E57" s="23"/>
      <c r="F57" s="23"/>
      <c r="G57" s="23"/>
      <c r="H57" s="23"/>
      <c r="I57" s="23"/>
      <c r="J57" s="23"/>
      <c r="K57" s="23"/>
      <c r="L57" s="23"/>
      <c r="M57" s="23"/>
      <c r="N57" s="23"/>
      <c r="O57" s="23"/>
      <c r="P57" s="4"/>
      <c r="Q57" s="23"/>
      <c r="R57" s="23"/>
      <c r="S57" s="23"/>
      <c r="T57" s="4"/>
      <c r="U57" s="4"/>
      <c r="V57" s="4"/>
    </row>
    <row r="58" spans="1:22" x14ac:dyDescent="0.2">
      <c r="A58" s="774"/>
      <c r="B58" s="4"/>
      <c r="C58" s="23"/>
      <c r="D58" s="23"/>
      <c r="E58" s="23"/>
      <c r="F58" s="23"/>
      <c r="G58" s="23"/>
      <c r="H58" s="23"/>
      <c r="I58" s="23"/>
      <c r="J58" s="23"/>
      <c r="K58" s="23"/>
      <c r="L58" s="23"/>
      <c r="M58" s="23"/>
      <c r="N58" s="23"/>
      <c r="O58" s="23"/>
      <c r="P58" s="4"/>
      <c r="Q58" s="23"/>
      <c r="R58" s="23"/>
      <c r="S58" s="23"/>
      <c r="T58" s="4"/>
      <c r="U58" s="4"/>
      <c r="V58" s="4"/>
    </row>
    <row r="59" spans="1:22" x14ac:dyDescent="0.2">
      <c r="A59" s="774"/>
      <c r="B59" s="4"/>
      <c r="C59" s="23"/>
      <c r="D59" s="23"/>
      <c r="E59" s="23"/>
      <c r="F59" s="23"/>
      <c r="G59" s="23"/>
      <c r="H59" s="23"/>
      <c r="I59" s="23"/>
      <c r="J59" s="23"/>
      <c r="K59" s="23"/>
      <c r="L59" s="23"/>
      <c r="M59" s="23"/>
      <c r="N59" s="23"/>
      <c r="O59" s="23"/>
      <c r="P59" s="4"/>
      <c r="Q59" s="23"/>
      <c r="R59" s="23"/>
      <c r="S59" s="23"/>
      <c r="T59" s="4"/>
      <c r="U59" s="4"/>
      <c r="V59" s="4"/>
    </row>
    <row r="60" spans="1:22" x14ac:dyDescent="0.2">
      <c r="A60" s="774"/>
      <c r="B60" s="4"/>
      <c r="C60" s="23"/>
      <c r="D60" s="23"/>
      <c r="E60" s="23"/>
      <c r="F60" s="23"/>
      <c r="G60" s="23"/>
      <c r="H60" s="23"/>
      <c r="I60" s="23"/>
      <c r="J60" s="23"/>
      <c r="K60" s="23"/>
      <c r="L60" s="23"/>
      <c r="M60" s="23"/>
      <c r="N60" s="23"/>
      <c r="O60" s="23"/>
      <c r="P60" s="4"/>
      <c r="Q60" s="23"/>
      <c r="R60" s="23"/>
      <c r="S60" s="23"/>
      <c r="T60" s="4"/>
      <c r="U60" s="4"/>
      <c r="V60" s="4"/>
    </row>
    <row r="61" spans="1:22" x14ac:dyDescent="0.2">
      <c r="A61" s="774"/>
      <c r="B61" s="4"/>
      <c r="C61" s="23"/>
      <c r="D61" s="23"/>
      <c r="E61" s="23"/>
      <c r="F61" s="23"/>
      <c r="G61" s="23"/>
      <c r="H61" s="23"/>
      <c r="I61" s="23"/>
      <c r="J61" s="23"/>
      <c r="K61" s="23"/>
      <c r="L61" s="23"/>
      <c r="M61" s="23"/>
      <c r="N61" s="23"/>
      <c r="O61" s="23"/>
      <c r="P61" s="4"/>
      <c r="Q61" s="23"/>
      <c r="R61" s="23"/>
      <c r="S61" s="23"/>
      <c r="T61" s="4"/>
      <c r="U61" s="4"/>
      <c r="V61" s="4"/>
    </row>
    <row r="62" spans="1:22" x14ac:dyDescent="0.2">
      <c r="A62" s="774"/>
      <c r="B62" s="4"/>
      <c r="C62" s="23"/>
      <c r="D62" s="23"/>
      <c r="E62" s="23"/>
      <c r="F62" s="23"/>
      <c r="G62" s="23"/>
      <c r="H62" s="23"/>
      <c r="I62" s="23"/>
      <c r="J62" s="23"/>
      <c r="K62" s="23"/>
      <c r="L62" s="23"/>
      <c r="M62" s="23"/>
      <c r="N62" s="23"/>
      <c r="O62" s="23"/>
      <c r="P62" s="4"/>
      <c r="Q62" s="23"/>
      <c r="R62" s="23"/>
      <c r="S62" s="23"/>
      <c r="T62" s="4"/>
      <c r="U62" s="4"/>
      <c r="V62" s="4"/>
    </row>
    <row r="63" spans="1:22" x14ac:dyDescent="0.2">
      <c r="A63" s="774"/>
      <c r="B63" s="4"/>
      <c r="C63" s="23"/>
      <c r="D63" s="23"/>
      <c r="E63" s="23"/>
      <c r="F63" s="23"/>
      <c r="G63" s="23"/>
      <c r="H63" s="23"/>
      <c r="I63" s="23"/>
      <c r="J63" s="23"/>
      <c r="K63" s="23"/>
      <c r="L63" s="23"/>
      <c r="M63" s="23"/>
      <c r="N63" s="23"/>
      <c r="O63" s="23"/>
      <c r="P63" s="4"/>
      <c r="Q63" s="23"/>
      <c r="R63" s="23"/>
      <c r="S63" s="23"/>
      <c r="T63" s="4"/>
      <c r="U63" s="4"/>
      <c r="V63" s="4"/>
    </row>
    <row r="64" spans="1:22" x14ac:dyDescent="0.2">
      <c r="A64" s="774"/>
      <c r="B64" s="4"/>
      <c r="C64" s="23"/>
      <c r="D64" s="23"/>
      <c r="E64" s="23"/>
      <c r="F64" s="23"/>
      <c r="G64" s="23"/>
      <c r="H64" s="23"/>
      <c r="I64" s="23"/>
      <c r="J64" s="23"/>
      <c r="K64" s="23"/>
      <c r="L64" s="23"/>
      <c r="M64" s="23"/>
      <c r="N64" s="23"/>
      <c r="O64" s="23"/>
      <c r="P64" s="4"/>
      <c r="Q64" s="23"/>
      <c r="R64" s="23"/>
      <c r="S64" s="23"/>
      <c r="T64" s="4"/>
      <c r="U64" s="4"/>
      <c r="V64" s="4"/>
    </row>
    <row r="65" spans="1:22" x14ac:dyDescent="0.2">
      <c r="A65" s="774"/>
      <c r="B65" s="4"/>
      <c r="C65" s="23"/>
      <c r="D65" s="23"/>
      <c r="E65" s="23"/>
      <c r="F65" s="23"/>
      <c r="G65" s="23"/>
      <c r="H65" s="23"/>
      <c r="I65" s="23"/>
      <c r="J65" s="23"/>
      <c r="K65" s="23"/>
      <c r="L65" s="23"/>
      <c r="M65" s="23"/>
      <c r="N65" s="23"/>
      <c r="O65" s="23"/>
      <c r="P65" s="4"/>
      <c r="Q65" s="23"/>
      <c r="R65" s="23"/>
      <c r="S65" s="23"/>
      <c r="T65" s="4"/>
      <c r="U65" s="4"/>
      <c r="V65" s="4"/>
    </row>
    <row r="66" spans="1:22" x14ac:dyDescent="0.2">
      <c r="A66" s="774"/>
      <c r="B66" s="4"/>
      <c r="C66" s="23"/>
      <c r="D66" s="23"/>
      <c r="E66" s="23"/>
      <c r="F66" s="23"/>
      <c r="G66" s="23"/>
      <c r="H66" s="23"/>
      <c r="I66" s="23"/>
      <c r="J66" s="23"/>
      <c r="K66" s="23"/>
      <c r="L66" s="23"/>
      <c r="M66" s="23"/>
      <c r="N66" s="23"/>
      <c r="O66" s="23"/>
      <c r="P66" s="4"/>
      <c r="Q66" s="23"/>
      <c r="R66" s="23"/>
      <c r="S66" s="23"/>
      <c r="T66" s="4"/>
      <c r="U66" s="4"/>
      <c r="V66" s="4"/>
    </row>
    <row r="67" spans="1:22" x14ac:dyDescent="0.2">
      <c r="A67" s="774"/>
      <c r="B67" s="4"/>
      <c r="C67" s="23"/>
      <c r="D67" s="23"/>
      <c r="E67" s="23"/>
      <c r="F67" s="23"/>
      <c r="G67" s="23"/>
      <c r="H67" s="23"/>
      <c r="I67" s="23"/>
      <c r="J67" s="23"/>
      <c r="K67" s="23"/>
      <c r="L67" s="23"/>
      <c r="M67" s="23"/>
      <c r="N67" s="23"/>
      <c r="O67" s="23"/>
      <c r="P67" s="4"/>
      <c r="Q67" s="23"/>
      <c r="R67" s="23"/>
      <c r="S67" s="23"/>
      <c r="T67" s="4"/>
      <c r="U67" s="4"/>
      <c r="V67" s="4"/>
    </row>
    <row r="68" spans="1:22" x14ac:dyDescent="0.2">
      <c r="A68" s="774"/>
      <c r="B68" s="4"/>
      <c r="C68" s="23"/>
      <c r="D68" s="23"/>
      <c r="E68" s="23"/>
      <c r="F68" s="23"/>
      <c r="G68" s="23"/>
      <c r="H68" s="23"/>
      <c r="I68" s="23"/>
      <c r="J68" s="23"/>
      <c r="K68" s="23"/>
      <c r="L68" s="23"/>
      <c r="M68" s="23"/>
      <c r="N68" s="23"/>
      <c r="O68" s="23"/>
      <c r="P68" s="4"/>
      <c r="Q68" s="23"/>
      <c r="R68" s="23"/>
      <c r="S68" s="23"/>
      <c r="T68" s="4"/>
      <c r="U68" s="4"/>
      <c r="V68" s="4"/>
    </row>
    <row r="69" spans="1:22" x14ac:dyDescent="0.2">
      <c r="A69" s="774"/>
      <c r="B69" s="4"/>
      <c r="C69" s="23"/>
      <c r="D69" s="23"/>
      <c r="E69" s="23"/>
      <c r="F69" s="23"/>
      <c r="G69" s="23"/>
      <c r="H69" s="23"/>
      <c r="I69" s="23"/>
      <c r="J69" s="23"/>
      <c r="K69" s="23"/>
      <c r="L69" s="23"/>
      <c r="M69" s="23"/>
      <c r="N69" s="23"/>
      <c r="O69" s="23"/>
      <c r="P69" s="4"/>
      <c r="Q69" s="23"/>
      <c r="R69" s="23"/>
      <c r="S69" s="23"/>
      <c r="T69" s="4"/>
      <c r="U69" s="4"/>
      <c r="V69" s="4"/>
    </row>
    <row r="70" spans="1:22" x14ac:dyDescent="0.2">
      <c r="A70" s="774"/>
      <c r="B70" s="4"/>
      <c r="C70" s="23"/>
      <c r="D70" s="23"/>
      <c r="E70" s="23"/>
      <c r="F70" s="23"/>
      <c r="G70" s="23"/>
      <c r="H70" s="23"/>
      <c r="I70" s="23"/>
      <c r="J70" s="23"/>
      <c r="K70" s="23"/>
      <c r="L70" s="23"/>
      <c r="M70" s="23"/>
      <c r="N70" s="23"/>
      <c r="O70" s="23"/>
      <c r="P70" s="4"/>
      <c r="Q70" s="23"/>
      <c r="R70" s="23"/>
      <c r="S70" s="23"/>
      <c r="T70" s="4"/>
      <c r="U70" s="4"/>
      <c r="V70" s="4"/>
    </row>
    <row r="71" spans="1:22" x14ac:dyDescent="0.2">
      <c r="A71" s="774"/>
      <c r="B71" s="4"/>
      <c r="C71" s="23"/>
      <c r="D71" s="23"/>
      <c r="E71" s="23"/>
      <c r="F71" s="23"/>
      <c r="G71" s="23"/>
      <c r="H71" s="23"/>
      <c r="I71" s="23"/>
      <c r="J71" s="23"/>
      <c r="K71" s="23"/>
      <c r="L71" s="23"/>
      <c r="M71" s="23"/>
      <c r="N71" s="23"/>
      <c r="O71" s="23"/>
      <c r="P71" s="4"/>
      <c r="Q71" s="23"/>
      <c r="R71" s="23"/>
      <c r="S71" s="23"/>
      <c r="T71" s="4"/>
      <c r="U71" s="4"/>
      <c r="V71" s="4"/>
    </row>
    <row r="72" spans="1:22" x14ac:dyDescent="0.2">
      <c r="A72" s="774"/>
      <c r="B72" s="4"/>
      <c r="C72" s="23"/>
      <c r="D72" s="23"/>
      <c r="E72" s="23"/>
      <c r="F72" s="23"/>
      <c r="G72" s="23"/>
      <c r="H72" s="23"/>
      <c r="I72" s="23"/>
      <c r="J72" s="23"/>
      <c r="K72" s="23"/>
      <c r="L72" s="23"/>
      <c r="M72" s="23"/>
      <c r="N72" s="23"/>
      <c r="O72" s="23"/>
      <c r="P72" s="4"/>
      <c r="Q72" s="23"/>
      <c r="R72" s="23"/>
      <c r="S72" s="23"/>
      <c r="T72" s="4"/>
      <c r="U72" s="4"/>
      <c r="V72" s="4"/>
    </row>
    <row r="73" spans="1:22" x14ac:dyDescent="0.2">
      <c r="A73" s="774"/>
      <c r="B73" s="4"/>
      <c r="C73" s="23"/>
      <c r="D73" s="23"/>
      <c r="E73" s="23"/>
      <c r="F73" s="23"/>
      <c r="G73" s="23"/>
      <c r="H73" s="23"/>
      <c r="I73" s="23"/>
      <c r="J73" s="23"/>
      <c r="K73" s="23"/>
      <c r="L73" s="23"/>
      <c r="M73" s="23"/>
      <c r="N73" s="23"/>
      <c r="O73" s="23"/>
      <c r="P73" s="4"/>
      <c r="Q73" s="23"/>
      <c r="R73" s="23"/>
      <c r="S73" s="23"/>
      <c r="T73" s="4"/>
      <c r="U73" s="4"/>
      <c r="V73" s="4"/>
    </row>
    <row r="74" spans="1:22" x14ac:dyDescent="0.2">
      <c r="A74" s="774"/>
      <c r="B74" s="4"/>
      <c r="C74" s="23"/>
      <c r="D74" s="23"/>
      <c r="E74" s="23"/>
      <c r="F74" s="23"/>
      <c r="G74" s="23"/>
      <c r="H74" s="23"/>
      <c r="I74" s="23"/>
      <c r="J74" s="23"/>
      <c r="K74" s="23"/>
      <c r="L74" s="23"/>
      <c r="M74" s="23"/>
      <c r="N74" s="23"/>
      <c r="O74" s="23"/>
      <c r="P74" s="4"/>
      <c r="Q74" s="23"/>
      <c r="R74" s="23"/>
      <c r="S74" s="23"/>
      <c r="T74" s="4"/>
      <c r="U74" s="4"/>
      <c r="V74" s="4"/>
    </row>
    <row r="75" spans="1:22" x14ac:dyDescent="0.2">
      <c r="A75" s="774"/>
      <c r="B75" s="4"/>
      <c r="C75" s="23"/>
      <c r="D75" s="23"/>
      <c r="E75" s="23"/>
      <c r="F75" s="23"/>
      <c r="G75" s="23"/>
      <c r="H75" s="23"/>
      <c r="I75" s="23"/>
      <c r="J75" s="23"/>
      <c r="K75" s="23"/>
      <c r="L75" s="23"/>
      <c r="M75" s="23"/>
      <c r="N75" s="23"/>
      <c r="O75" s="23"/>
      <c r="P75" s="4"/>
      <c r="Q75" s="23"/>
      <c r="R75" s="23"/>
      <c r="S75" s="23"/>
      <c r="T75" s="4"/>
      <c r="U75" s="4"/>
      <c r="V75" s="4"/>
    </row>
    <row r="76" spans="1:22" x14ac:dyDescent="0.2">
      <c r="A76" s="774"/>
      <c r="B76" s="4"/>
      <c r="C76" s="23"/>
      <c r="D76" s="23"/>
      <c r="E76" s="23"/>
      <c r="F76" s="23"/>
      <c r="G76" s="23"/>
      <c r="H76" s="23"/>
      <c r="I76" s="23"/>
      <c r="J76" s="23"/>
      <c r="K76" s="23"/>
      <c r="L76" s="23"/>
      <c r="M76" s="23"/>
      <c r="N76" s="23"/>
      <c r="O76" s="23"/>
      <c r="P76" s="4"/>
      <c r="Q76" s="23"/>
      <c r="R76" s="23"/>
      <c r="S76" s="23"/>
      <c r="T76" s="4"/>
      <c r="U76" s="4"/>
      <c r="V76" s="4"/>
    </row>
    <row r="77" spans="1:22" x14ac:dyDescent="0.2">
      <c r="A77" s="774"/>
      <c r="B77" s="4"/>
      <c r="C77" s="23"/>
      <c r="D77" s="23"/>
      <c r="E77" s="23"/>
      <c r="F77" s="23"/>
      <c r="G77" s="23"/>
      <c r="H77" s="23"/>
      <c r="I77" s="23"/>
      <c r="J77" s="23"/>
      <c r="K77" s="23"/>
      <c r="L77" s="23"/>
      <c r="M77" s="23"/>
      <c r="N77" s="23"/>
      <c r="O77" s="23"/>
      <c r="P77" s="4"/>
      <c r="Q77" s="23"/>
      <c r="R77" s="23"/>
      <c r="S77" s="23"/>
      <c r="T77" s="4"/>
      <c r="U77" s="4"/>
      <c r="V77" s="4"/>
    </row>
    <row r="78" spans="1:22" x14ac:dyDescent="0.2">
      <c r="A78" s="774"/>
      <c r="B78" s="4"/>
      <c r="C78" s="23"/>
      <c r="D78" s="23"/>
      <c r="E78" s="23"/>
      <c r="F78" s="23"/>
      <c r="G78" s="23"/>
      <c r="H78" s="23"/>
      <c r="I78" s="23"/>
      <c r="J78" s="23"/>
      <c r="K78" s="23"/>
      <c r="L78" s="23"/>
      <c r="M78" s="23"/>
      <c r="N78" s="23"/>
      <c r="O78" s="23"/>
      <c r="P78" s="4"/>
      <c r="Q78" s="23"/>
      <c r="R78" s="23"/>
      <c r="S78" s="23"/>
      <c r="T78" s="4"/>
      <c r="U78" s="4"/>
      <c r="V78" s="4"/>
    </row>
    <row r="79" spans="1:22" x14ac:dyDescent="0.2">
      <c r="A79" s="774"/>
      <c r="B79" s="4"/>
      <c r="C79" s="23"/>
      <c r="D79" s="23"/>
      <c r="E79" s="23"/>
      <c r="F79" s="23"/>
      <c r="G79" s="23"/>
      <c r="H79" s="23"/>
      <c r="I79" s="23"/>
      <c r="J79" s="23"/>
      <c r="K79" s="23"/>
      <c r="L79" s="23"/>
      <c r="M79" s="23"/>
      <c r="N79" s="23"/>
      <c r="O79" s="23"/>
      <c r="P79" s="4"/>
      <c r="Q79" s="23"/>
      <c r="R79" s="23"/>
      <c r="S79" s="23"/>
      <c r="T79" s="4"/>
      <c r="U79" s="4"/>
      <c r="V79" s="4"/>
    </row>
    <row r="80" spans="1:22" x14ac:dyDescent="0.2">
      <c r="A80" s="774"/>
      <c r="B80" s="4"/>
      <c r="C80" s="23"/>
      <c r="D80" s="23"/>
      <c r="E80" s="23"/>
      <c r="F80" s="23"/>
      <c r="G80" s="23"/>
      <c r="H80" s="23"/>
      <c r="I80" s="23"/>
      <c r="J80" s="23"/>
      <c r="K80" s="23"/>
      <c r="L80" s="23"/>
      <c r="M80" s="23"/>
      <c r="N80" s="23"/>
      <c r="O80" s="23"/>
      <c r="P80" s="4"/>
      <c r="Q80" s="23"/>
      <c r="R80" s="23"/>
      <c r="S80" s="23"/>
      <c r="T80" s="4"/>
      <c r="U80" s="4"/>
      <c r="V80" s="4"/>
    </row>
    <row r="81" spans="1:22" x14ac:dyDescent="0.2">
      <c r="A81" s="774"/>
      <c r="B81" s="4"/>
      <c r="C81" s="23"/>
      <c r="D81" s="23"/>
      <c r="E81" s="23"/>
      <c r="F81" s="23"/>
      <c r="G81" s="23"/>
      <c r="H81" s="23"/>
      <c r="I81" s="23"/>
      <c r="J81" s="23"/>
      <c r="K81" s="23"/>
      <c r="L81" s="23"/>
      <c r="M81" s="23"/>
      <c r="N81" s="23"/>
      <c r="O81" s="23"/>
      <c r="P81" s="4"/>
      <c r="Q81" s="23"/>
      <c r="R81" s="23"/>
      <c r="S81" s="23"/>
      <c r="T81" s="4"/>
      <c r="U81" s="4"/>
      <c r="V81" s="4"/>
    </row>
    <row r="82" spans="1:22" x14ac:dyDescent="0.2">
      <c r="A82" s="774"/>
      <c r="B82" s="4"/>
      <c r="C82" s="23"/>
      <c r="D82" s="23"/>
      <c r="E82" s="23"/>
      <c r="F82" s="23"/>
      <c r="G82" s="23"/>
      <c r="H82" s="23"/>
      <c r="I82" s="23"/>
      <c r="J82" s="23"/>
      <c r="K82" s="23"/>
      <c r="L82" s="23"/>
      <c r="M82" s="23"/>
      <c r="N82" s="23"/>
      <c r="O82" s="23"/>
      <c r="P82" s="4"/>
      <c r="Q82" s="23"/>
      <c r="R82" s="23"/>
      <c r="S82" s="23"/>
      <c r="T82" s="4"/>
      <c r="U82" s="4"/>
      <c r="V82" s="4"/>
    </row>
    <row r="83" spans="1:22" x14ac:dyDescent="0.2">
      <c r="A83" s="774"/>
      <c r="B83" s="4"/>
      <c r="C83" s="23"/>
      <c r="D83" s="23"/>
      <c r="E83" s="23"/>
      <c r="F83" s="23"/>
      <c r="G83" s="23"/>
      <c r="H83" s="23"/>
      <c r="I83" s="23"/>
      <c r="J83" s="23"/>
      <c r="K83" s="23"/>
      <c r="L83" s="23"/>
      <c r="M83" s="23"/>
      <c r="N83" s="23"/>
      <c r="O83" s="23"/>
      <c r="P83" s="4"/>
      <c r="Q83" s="23"/>
      <c r="R83" s="23"/>
      <c r="S83" s="23"/>
      <c r="T83" s="4"/>
      <c r="U83" s="4"/>
      <c r="V83" s="4"/>
    </row>
    <row r="84" spans="1:22" x14ac:dyDescent="0.2">
      <c r="A84" s="774"/>
      <c r="B84" s="4"/>
      <c r="C84" s="23"/>
      <c r="D84" s="23"/>
      <c r="E84" s="23"/>
      <c r="F84" s="23"/>
      <c r="G84" s="23"/>
      <c r="H84" s="23"/>
      <c r="I84" s="23"/>
      <c r="J84" s="23"/>
      <c r="K84" s="23"/>
      <c r="L84" s="23"/>
      <c r="M84" s="23"/>
      <c r="N84" s="23"/>
      <c r="O84" s="23"/>
      <c r="P84" s="4"/>
      <c r="Q84" s="23"/>
      <c r="R84" s="23"/>
      <c r="S84" s="23"/>
      <c r="T84" s="4"/>
      <c r="U84" s="4"/>
      <c r="V84" s="4"/>
    </row>
    <row r="85" spans="1:22" x14ac:dyDescent="0.2">
      <c r="A85" s="774"/>
      <c r="B85" s="4"/>
      <c r="C85" s="23"/>
      <c r="D85" s="23"/>
      <c r="E85" s="23"/>
      <c r="F85" s="23"/>
      <c r="G85" s="23"/>
      <c r="H85" s="23"/>
      <c r="I85" s="23"/>
      <c r="J85" s="23"/>
      <c r="K85" s="23"/>
      <c r="L85" s="23"/>
      <c r="M85" s="23"/>
      <c r="N85" s="23"/>
      <c r="O85" s="23"/>
      <c r="P85" s="4"/>
      <c r="Q85" s="23"/>
      <c r="R85" s="23"/>
      <c r="S85" s="23"/>
      <c r="T85" s="4"/>
      <c r="U85" s="4"/>
      <c r="V85" s="4"/>
    </row>
    <row r="86" spans="1:22" x14ac:dyDescent="0.2">
      <c r="A86" s="774"/>
      <c r="B86" s="4"/>
      <c r="C86" s="23"/>
      <c r="D86" s="23"/>
      <c r="E86" s="23"/>
      <c r="F86" s="23"/>
      <c r="G86" s="23"/>
      <c r="H86" s="23"/>
      <c r="I86" s="23"/>
      <c r="J86" s="23"/>
      <c r="K86" s="23"/>
      <c r="L86" s="23"/>
      <c r="M86" s="23"/>
      <c r="N86" s="23"/>
      <c r="O86" s="23"/>
      <c r="P86" s="4"/>
      <c r="Q86" s="23"/>
      <c r="R86" s="23"/>
      <c r="S86" s="23"/>
      <c r="T86" s="4"/>
      <c r="U86" s="4"/>
      <c r="V86" s="4"/>
    </row>
    <row r="87" spans="1:22" x14ac:dyDescent="0.2">
      <c r="A87" s="774"/>
      <c r="B87" s="4"/>
      <c r="C87" s="23"/>
      <c r="D87" s="23"/>
      <c r="E87" s="23"/>
      <c r="F87" s="23"/>
      <c r="G87" s="23"/>
      <c r="H87" s="23"/>
      <c r="I87" s="23"/>
      <c r="J87" s="23"/>
      <c r="K87" s="23"/>
      <c r="L87" s="23"/>
      <c r="M87" s="23"/>
      <c r="N87" s="23"/>
      <c r="O87" s="23"/>
      <c r="P87" s="4"/>
      <c r="Q87" s="23"/>
      <c r="R87" s="23"/>
      <c r="S87" s="23"/>
      <c r="T87" s="4"/>
      <c r="U87" s="4"/>
      <c r="V87" s="4"/>
    </row>
    <row r="88" spans="1:22" x14ac:dyDescent="0.2">
      <c r="A88" s="774"/>
      <c r="B88" s="4"/>
      <c r="C88" s="23"/>
      <c r="D88" s="23"/>
      <c r="E88" s="23"/>
      <c r="F88" s="23"/>
      <c r="G88" s="23"/>
      <c r="H88" s="23"/>
      <c r="I88" s="23"/>
      <c r="J88" s="23"/>
      <c r="K88" s="23"/>
      <c r="L88" s="23"/>
      <c r="M88" s="23"/>
      <c r="N88" s="23"/>
      <c r="O88" s="23"/>
      <c r="P88" s="4"/>
      <c r="Q88" s="23"/>
      <c r="R88" s="23"/>
      <c r="S88" s="23"/>
      <c r="T88" s="4"/>
      <c r="U88" s="4"/>
      <c r="V88" s="4"/>
    </row>
    <row r="89" spans="1:22" x14ac:dyDescent="0.2">
      <c r="A89" s="774"/>
      <c r="B89" s="4"/>
      <c r="C89" s="23"/>
      <c r="D89" s="23"/>
      <c r="E89" s="23"/>
      <c r="F89" s="23"/>
      <c r="G89" s="23"/>
      <c r="H89" s="23"/>
      <c r="I89" s="23"/>
      <c r="J89" s="23"/>
      <c r="K89" s="23"/>
      <c r="L89" s="23"/>
      <c r="M89" s="23"/>
      <c r="N89" s="23"/>
      <c r="O89" s="23"/>
      <c r="P89" s="4"/>
      <c r="Q89" s="23"/>
      <c r="R89" s="23"/>
      <c r="S89" s="23"/>
      <c r="T89" s="4"/>
      <c r="U89" s="4"/>
      <c r="V89" s="4"/>
    </row>
    <row r="90" spans="1:22" x14ac:dyDescent="0.2">
      <c r="A90" s="774"/>
      <c r="B90" s="4"/>
      <c r="C90" s="23"/>
      <c r="D90" s="23"/>
      <c r="E90" s="23"/>
      <c r="F90" s="23"/>
      <c r="G90" s="23"/>
      <c r="H90" s="23"/>
      <c r="I90" s="23"/>
      <c r="J90" s="23"/>
      <c r="K90" s="23"/>
      <c r="L90" s="23"/>
      <c r="M90" s="23"/>
      <c r="N90" s="23"/>
      <c r="O90" s="23"/>
      <c r="P90" s="4"/>
      <c r="Q90" s="23"/>
      <c r="R90" s="23"/>
      <c r="S90" s="23"/>
      <c r="T90" s="4"/>
      <c r="U90" s="4"/>
      <c r="V90" s="4"/>
    </row>
    <row r="91" spans="1:22" x14ac:dyDescent="0.2">
      <c r="A91" s="774"/>
      <c r="B91" s="4"/>
      <c r="C91" s="23"/>
      <c r="D91" s="23"/>
      <c r="E91" s="23"/>
      <c r="F91" s="23"/>
      <c r="G91" s="23"/>
      <c r="H91" s="23"/>
      <c r="I91" s="23"/>
      <c r="J91" s="23"/>
      <c r="K91" s="23"/>
      <c r="L91" s="23"/>
      <c r="M91" s="23"/>
      <c r="N91" s="23"/>
      <c r="O91" s="23"/>
      <c r="P91" s="4"/>
      <c r="Q91" s="23"/>
      <c r="R91" s="23"/>
      <c r="S91" s="23"/>
      <c r="T91" s="4"/>
      <c r="U91" s="4"/>
      <c r="V91" s="4"/>
    </row>
    <row r="92" spans="1:22" x14ac:dyDescent="0.2">
      <c r="A92" s="774"/>
      <c r="B92" s="4"/>
      <c r="C92" s="23"/>
      <c r="D92" s="23"/>
      <c r="E92" s="23"/>
      <c r="F92" s="23"/>
      <c r="G92" s="23"/>
      <c r="H92" s="23"/>
      <c r="I92" s="23"/>
      <c r="J92" s="23"/>
      <c r="K92" s="23"/>
      <c r="L92" s="23"/>
      <c r="M92" s="23"/>
      <c r="N92" s="23"/>
      <c r="O92" s="23"/>
      <c r="P92" s="4"/>
      <c r="Q92" s="23"/>
      <c r="R92" s="23"/>
      <c r="S92" s="23"/>
      <c r="T92" s="4"/>
      <c r="U92" s="4"/>
      <c r="V92" s="4"/>
    </row>
    <row r="93" spans="1:22" x14ac:dyDescent="0.2">
      <c r="A93" s="774"/>
      <c r="B93" s="4"/>
      <c r="C93" s="23"/>
      <c r="D93" s="23"/>
      <c r="E93" s="23"/>
      <c r="F93" s="23"/>
      <c r="G93" s="23"/>
      <c r="H93" s="23"/>
      <c r="I93" s="23"/>
      <c r="J93" s="23"/>
      <c r="K93" s="23"/>
      <c r="L93" s="23"/>
      <c r="M93" s="23"/>
      <c r="N93" s="23"/>
      <c r="O93" s="23"/>
      <c r="P93" s="4"/>
      <c r="Q93" s="23"/>
      <c r="R93" s="23"/>
      <c r="S93" s="23"/>
      <c r="T93" s="4"/>
      <c r="U93" s="4"/>
      <c r="V93" s="4"/>
    </row>
    <row r="94" spans="1:22" x14ac:dyDescent="0.2">
      <c r="A94" s="774"/>
      <c r="B94" s="4"/>
      <c r="C94" s="23"/>
      <c r="D94" s="23"/>
      <c r="E94" s="23"/>
      <c r="F94" s="23"/>
      <c r="G94" s="23"/>
      <c r="H94" s="23"/>
      <c r="I94" s="23"/>
      <c r="J94" s="23"/>
      <c r="K94" s="23"/>
      <c r="L94" s="23"/>
      <c r="M94" s="23"/>
      <c r="N94" s="23"/>
      <c r="O94" s="23"/>
      <c r="P94" s="4"/>
      <c r="Q94" s="23"/>
      <c r="R94" s="23"/>
      <c r="S94" s="23"/>
      <c r="T94" s="4"/>
      <c r="U94" s="4"/>
      <c r="V94" s="4"/>
    </row>
    <row r="95" spans="1:22" x14ac:dyDescent="0.2">
      <c r="A95" s="774"/>
      <c r="B95" s="4"/>
      <c r="C95" s="23"/>
      <c r="D95" s="23"/>
      <c r="E95" s="23"/>
      <c r="F95" s="23"/>
      <c r="G95" s="23"/>
      <c r="H95" s="23"/>
      <c r="I95" s="23"/>
      <c r="J95" s="23"/>
      <c r="K95" s="23"/>
      <c r="L95" s="23"/>
      <c r="M95" s="23"/>
      <c r="N95" s="23"/>
      <c r="O95" s="23"/>
      <c r="P95" s="4"/>
      <c r="Q95" s="23"/>
      <c r="R95" s="23"/>
      <c r="S95" s="23"/>
      <c r="T95" s="4"/>
      <c r="U95" s="4"/>
      <c r="V95" s="4"/>
    </row>
    <row r="96" spans="1:22" x14ac:dyDescent="0.2">
      <c r="A96" s="774"/>
      <c r="B96" s="4"/>
      <c r="C96" s="23"/>
      <c r="D96" s="23"/>
      <c r="E96" s="23"/>
      <c r="F96" s="23"/>
      <c r="G96" s="23"/>
      <c r="H96" s="23"/>
      <c r="I96" s="23"/>
      <c r="J96" s="23"/>
      <c r="K96" s="23"/>
      <c r="L96" s="23"/>
      <c r="M96" s="23"/>
      <c r="N96" s="23"/>
      <c r="O96" s="23"/>
      <c r="P96" s="4"/>
      <c r="Q96" s="23"/>
      <c r="R96" s="23"/>
      <c r="S96" s="23"/>
      <c r="T96" s="4"/>
      <c r="U96" s="4"/>
      <c r="V96" s="4"/>
    </row>
    <row r="97" spans="1:22" x14ac:dyDescent="0.2">
      <c r="A97" s="774"/>
      <c r="B97" s="4"/>
      <c r="C97" s="23"/>
      <c r="D97" s="23"/>
      <c r="E97" s="23"/>
      <c r="F97" s="23"/>
      <c r="G97" s="23"/>
      <c r="H97" s="23"/>
      <c r="I97" s="23"/>
      <c r="J97" s="23"/>
      <c r="K97" s="23"/>
      <c r="L97" s="23"/>
      <c r="M97" s="23"/>
      <c r="N97" s="23"/>
      <c r="O97" s="23"/>
      <c r="P97" s="4"/>
      <c r="Q97" s="23"/>
      <c r="R97" s="23"/>
      <c r="S97" s="23"/>
      <c r="T97" s="4"/>
      <c r="U97" s="4"/>
      <c r="V97" s="4"/>
    </row>
    <row r="98" spans="1:22" x14ac:dyDescent="0.2">
      <c r="A98" s="774"/>
      <c r="B98" s="4"/>
      <c r="C98" s="23"/>
      <c r="D98" s="23"/>
      <c r="E98" s="23"/>
      <c r="F98" s="23"/>
      <c r="G98" s="23"/>
      <c r="H98" s="23"/>
      <c r="I98" s="23"/>
      <c r="J98" s="23"/>
      <c r="K98" s="23"/>
      <c r="L98" s="23"/>
      <c r="M98" s="23"/>
      <c r="N98" s="23"/>
      <c r="O98" s="23"/>
      <c r="P98" s="4"/>
      <c r="Q98" s="23"/>
      <c r="R98" s="23"/>
      <c r="S98" s="23"/>
      <c r="T98" s="4"/>
      <c r="U98" s="4"/>
      <c r="V98" s="4"/>
    </row>
    <row r="99" spans="1:22" x14ac:dyDescent="0.2">
      <c r="A99" s="774"/>
      <c r="B99" s="4"/>
      <c r="C99" s="23"/>
      <c r="D99" s="23"/>
      <c r="E99" s="23"/>
      <c r="F99" s="23"/>
      <c r="G99" s="23"/>
      <c r="H99" s="23"/>
      <c r="I99" s="23"/>
      <c r="J99" s="23"/>
      <c r="K99" s="23"/>
      <c r="L99" s="23"/>
      <c r="M99" s="23"/>
      <c r="N99" s="23"/>
      <c r="O99" s="23"/>
      <c r="P99" s="4"/>
      <c r="Q99" s="23"/>
      <c r="R99" s="23"/>
      <c r="S99" s="23"/>
      <c r="T99" s="4"/>
      <c r="U99" s="4"/>
      <c r="V99" s="4"/>
    </row>
    <row r="100" spans="1:22" x14ac:dyDescent="0.2">
      <c r="A100" s="774"/>
      <c r="B100" s="4"/>
      <c r="C100" s="23"/>
      <c r="D100" s="23"/>
      <c r="E100" s="23"/>
      <c r="F100" s="23"/>
      <c r="G100" s="23"/>
      <c r="H100" s="23"/>
      <c r="I100" s="23"/>
      <c r="J100" s="23"/>
      <c r="K100" s="23"/>
      <c r="L100" s="23"/>
      <c r="M100" s="23"/>
      <c r="N100" s="23"/>
      <c r="O100" s="23"/>
      <c r="P100" s="4"/>
      <c r="Q100" s="23"/>
      <c r="R100" s="23"/>
      <c r="S100" s="23"/>
      <c r="T100" s="4"/>
      <c r="U100" s="4"/>
      <c r="V100" s="4"/>
    </row>
    <row r="101" spans="1:22" x14ac:dyDescent="0.2">
      <c r="A101" s="774"/>
      <c r="B101" s="4"/>
      <c r="C101" s="23"/>
      <c r="D101" s="23"/>
      <c r="E101" s="23"/>
      <c r="F101" s="23"/>
      <c r="G101" s="23"/>
      <c r="H101" s="23"/>
      <c r="I101" s="23"/>
      <c r="J101" s="23"/>
      <c r="K101" s="23"/>
      <c r="L101" s="23"/>
      <c r="M101" s="23"/>
      <c r="N101" s="23"/>
      <c r="O101" s="23"/>
      <c r="P101" s="4"/>
      <c r="Q101" s="23"/>
      <c r="R101" s="23"/>
      <c r="S101" s="23"/>
      <c r="T101" s="4"/>
      <c r="U101" s="4"/>
      <c r="V101" s="4"/>
    </row>
    <row r="102" spans="1:22" x14ac:dyDescent="0.2">
      <c r="A102" s="774"/>
      <c r="B102" s="4"/>
      <c r="C102" s="23"/>
      <c r="D102" s="23"/>
      <c r="E102" s="23"/>
      <c r="F102" s="23"/>
      <c r="G102" s="23"/>
      <c r="H102" s="23"/>
      <c r="I102" s="23"/>
      <c r="J102" s="23"/>
      <c r="K102" s="23"/>
      <c r="L102" s="23"/>
      <c r="M102" s="23"/>
      <c r="N102" s="23"/>
      <c r="O102" s="23"/>
      <c r="P102" s="4"/>
      <c r="Q102" s="23"/>
      <c r="R102" s="23"/>
      <c r="S102" s="23"/>
      <c r="T102" s="4"/>
      <c r="U102" s="4"/>
      <c r="V102" s="4"/>
    </row>
    <row r="103" spans="1:22" x14ac:dyDescent="0.2">
      <c r="A103" s="774"/>
      <c r="B103" s="4"/>
      <c r="C103" s="23"/>
      <c r="D103" s="23"/>
      <c r="E103" s="23"/>
      <c r="F103" s="23"/>
      <c r="G103" s="23"/>
      <c r="H103" s="23"/>
      <c r="I103" s="23"/>
      <c r="J103" s="23"/>
      <c r="K103" s="23"/>
      <c r="L103" s="23"/>
      <c r="M103" s="23"/>
      <c r="N103" s="23"/>
      <c r="O103" s="23"/>
      <c r="P103" s="4"/>
      <c r="Q103" s="23"/>
      <c r="R103" s="23"/>
      <c r="S103" s="23"/>
      <c r="T103" s="4"/>
      <c r="U103" s="4"/>
      <c r="V103" s="4"/>
    </row>
    <row r="104" spans="1:22" x14ac:dyDescent="0.2">
      <c r="A104" s="774"/>
      <c r="B104" s="4"/>
      <c r="C104" s="23"/>
      <c r="D104" s="23"/>
      <c r="E104" s="23"/>
      <c r="F104" s="23"/>
      <c r="G104" s="23"/>
      <c r="H104" s="23"/>
      <c r="I104" s="23"/>
      <c r="J104" s="23"/>
      <c r="K104" s="23"/>
      <c r="L104" s="23"/>
      <c r="M104" s="23"/>
      <c r="N104" s="23"/>
      <c r="O104" s="23"/>
      <c r="P104" s="4"/>
      <c r="Q104" s="23"/>
      <c r="R104" s="23"/>
      <c r="S104" s="23"/>
      <c r="T104" s="4"/>
      <c r="U104" s="4"/>
      <c r="V104" s="4"/>
    </row>
    <row r="105" spans="1:22" x14ac:dyDescent="0.2">
      <c r="A105" s="774"/>
      <c r="B105" s="4"/>
      <c r="C105" s="23"/>
      <c r="D105" s="23"/>
      <c r="E105" s="23"/>
      <c r="F105" s="23"/>
      <c r="G105" s="23"/>
      <c r="H105" s="23"/>
      <c r="I105" s="23"/>
      <c r="J105" s="23"/>
      <c r="K105" s="23"/>
      <c r="L105" s="23"/>
      <c r="M105" s="23"/>
      <c r="N105" s="23"/>
      <c r="O105" s="23"/>
      <c r="P105" s="4"/>
      <c r="Q105" s="23"/>
      <c r="R105" s="23"/>
      <c r="S105" s="23"/>
      <c r="T105" s="4"/>
      <c r="U105" s="4"/>
      <c r="V105" s="4"/>
    </row>
    <row r="106" spans="1:22" x14ac:dyDescent="0.2">
      <c r="A106" s="774"/>
      <c r="B106" s="4"/>
      <c r="C106" s="23"/>
      <c r="D106" s="23"/>
      <c r="E106" s="23"/>
      <c r="F106" s="23"/>
      <c r="G106" s="23"/>
      <c r="H106" s="23"/>
      <c r="I106" s="23"/>
      <c r="J106" s="23"/>
      <c r="K106" s="23"/>
      <c r="L106" s="23"/>
      <c r="M106" s="23"/>
      <c r="N106" s="23"/>
      <c r="O106" s="23"/>
      <c r="P106" s="4"/>
      <c r="Q106" s="23"/>
      <c r="R106" s="23"/>
      <c r="S106" s="23"/>
      <c r="T106" s="4"/>
      <c r="U106" s="4"/>
      <c r="V106" s="4"/>
    </row>
    <row r="107" spans="1:22" x14ac:dyDescent="0.2">
      <c r="A107" s="774"/>
      <c r="B107" s="4"/>
      <c r="C107" s="23"/>
      <c r="D107" s="23"/>
      <c r="E107" s="23"/>
      <c r="F107" s="23"/>
      <c r="G107" s="23"/>
      <c r="H107" s="23"/>
      <c r="I107" s="23"/>
      <c r="J107" s="23"/>
      <c r="K107" s="23"/>
      <c r="L107" s="23"/>
      <c r="M107" s="23"/>
      <c r="N107" s="23"/>
      <c r="O107" s="23"/>
      <c r="P107" s="4"/>
      <c r="Q107" s="23"/>
      <c r="R107" s="23"/>
      <c r="S107" s="23"/>
      <c r="T107" s="4"/>
      <c r="U107" s="4"/>
      <c r="V107" s="4"/>
    </row>
    <row r="108" spans="1:22" x14ac:dyDescent="0.2">
      <c r="A108" s="774"/>
      <c r="B108" s="4"/>
      <c r="C108" s="23"/>
      <c r="D108" s="23"/>
      <c r="E108" s="23"/>
      <c r="F108" s="23"/>
      <c r="G108" s="23"/>
      <c r="H108" s="23"/>
      <c r="I108" s="23"/>
      <c r="J108" s="23"/>
      <c r="K108" s="23"/>
      <c r="L108" s="23"/>
      <c r="M108" s="23"/>
      <c r="N108" s="23"/>
      <c r="O108" s="23"/>
      <c r="P108" s="4"/>
      <c r="Q108" s="23"/>
      <c r="R108" s="23"/>
      <c r="S108" s="23"/>
      <c r="T108" s="4"/>
      <c r="U108" s="4"/>
      <c r="V108" s="4"/>
    </row>
    <row r="109" spans="1:22" x14ac:dyDescent="0.2">
      <c r="A109" s="774"/>
      <c r="B109" s="4"/>
      <c r="C109" s="23"/>
      <c r="D109" s="23"/>
      <c r="E109" s="23"/>
      <c r="F109" s="23"/>
      <c r="G109" s="23"/>
      <c r="H109" s="23"/>
      <c r="I109" s="23"/>
      <c r="J109" s="23"/>
      <c r="K109" s="23"/>
      <c r="L109" s="23"/>
      <c r="M109" s="23"/>
      <c r="N109" s="23"/>
      <c r="O109" s="23"/>
      <c r="P109" s="4"/>
      <c r="Q109" s="23"/>
      <c r="R109" s="23"/>
      <c r="S109" s="23"/>
      <c r="T109" s="4"/>
      <c r="U109" s="4"/>
      <c r="V109" s="4"/>
    </row>
    <row r="110" spans="1:22" x14ac:dyDescent="0.2">
      <c r="A110" s="774"/>
      <c r="B110" s="4"/>
      <c r="C110" s="23"/>
      <c r="D110" s="23"/>
      <c r="E110" s="23"/>
      <c r="F110" s="23"/>
      <c r="G110" s="23"/>
      <c r="H110" s="23"/>
      <c r="I110" s="23"/>
      <c r="J110" s="23"/>
      <c r="K110" s="23"/>
      <c r="L110" s="23"/>
      <c r="M110" s="23"/>
      <c r="N110" s="23"/>
      <c r="O110" s="23"/>
      <c r="P110" s="4"/>
      <c r="Q110" s="23"/>
      <c r="R110" s="23"/>
      <c r="S110" s="23"/>
      <c r="T110" s="4"/>
      <c r="U110" s="4"/>
      <c r="V110" s="4"/>
    </row>
    <row r="111" spans="1:22" x14ac:dyDescent="0.2">
      <c r="A111" s="774"/>
      <c r="B111" s="4"/>
      <c r="C111" s="23"/>
      <c r="D111" s="23"/>
      <c r="E111" s="23"/>
      <c r="F111" s="23"/>
      <c r="G111" s="23"/>
      <c r="H111" s="23"/>
      <c r="I111" s="23"/>
      <c r="J111" s="23"/>
      <c r="K111" s="23"/>
      <c r="L111" s="23"/>
      <c r="M111" s="23"/>
      <c r="N111" s="23"/>
      <c r="O111" s="23"/>
      <c r="P111" s="4"/>
      <c r="Q111" s="23"/>
      <c r="R111" s="23"/>
      <c r="S111" s="23"/>
      <c r="T111" s="4"/>
      <c r="U111" s="4"/>
      <c r="V111" s="4"/>
    </row>
    <row r="112" spans="1:22" x14ac:dyDescent="0.2">
      <c r="A112" s="774"/>
      <c r="B112" s="4"/>
      <c r="C112" s="23"/>
      <c r="D112" s="23"/>
      <c r="E112" s="23"/>
      <c r="F112" s="23"/>
      <c r="G112" s="23"/>
      <c r="H112" s="23"/>
      <c r="I112" s="23"/>
      <c r="J112" s="23"/>
      <c r="K112" s="23"/>
      <c r="L112" s="23"/>
      <c r="M112" s="23"/>
      <c r="N112" s="23"/>
      <c r="O112" s="23"/>
      <c r="P112" s="4"/>
      <c r="Q112" s="23"/>
      <c r="R112" s="23"/>
      <c r="S112" s="23"/>
      <c r="T112" s="4"/>
      <c r="U112" s="4"/>
      <c r="V112" s="4"/>
    </row>
    <row r="113" spans="1:22" x14ac:dyDescent="0.2">
      <c r="A113" s="774"/>
      <c r="B113" s="4"/>
      <c r="C113" s="23"/>
      <c r="D113" s="23"/>
      <c r="E113" s="23"/>
      <c r="F113" s="23"/>
      <c r="G113" s="23"/>
      <c r="H113" s="23"/>
      <c r="I113" s="23"/>
      <c r="J113" s="23"/>
      <c r="K113" s="23"/>
      <c r="L113" s="23"/>
      <c r="M113" s="23"/>
      <c r="N113" s="23"/>
      <c r="O113" s="23"/>
      <c r="P113" s="4"/>
      <c r="Q113" s="23"/>
      <c r="R113" s="23"/>
      <c r="S113" s="23"/>
      <c r="T113" s="4"/>
      <c r="U113" s="4"/>
      <c r="V113" s="4"/>
    </row>
    <row r="114" spans="1:22" x14ac:dyDescent="0.2">
      <c r="A114" s="774"/>
      <c r="B114" s="4"/>
      <c r="C114" s="23"/>
      <c r="D114" s="23"/>
      <c r="E114" s="23"/>
      <c r="F114" s="23"/>
      <c r="G114" s="23"/>
      <c r="H114" s="23"/>
      <c r="I114" s="23"/>
      <c r="J114" s="23"/>
      <c r="K114" s="23"/>
      <c r="L114" s="23"/>
      <c r="M114" s="23"/>
      <c r="N114" s="23"/>
      <c r="O114" s="23"/>
      <c r="P114" s="4"/>
      <c r="Q114" s="23"/>
      <c r="R114" s="23"/>
      <c r="S114" s="23"/>
      <c r="T114" s="4"/>
      <c r="U114" s="4"/>
      <c r="V114" s="4"/>
    </row>
    <row r="115" spans="1:22" x14ac:dyDescent="0.2">
      <c r="A115" s="774"/>
      <c r="B115" s="4"/>
      <c r="C115" s="23"/>
      <c r="D115" s="23"/>
      <c r="E115" s="23"/>
      <c r="F115" s="23"/>
      <c r="G115" s="23"/>
      <c r="H115" s="23"/>
      <c r="I115" s="23"/>
      <c r="J115" s="23"/>
      <c r="K115" s="23"/>
      <c r="L115" s="23"/>
      <c r="M115" s="23"/>
      <c r="N115" s="23"/>
      <c r="O115" s="23"/>
      <c r="P115" s="4"/>
      <c r="Q115" s="23"/>
      <c r="R115" s="23"/>
      <c r="S115" s="23"/>
      <c r="T115" s="4"/>
      <c r="U115" s="4"/>
      <c r="V115" s="4"/>
    </row>
    <row r="116" spans="1:22" x14ac:dyDescent="0.2">
      <c r="A116" s="774"/>
      <c r="B116" s="4"/>
      <c r="C116" s="23"/>
      <c r="D116" s="23"/>
      <c r="E116" s="23"/>
      <c r="F116" s="23"/>
      <c r="G116" s="23"/>
      <c r="H116" s="23"/>
      <c r="I116" s="23"/>
      <c r="J116" s="23"/>
      <c r="K116" s="23"/>
      <c r="L116" s="23"/>
      <c r="M116" s="23"/>
      <c r="N116" s="23"/>
      <c r="O116" s="23"/>
      <c r="P116" s="4"/>
      <c r="Q116" s="23"/>
      <c r="R116" s="23"/>
      <c r="S116" s="23"/>
      <c r="T116" s="4"/>
      <c r="U116" s="4"/>
      <c r="V116" s="4"/>
    </row>
    <row r="117" spans="1:22" x14ac:dyDescent="0.2">
      <c r="C117" s="212"/>
      <c r="D117" s="212"/>
      <c r="E117" s="212"/>
      <c r="F117" s="212"/>
      <c r="G117" s="212"/>
      <c r="H117" s="212"/>
      <c r="I117" s="212"/>
      <c r="J117" s="212"/>
      <c r="K117" s="212"/>
      <c r="L117" s="212"/>
      <c r="M117" s="212"/>
      <c r="N117" s="212"/>
      <c r="O117" s="212"/>
    </row>
    <row r="118" spans="1:22" x14ac:dyDescent="0.2">
      <c r="C118" s="212"/>
      <c r="D118" s="212"/>
      <c r="E118" s="212"/>
      <c r="F118" s="212"/>
      <c r="G118" s="212"/>
      <c r="H118" s="212"/>
      <c r="I118" s="212"/>
      <c r="J118" s="212"/>
      <c r="K118" s="212"/>
      <c r="L118" s="212"/>
      <c r="M118" s="212"/>
      <c r="N118" s="212"/>
      <c r="O118" s="212"/>
    </row>
    <row r="119" spans="1:22" x14ac:dyDescent="0.2">
      <c r="C119" s="212"/>
      <c r="D119" s="212"/>
      <c r="E119" s="212"/>
      <c r="F119" s="212"/>
      <c r="G119" s="212"/>
      <c r="H119" s="212"/>
      <c r="I119" s="212"/>
      <c r="J119" s="212"/>
      <c r="K119" s="212"/>
      <c r="L119" s="212"/>
      <c r="M119" s="212"/>
      <c r="N119" s="212"/>
      <c r="O119" s="212"/>
    </row>
    <row r="120" spans="1:22" x14ac:dyDescent="0.2">
      <c r="C120" s="212"/>
      <c r="D120" s="212"/>
      <c r="E120" s="212"/>
      <c r="F120" s="212"/>
      <c r="G120" s="212"/>
      <c r="H120" s="212"/>
      <c r="I120" s="212"/>
      <c r="J120" s="212"/>
      <c r="K120" s="212"/>
      <c r="L120" s="212"/>
      <c r="M120" s="212"/>
      <c r="N120" s="212"/>
      <c r="O120" s="212"/>
    </row>
    <row r="121" spans="1:22" x14ac:dyDescent="0.2">
      <c r="C121" s="212"/>
      <c r="D121" s="212"/>
      <c r="E121" s="212"/>
      <c r="F121" s="212"/>
      <c r="G121" s="212"/>
      <c r="H121" s="212"/>
      <c r="I121" s="212"/>
      <c r="J121" s="212"/>
      <c r="K121" s="212"/>
      <c r="L121" s="212"/>
      <c r="M121" s="212"/>
      <c r="N121" s="212"/>
      <c r="O121" s="212"/>
    </row>
    <row r="122" spans="1:22" x14ac:dyDescent="0.2">
      <c r="C122" s="212"/>
      <c r="D122" s="212"/>
      <c r="E122" s="212"/>
      <c r="F122" s="212"/>
      <c r="G122" s="212"/>
      <c r="H122" s="212"/>
      <c r="I122" s="212"/>
      <c r="J122" s="212"/>
      <c r="K122" s="212"/>
      <c r="L122" s="212"/>
      <c r="M122" s="212"/>
      <c r="N122" s="212"/>
      <c r="O122" s="212"/>
    </row>
    <row r="123" spans="1:22" x14ac:dyDescent="0.2">
      <c r="C123" s="212"/>
      <c r="D123" s="212"/>
      <c r="E123" s="212"/>
      <c r="F123" s="212"/>
      <c r="G123" s="212"/>
      <c r="H123" s="212"/>
      <c r="I123" s="212"/>
      <c r="J123" s="212"/>
      <c r="K123" s="212"/>
      <c r="L123" s="212"/>
      <c r="M123" s="212"/>
      <c r="N123" s="212"/>
      <c r="O123" s="212"/>
    </row>
    <row r="124" spans="1:22" x14ac:dyDescent="0.2">
      <c r="C124" s="212"/>
      <c r="D124" s="212"/>
      <c r="E124" s="212"/>
      <c r="F124" s="212"/>
      <c r="G124" s="212"/>
      <c r="H124" s="212"/>
      <c r="I124" s="212"/>
      <c r="J124" s="212"/>
      <c r="K124" s="212"/>
      <c r="L124" s="212"/>
      <c r="M124" s="212"/>
      <c r="N124" s="212"/>
      <c r="O124" s="212"/>
    </row>
    <row r="125" spans="1:22" x14ac:dyDescent="0.2">
      <c r="C125" s="212"/>
      <c r="D125" s="212"/>
      <c r="E125" s="212"/>
      <c r="F125" s="212"/>
      <c r="G125" s="212"/>
      <c r="H125" s="212"/>
      <c r="I125" s="212"/>
      <c r="J125" s="212"/>
      <c r="K125" s="212"/>
      <c r="L125" s="212"/>
      <c r="M125" s="212"/>
      <c r="N125" s="212"/>
      <c r="O125" s="212"/>
    </row>
    <row r="126" spans="1:22" x14ac:dyDescent="0.2">
      <c r="C126" s="212"/>
      <c r="D126" s="212"/>
      <c r="E126" s="212"/>
      <c r="F126" s="212"/>
      <c r="G126" s="212"/>
      <c r="H126" s="212"/>
      <c r="I126" s="212"/>
      <c r="J126" s="212"/>
      <c r="K126" s="212"/>
      <c r="L126" s="212"/>
      <c r="M126" s="212"/>
      <c r="N126" s="212"/>
      <c r="O126" s="212"/>
    </row>
    <row r="127" spans="1:22" x14ac:dyDescent="0.2">
      <c r="C127" s="212"/>
      <c r="D127" s="212"/>
      <c r="E127" s="212"/>
      <c r="F127" s="212"/>
      <c r="G127" s="212"/>
      <c r="H127" s="212"/>
      <c r="I127" s="212"/>
      <c r="J127" s="212"/>
      <c r="K127" s="212"/>
      <c r="L127" s="212"/>
      <c r="M127" s="212"/>
      <c r="N127" s="212"/>
      <c r="O127" s="212"/>
    </row>
    <row r="128" spans="1:22" x14ac:dyDescent="0.2">
      <c r="C128" s="212"/>
      <c r="D128" s="212"/>
      <c r="E128" s="212"/>
      <c r="F128" s="212"/>
      <c r="G128" s="212"/>
      <c r="H128" s="212"/>
      <c r="I128" s="212"/>
      <c r="J128" s="212"/>
      <c r="K128" s="212"/>
      <c r="L128" s="212"/>
      <c r="M128" s="212"/>
      <c r="N128" s="212"/>
      <c r="O128" s="212"/>
    </row>
    <row r="129" spans="3:3" x14ac:dyDescent="0.2">
      <c r="C129" s="212"/>
    </row>
    <row r="130" spans="3:3" x14ac:dyDescent="0.2">
      <c r="C130" s="212"/>
    </row>
    <row r="131" spans="3:3" x14ac:dyDescent="0.2">
      <c r="C131" s="212"/>
    </row>
    <row r="132" spans="3:3" x14ac:dyDescent="0.2">
      <c r="C132" s="212"/>
    </row>
    <row r="133" spans="3:3" x14ac:dyDescent="0.2">
      <c r="C133" s="212"/>
    </row>
    <row r="134" spans="3:3" x14ac:dyDescent="0.2">
      <c r="C134" s="212"/>
    </row>
    <row r="135" spans="3:3" x14ac:dyDescent="0.2">
      <c r="C135" s="212"/>
    </row>
    <row r="136" spans="3:3" x14ac:dyDescent="0.2">
      <c r="C136" s="212"/>
    </row>
    <row r="137" spans="3:3" x14ac:dyDescent="0.2">
      <c r="C137" s="212"/>
    </row>
    <row r="138" spans="3:3" x14ac:dyDescent="0.2">
      <c r="C138" s="212"/>
    </row>
    <row r="139" spans="3:3" x14ac:dyDescent="0.2">
      <c r="C139" s="212"/>
    </row>
    <row r="140" spans="3:3" x14ac:dyDescent="0.2">
      <c r="C140" s="212"/>
    </row>
    <row r="141" spans="3:3" x14ac:dyDescent="0.2">
      <c r="C141" s="212"/>
    </row>
    <row r="142" spans="3:3" x14ac:dyDescent="0.2">
      <c r="C142" s="212"/>
    </row>
    <row r="143" spans="3:3" x14ac:dyDescent="0.2">
      <c r="C143" s="212"/>
    </row>
    <row r="144" spans="3:3" x14ac:dyDescent="0.2">
      <c r="C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row r="160" spans="3:3" x14ac:dyDescent="0.2">
      <c r="C160" s="212"/>
    </row>
    <row r="161" spans="3:3" x14ac:dyDescent="0.2">
      <c r="C161" s="212"/>
    </row>
    <row r="162" spans="3:3" x14ac:dyDescent="0.2">
      <c r="C162" s="212"/>
    </row>
    <row r="163" spans="3:3" x14ac:dyDescent="0.2">
      <c r="C163" s="212"/>
    </row>
    <row r="164" spans="3:3" x14ac:dyDescent="0.2">
      <c r="C164" s="212"/>
    </row>
    <row r="165" spans="3:3" x14ac:dyDescent="0.2">
      <c r="C165" s="212"/>
    </row>
    <row r="166" spans="3:3" x14ac:dyDescent="0.2">
      <c r="C166" s="212"/>
    </row>
    <row r="167" spans="3:3" x14ac:dyDescent="0.2">
      <c r="C167" s="212"/>
    </row>
    <row r="168" spans="3:3" x14ac:dyDescent="0.2">
      <c r="C168" s="212"/>
    </row>
  </sheetData>
  <phoneticPr fontId="0" type="noConversion"/>
  <hyperlinks>
    <hyperlink ref="A1" location="'Working Budget with funding det'!A1" display="Main " xr:uid="{00000000-0004-0000-1F00-000000000000}"/>
    <hyperlink ref="B1" location="'Table of Contents'!A1" display="TOC" xr:uid="{00000000-0004-0000-1F00-000001000000}"/>
  </hyperlinks>
  <pageMargins left="0.75" right="0.75" top="1" bottom="1" header="0.5" footer="0.5"/>
  <pageSetup scale="92" orientation="landscape" horizontalDpi="300" verticalDpi="300" r:id="rId1"/>
  <headerFooter alignWithMargins="0">
    <oddFooter>&amp;L&amp;D     &amp;T&amp;C&amp;F&amp;R&amp;A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A1:V32"/>
  <sheetViews>
    <sheetView topLeftCell="A7" workbookViewId="0">
      <selection activeCell="P15" sqref="P15"/>
    </sheetView>
  </sheetViews>
  <sheetFormatPr defaultRowHeight="12.75" x14ac:dyDescent="0.2"/>
  <cols>
    <col min="1" max="1" width="8.83203125" style="783"/>
    <col min="2" max="2" width="35.83203125" customWidth="1"/>
    <col min="3" max="3" width="14.33203125" style="1" hidden="1" customWidth="1"/>
    <col min="4" max="8" width="14.33203125" style="106" hidden="1" customWidth="1"/>
    <col min="9" max="12" width="14.33203125" style="76" hidden="1" customWidth="1"/>
    <col min="13" max="15" width="14.33203125" style="76" customWidth="1"/>
    <col min="16" max="22" width="14.33203125" customWidth="1"/>
    <col min="23" max="23" width="14.6640625" customWidth="1"/>
  </cols>
  <sheetData>
    <row r="1" spans="1:22" x14ac:dyDescent="0.2">
      <c r="A1" s="772" t="s">
        <v>847</v>
      </c>
      <c r="B1" s="308" t="s">
        <v>197</v>
      </c>
      <c r="C1" s="23"/>
      <c r="D1" s="23"/>
      <c r="E1" s="23"/>
      <c r="F1" s="23"/>
      <c r="G1" s="23"/>
      <c r="H1" s="23"/>
      <c r="I1" s="23"/>
      <c r="J1" s="23"/>
      <c r="K1" s="23"/>
      <c r="L1" s="23"/>
      <c r="M1" s="23"/>
      <c r="N1" s="23"/>
      <c r="O1" s="23"/>
      <c r="P1" s="4"/>
      <c r="Q1" s="23"/>
      <c r="R1" s="23"/>
      <c r="S1" s="4"/>
      <c r="U1" s="4"/>
      <c r="V1" s="4"/>
    </row>
    <row r="2" spans="1:22" ht="15" x14ac:dyDescent="0.25">
      <c r="A2" s="773" t="s">
        <v>1138</v>
      </c>
      <c r="B2" s="43"/>
      <c r="C2" s="23"/>
      <c r="D2" s="212"/>
      <c r="E2" s="126"/>
      <c r="F2" s="212"/>
      <c r="G2" s="212"/>
      <c r="H2" s="212"/>
      <c r="I2" s="126" t="s">
        <v>816</v>
      </c>
      <c r="J2" s="126"/>
      <c r="K2" s="126"/>
      <c r="L2" s="126"/>
      <c r="M2" s="126"/>
      <c r="N2" s="126"/>
      <c r="O2" s="126"/>
      <c r="P2" s="58" t="s">
        <v>645</v>
      </c>
      <c r="Q2" s="23"/>
      <c r="R2" s="23"/>
      <c r="S2" s="44" t="s">
        <v>1268</v>
      </c>
      <c r="V2" s="4"/>
    </row>
    <row r="3" spans="1:22" ht="13.5" thickBot="1" x14ac:dyDescent="0.25">
      <c r="A3" s="774"/>
      <c r="B3" s="4"/>
      <c r="C3" s="23"/>
      <c r="D3" s="23"/>
      <c r="E3" s="23"/>
      <c r="F3" s="23"/>
      <c r="G3" s="23"/>
      <c r="H3" s="23"/>
      <c r="I3" s="23"/>
      <c r="J3" s="23"/>
      <c r="K3" s="23"/>
      <c r="L3" s="23"/>
      <c r="M3" s="23"/>
      <c r="N3" s="23"/>
      <c r="O3" s="23"/>
      <c r="P3" s="4"/>
      <c r="Q3" s="23"/>
      <c r="R3" s="23"/>
      <c r="S3" s="4"/>
      <c r="V3" s="4"/>
    </row>
    <row r="4" spans="1:22" ht="13.5" thickTop="1" x14ac:dyDescent="0.2">
      <c r="A4" s="775"/>
      <c r="B4" s="542"/>
      <c r="C4" s="114" t="s">
        <v>280</v>
      </c>
      <c r="D4" s="230" t="s">
        <v>280</v>
      </c>
      <c r="E4" s="230" t="s">
        <v>280</v>
      </c>
      <c r="F4" s="104"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2" x14ac:dyDescent="0.2">
      <c r="A5" s="776"/>
      <c r="B5" s="202"/>
      <c r="C5" s="113"/>
      <c r="D5" s="82"/>
      <c r="E5" s="105"/>
      <c r="F5" s="105"/>
      <c r="G5" s="82"/>
      <c r="H5" s="105"/>
      <c r="I5" s="247"/>
      <c r="J5" s="247"/>
      <c r="K5" s="247"/>
      <c r="L5" s="247"/>
      <c r="M5" s="247"/>
      <c r="N5" s="247"/>
      <c r="O5" s="247"/>
      <c r="P5" s="105" t="s">
        <v>819</v>
      </c>
      <c r="Q5" s="83" t="s">
        <v>820</v>
      </c>
      <c r="R5" s="83" t="s">
        <v>821</v>
      </c>
      <c r="S5" s="196" t="s">
        <v>822</v>
      </c>
    </row>
    <row r="6" spans="1:22" x14ac:dyDescent="0.2">
      <c r="A6" s="776"/>
      <c r="B6" s="202"/>
      <c r="C6" s="113"/>
      <c r="D6" s="113"/>
      <c r="E6" s="113"/>
      <c r="F6" s="113"/>
      <c r="G6" s="113"/>
      <c r="H6" s="113"/>
      <c r="I6" s="83"/>
      <c r="J6" s="83"/>
      <c r="K6" s="83"/>
      <c r="L6" s="83"/>
      <c r="M6" s="83"/>
      <c r="N6" s="83"/>
      <c r="O6" s="83"/>
      <c r="P6" s="113"/>
      <c r="Q6" s="83" t="s">
        <v>823</v>
      </c>
      <c r="R6" s="83" t="s">
        <v>585</v>
      </c>
      <c r="S6" s="45" t="s">
        <v>824</v>
      </c>
    </row>
    <row r="7" spans="1:22"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2" ht="13.5" thickTop="1" x14ac:dyDescent="0.2">
      <c r="A8" s="778"/>
      <c r="B8" s="157"/>
      <c r="C8" s="115"/>
      <c r="D8" s="268"/>
      <c r="E8" s="268"/>
      <c r="F8" s="268"/>
      <c r="G8" s="268"/>
      <c r="H8" s="268"/>
      <c r="I8" s="268"/>
      <c r="J8" s="268"/>
      <c r="K8" s="146"/>
      <c r="L8" s="146"/>
      <c r="M8" s="146"/>
      <c r="N8" s="146"/>
      <c r="O8" s="146"/>
      <c r="P8" s="59"/>
      <c r="Q8" s="10"/>
      <c r="R8" s="10"/>
      <c r="S8" s="10"/>
    </row>
    <row r="9" spans="1:22" ht="13.5" thickBot="1" x14ac:dyDescent="0.25">
      <c r="A9" s="779">
        <v>5115</v>
      </c>
      <c r="B9" s="60" t="s">
        <v>1269</v>
      </c>
      <c r="C9" s="117">
        <v>1263.08</v>
      </c>
      <c r="D9" s="15">
        <v>1303.56</v>
      </c>
      <c r="E9" s="15">
        <v>1296.44</v>
      </c>
      <c r="F9" s="15">
        <v>1300</v>
      </c>
      <c r="G9" s="15">
        <v>1500</v>
      </c>
      <c r="H9" s="15">
        <v>1500</v>
      </c>
      <c r="I9" s="270">
        <v>1500</v>
      </c>
      <c r="J9" s="270">
        <v>1575</v>
      </c>
      <c r="K9" s="16">
        <v>1575</v>
      </c>
      <c r="L9" s="270">
        <v>1575</v>
      </c>
      <c r="M9" s="16">
        <v>1575</v>
      </c>
      <c r="N9" s="270">
        <v>1575</v>
      </c>
      <c r="O9" s="16">
        <v>1575</v>
      </c>
      <c r="P9" s="15">
        <v>787.5</v>
      </c>
      <c r="Q9" s="16">
        <v>1575</v>
      </c>
      <c r="R9" s="16"/>
      <c r="S9" s="16"/>
    </row>
    <row r="10" spans="1:22" x14ac:dyDescent="0.2">
      <c r="A10" s="779"/>
      <c r="B10" s="61" t="s">
        <v>828</v>
      </c>
      <c r="C10" s="118">
        <f t="shared" ref="C10:Q10" si="0">SUM(C9:C9)</f>
        <v>1263.08</v>
      </c>
      <c r="D10" s="18">
        <f t="shared" si="0"/>
        <v>1303.56</v>
      </c>
      <c r="E10" s="18">
        <f t="shared" si="0"/>
        <v>1296.44</v>
      </c>
      <c r="F10" s="18">
        <f>SUM(F9)</f>
        <v>1300</v>
      </c>
      <c r="G10" s="18">
        <f>SUM(G9)</f>
        <v>1500</v>
      </c>
      <c r="H10" s="18">
        <f>SUM(H9)</f>
        <v>1500</v>
      </c>
      <c r="I10" s="18">
        <f>SUM(I9:I9)</f>
        <v>1500</v>
      </c>
      <c r="J10" s="18">
        <f>SUM(J9:J9)</f>
        <v>1575</v>
      </c>
      <c r="K10" s="19">
        <f t="shared" ref="K10:O10" si="1">SUM(K9:K9)</f>
        <v>1575</v>
      </c>
      <c r="L10" s="18">
        <f t="shared" si="1"/>
        <v>1575</v>
      </c>
      <c r="M10" s="19">
        <f t="shared" si="1"/>
        <v>1575</v>
      </c>
      <c r="N10" s="18">
        <f t="shared" ref="N10" si="2">SUM(N9:N9)</f>
        <v>1575</v>
      </c>
      <c r="O10" s="19">
        <f t="shared" si="1"/>
        <v>1575</v>
      </c>
      <c r="P10" s="18">
        <f t="shared" si="0"/>
        <v>787.5</v>
      </c>
      <c r="Q10" s="19">
        <f t="shared" si="0"/>
        <v>1575</v>
      </c>
      <c r="R10" s="19"/>
      <c r="S10" s="19">
        <f>SUM(S9:S9)</f>
        <v>0</v>
      </c>
    </row>
    <row r="11" spans="1:22" x14ac:dyDescent="0.2">
      <c r="A11" s="779"/>
      <c r="B11" s="60"/>
      <c r="C11" s="116"/>
      <c r="D11" s="13"/>
      <c r="E11" s="13"/>
      <c r="F11" s="13"/>
      <c r="G11" s="13"/>
      <c r="H11" s="13"/>
      <c r="I11" s="13"/>
      <c r="J11" s="13"/>
      <c r="K11" s="14"/>
      <c r="L11" s="13"/>
      <c r="M11" s="14"/>
      <c r="N11" s="13"/>
      <c r="O11" s="14"/>
      <c r="P11" s="13"/>
      <c r="Q11" s="14"/>
      <c r="R11" s="14"/>
      <c r="S11" s="14"/>
    </row>
    <row r="12" spans="1:22" x14ac:dyDescent="0.2">
      <c r="A12" s="779">
        <v>5253</v>
      </c>
      <c r="B12" s="60" t="s">
        <v>1270</v>
      </c>
      <c r="C12" s="109">
        <f>10479.01-C15</f>
        <v>9389.7999999999993</v>
      </c>
      <c r="D12" s="94">
        <f>10511.14-D15</f>
        <v>10355.199999999999</v>
      </c>
      <c r="E12" s="94">
        <f>11580-E15</f>
        <v>10890</v>
      </c>
      <c r="F12" s="94">
        <v>7472.5</v>
      </c>
      <c r="G12" s="94">
        <v>10320</v>
      </c>
      <c r="H12" s="94">
        <v>14165.8</v>
      </c>
      <c r="I12" s="94">
        <v>14750</v>
      </c>
      <c r="J12" s="94">
        <v>13800</v>
      </c>
      <c r="K12" s="32">
        <v>17000</v>
      </c>
      <c r="L12" s="95">
        <v>17600</v>
      </c>
      <c r="M12" s="32">
        <v>27000</v>
      </c>
      <c r="N12" s="95">
        <v>25927.49</v>
      </c>
      <c r="O12" s="32">
        <v>27000</v>
      </c>
      <c r="P12" s="18">
        <v>16600</v>
      </c>
      <c r="Q12" s="32">
        <v>27000</v>
      </c>
      <c r="R12" s="32"/>
      <c r="S12" s="14"/>
    </row>
    <row r="13" spans="1:22" x14ac:dyDescent="0.2">
      <c r="A13" s="779">
        <v>5344</v>
      </c>
      <c r="B13" s="60" t="s">
        <v>832</v>
      </c>
      <c r="C13" s="228"/>
      <c r="D13" s="35">
        <v>0</v>
      </c>
      <c r="E13" s="35"/>
      <c r="F13" s="35"/>
      <c r="G13" s="35"/>
      <c r="H13" s="35"/>
      <c r="I13" s="35">
        <v>0</v>
      </c>
      <c r="J13" s="35"/>
      <c r="K13" s="36">
        <v>100</v>
      </c>
      <c r="L13" s="28"/>
      <c r="M13" s="36">
        <v>100</v>
      </c>
      <c r="N13" s="28"/>
      <c r="O13" s="36">
        <v>100</v>
      </c>
      <c r="P13" s="18"/>
      <c r="Q13" s="36">
        <v>100</v>
      </c>
      <c r="R13" s="36"/>
      <c r="S13" s="36"/>
    </row>
    <row r="14" spans="1:22" x14ac:dyDescent="0.2">
      <c r="A14" s="779">
        <v>5345</v>
      </c>
      <c r="B14" s="60" t="s">
        <v>863</v>
      </c>
      <c r="C14" s="116"/>
      <c r="D14" s="13">
        <v>0</v>
      </c>
      <c r="E14" s="13"/>
      <c r="F14" s="13">
        <v>119.13</v>
      </c>
      <c r="G14" s="13"/>
      <c r="H14" s="13"/>
      <c r="I14" s="13">
        <v>292.5</v>
      </c>
      <c r="J14" s="13"/>
      <c r="K14" s="14">
        <v>500</v>
      </c>
      <c r="L14" s="13"/>
      <c r="M14" s="14">
        <v>500</v>
      </c>
      <c r="N14" s="13"/>
      <c r="O14" s="14">
        <v>500</v>
      </c>
      <c r="P14" s="13"/>
      <c r="Q14" s="14">
        <v>500</v>
      </c>
      <c r="R14" s="14"/>
      <c r="S14" s="14"/>
    </row>
    <row r="15" spans="1:22" x14ac:dyDescent="0.2">
      <c r="A15" s="796">
        <v>5588</v>
      </c>
      <c r="B15" s="102" t="s">
        <v>1271</v>
      </c>
      <c r="C15" s="116">
        <f>105+14.24+679.98+289.99</f>
        <v>1089.21</v>
      </c>
      <c r="D15" s="13">
        <v>155.94</v>
      </c>
      <c r="E15" s="13">
        <f>240+450</f>
        <v>690</v>
      </c>
      <c r="F15" s="13">
        <v>3849.86</v>
      </c>
      <c r="G15" s="13">
        <v>1811</v>
      </c>
      <c r="H15" s="13">
        <v>930</v>
      </c>
      <c r="I15" s="13">
        <v>418</v>
      </c>
      <c r="J15" s="13">
        <v>250</v>
      </c>
      <c r="K15" s="14">
        <v>1000</v>
      </c>
      <c r="L15" s="13"/>
      <c r="M15" s="14">
        <v>1000</v>
      </c>
      <c r="N15" s="13">
        <v>34.99</v>
      </c>
      <c r="O15" s="14">
        <v>1000</v>
      </c>
      <c r="P15" s="13">
        <v>58.2</v>
      </c>
      <c r="Q15" s="14">
        <v>1000</v>
      </c>
      <c r="R15" s="14"/>
      <c r="S15" s="14"/>
    </row>
    <row r="16" spans="1:22" ht="13.5" thickBot="1" x14ac:dyDescent="0.25">
      <c r="A16" s="796">
        <v>5730</v>
      </c>
      <c r="B16" s="102" t="s">
        <v>837</v>
      </c>
      <c r="C16" s="600">
        <v>75</v>
      </c>
      <c r="D16" s="37">
        <v>75</v>
      </c>
      <c r="E16" s="37">
        <v>75</v>
      </c>
      <c r="F16" s="37">
        <v>85</v>
      </c>
      <c r="G16" s="37">
        <v>85</v>
      </c>
      <c r="H16" s="37">
        <v>85</v>
      </c>
      <c r="I16" s="37">
        <v>85</v>
      </c>
      <c r="J16" s="37">
        <v>85</v>
      </c>
      <c r="K16" s="38">
        <v>110</v>
      </c>
      <c r="L16" s="37">
        <v>85</v>
      </c>
      <c r="M16" s="38">
        <v>110</v>
      </c>
      <c r="N16" s="37">
        <v>85</v>
      </c>
      <c r="O16" s="38">
        <v>110</v>
      </c>
      <c r="P16" s="37"/>
      <c r="Q16" s="38">
        <v>110</v>
      </c>
      <c r="R16" s="38"/>
      <c r="S16" s="38"/>
    </row>
    <row r="17" spans="1:19" x14ac:dyDescent="0.2">
      <c r="A17" s="779"/>
      <c r="B17" s="61" t="s">
        <v>838</v>
      </c>
      <c r="C17" s="118">
        <f t="shared" ref="C17:P17" si="3">SUM(C12:C16)</f>
        <v>10554.009999999998</v>
      </c>
      <c r="D17" s="18">
        <f t="shared" si="3"/>
        <v>10586.14</v>
      </c>
      <c r="E17" s="18">
        <f t="shared" si="3"/>
        <v>11655</v>
      </c>
      <c r="F17" s="18">
        <f>SUM(F12:F16)</f>
        <v>11526.49</v>
      </c>
      <c r="G17" s="18">
        <f>SUM(G12:G16)</f>
        <v>12216</v>
      </c>
      <c r="H17" s="18">
        <f>SUM(H12:H16)</f>
        <v>15180.8</v>
      </c>
      <c r="I17" s="18">
        <f t="shared" si="3"/>
        <v>15545.5</v>
      </c>
      <c r="J17" s="18">
        <f t="shared" ref="J17" si="4">SUM(J12:J16)</f>
        <v>14135</v>
      </c>
      <c r="K17" s="19">
        <f>SUM(K12:K16)</f>
        <v>18710</v>
      </c>
      <c r="L17" s="18">
        <f t="shared" ref="L17:O17" si="5">SUM(L12:L16)</f>
        <v>17685</v>
      </c>
      <c r="M17" s="19">
        <f t="shared" si="5"/>
        <v>28710</v>
      </c>
      <c r="N17" s="18">
        <f t="shared" ref="N17" si="6">SUM(N12:N16)</f>
        <v>26047.480000000003</v>
      </c>
      <c r="O17" s="19">
        <f t="shared" si="5"/>
        <v>28710</v>
      </c>
      <c r="P17" s="18">
        <f t="shared" si="3"/>
        <v>16658.2</v>
      </c>
      <c r="Q17" s="19">
        <f>SUM(Q12:Q16)</f>
        <v>28710</v>
      </c>
      <c r="R17" s="19"/>
      <c r="S17" s="19">
        <f>SUM(S12:S16)</f>
        <v>0</v>
      </c>
    </row>
    <row r="18" spans="1:19" x14ac:dyDescent="0.2">
      <c r="A18" s="779"/>
      <c r="B18" s="60"/>
      <c r="C18" s="116"/>
      <c r="D18" s="13"/>
      <c r="E18" s="13"/>
      <c r="F18" s="13"/>
      <c r="G18" s="13"/>
      <c r="H18" s="13"/>
      <c r="I18" s="13"/>
      <c r="J18" s="13"/>
      <c r="K18" s="14"/>
      <c r="L18" s="13"/>
      <c r="M18" s="14"/>
      <c r="N18" s="13"/>
      <c r="O18" s="14"/>
      <c r="P18" s="13"/>
      <c r="Q18" s="14"/>
      <c r="R18" s="14"/>
      <c r="S18" s="14"/>
    </row>
    <row r="19" spans="1:19" ht="13.5" thickBot="1" x14ac:dyDescent="0.25">
      <c r="A19" s="780"/>
      <c r="B19" s="20" t="s">
        <v>1272</v>
      </c>
      <c r="C19" s="21">
        <f t="shared" ref="C19:P19" si="7">+C17+C10</f>
        <v>11817.089999999998</v>
      </c>
      <c r="D19" s="21">
        <f t="shared" si="7"/>
        <v>11889.699999999999</v>
      </c>
      <c r="E19" s="21">
        <f>+E17+E10</f>
        <v>12951.44</v>
      </c>
      <c r="F19" s="21">
        <f>+F17+F10</f>
        <v>12826.49</v>
      </c>
      <c r="G19" s="21">
        <f>+G17+G10</f>
        <v>13716</v>
      </c>
      <c r="H19" s="21">
        <f>+H17+H10</f>
        <v>16680.8</v>
      </c>
      <c r="I19" s="21">
        <f t="shared" si="7"/>
        <v>17045.5</v>
      </c>
      <c r="J19" s="21">
        <f t="shared" ref="J19" si="8">+J17+J10</f>
        <v>15710</v>
      </c>
      <c r="K19" s="22">
        <f>+K17+K10</f>
        <v>20285</v>
      </c>
      <c r="L19" s="21">
        <f t="shared" ref="L19:O19" si="9">+L17+L10</f>
        <v>19260</v>
      </c>
      <c r="M19" s="22">
        <f t="shared" si="9"/>
        <v>30285</v>
      </c>
      <c r="N19" s="21">
        <f t="shared" ref="N19" si="10">+N17+N10</f>
        <v>27622.480000000003</v>
      </c>
      <c r="O19" s="22">
        <f t="shared" si="9"/>
        <v>30285</v>
      </c>
      <c r="P19" s="21">
        <f t="shared" si="7"/>
        <v>17445.7</v>
      </c>
      <c r="Q19" s="22">
        <f>+Q17+Q10</f>
        <v>30285</v>
      </c>
      <c r="R19" s="22">
        <f>+Q19</f>
        <v>30285</v>
      </c>
      <c r="S19" s="22">
        <f>+Q19</f>
        <v>30285</v>
      </c>
    </row>
    <row r="20" spans="1:19" ht="13.5" thickTop="1" x14ac:dyDescent="0.2">
      <c r="D20" s="212"/>
      <c r="E20" s="212"/>
      <c r="F20" s="212"/>
      <c r="G20" s="212"/>
      <c r="H20" s="212"/>
      <c r="I20" s="220"/>
      <c r="J20" s="220"/>
      <c r="K20" s="220"/>
      <c r="L20" s="220"/>
      <c r="M20" s="220"/>
      <c r="N20" s="220"/>
      <c r="O20" s="220"/>
      <c r="P20" s="199" t="s">
        <v>843</v>
      </c>
      <c r="Q20" s="1116">
        <f>+Q19-O19</f>
        <v>0</v>
      </c>
      <c r="R20" s="1117">
        <f>ROUND((+Q20/O19),4)</f>
        <v>0</v>
      </c>
      <c r="S20" s="23"/>
    </row>
    <row r="21" spans="1:19" ht="13.5" thickBot="1" x14ac:dyDescent="0.25">
      <c r="A21" s="929"/>
      <c r="B21" s="619"/>
      <c r="D21" s="212"/>
      <c r="E21" s="212"/>
      <c r="F21" s="212"/>
      <c r="G21" s="212"/>
      <c r="H21" s="212"/>
      <c r="I21" s="220"/>
      <c r="J21" s="220"/>
      <c r="K21" s="220"/>
      <c r="L21" s="220"/>
      <c r="M21" s="220"/>
      <c r="N21" s="220"/>
      <c r="O21" s="220"/>
      <c r="S21" s="25"/>
    </row>
    <row r="22" spans="1:19" ht="13.5" thickTop="1" x14ac:dyDescent="0.2">
      <c r="A22" s="789"/>
      <c r="B22" s="367"/>
      <c r="C22" s="368" t="s">
        <v>280</v>
      </c>
      <c r="D22" s="369" t="s">
        <v>280</v>
      </c>
      <c r="E22" s="369" t="s">
        <v>280</v>
      </c>
      <c r="F22" s="212"/>
      <c r="G22" s="212"/>
      <c r="H22" s="212"/>
      <c r="I22" s="220"/>
      <c r="J22" s="220"/>
      <c r="K22" s="220"/>
      <c r="L22" s="220"/>
      <c r="M22" s="370" t="s">
        <v>279</v>
      </c>
      <c r="N22" s="371" t="s">
        <v>826</v>
      </c>
      <c r="O22" s="372" t="s">
        <v>840</v>
      </c>
      <c r="P22" s="371" t="s">
        <v>841</v>
      </c>
      <c r="Q22" s="373"/>
      <c r="R22" s="569"/>
      <c r="S22" s="372"/>
    </row>
    <row r="23" spans="1:19" ht="13.5" thickBot="1" x14ac:dyDescent="0.25">
      <c r="A23" s="790" t="s">
        <v>825</v>
      </c>
      <c r="B23" s="374"/>
      <c r="C23" s="375" t="s">
        <v>267</v>
      </c>
      <c r="D23" s="375" t="s">
        <v>268</v>
      </c>
      <c r="E23" s="376" t="s">
        <v>269</v>
      </c>
      <c r="F23" s="212"/>
      <c r="G23" s="212"/>
      <c r="H23" s="212"/>
      <c r="I23" s="220"/>
      <c r="J23" s="220"/>
      <c r="K23" s="220"/>
      <c r="L23" s="220"/>
      <c r="M23" s="377" t="s">
        <v>277</v>
      </c>
      <c r="N23" s="377" t="s">
        <v>571</v>
      </c>
      <c r="O23" s="376" t="s">
        <v>843</v>
      </c>
      <c r="P23" s="378" t="s">
        <v>843</v>
      </c>
      <c r="Q23" s="379" t="s">
        <v>844</v>
      </c>
      <c r="R23" s="570"/>
      <c r="S23" s="377"/>
    </row>
    <row r="24" spans="1:19" ht="13.5" thickTop="1" x14ac:dyDescent="0.2">
      <c r="A24" s="794"/>
      <c r="B24" s="401"/>
      <c r="C24" s="402"/>
      <c r="D24" s="403"/>
      <c r="E24" s="403"/>
      <c r="F24" s="212"/>
      <c r="G24" s="212"/>
      <c r="H24" s="212"/>
      <c r="I24" s="220"/>
      <c r="J24" s="220"/>
      <c r="K24" s="220"/>
      <c r="L24" s="220"/>
      <c r="M24" s="404"/>
      <c r="N24" s="403"/>
      <c r="O24" s="404"/>
      <c r="P24" s="402"/>
      <c r="Q24" s="385"/>
      <c r="R24" s="572"/>
      <c r="S24" s="386"/>
    </row>
    <row r="25" spans="1:19" ht="13.5" thickBot="1" x14ac:dyDescent="0.25">
      <c r="A25" s="795">
        <v>5115</v>
      </c>
      <c r="B25" s="387" t="s">
        <v>1269</v>
      </c>
      <c r="C25" s="389">
        <v>1263.08</v>
      </c>
      <c r="D25" s="389">
        <v>1303.56</v>
      </c>
      <c r="E25" s="389">
        <v>1296.44</v>
      </c>
      <c r="F25" s="212"/>
      <c r="G25" s="212"/>
      <c r="H25" s="212"/>
      <c r="I25" s="220"/>
      <c r="J25" s="220"/>
      <c r="K25" s="220"/>
      <c r="L25" s="220"/>
      <c r="M25" s="390">
        <f>+O9</f>
        <v>1575</v>
      </c>
      <c r="N25" s="411">
        <f>+Q9</f>
        <v>1575</v>
      </c>
      <c r="O25" s="386">
        <f t="shared" ref="O25:O30" si="11">+N25-M25</f>
        <v>0</v>
      </c>
      <c r="P25" s="392" t="str">
        <f t="shared" ref="P25:P30" si="12">IF(M25+N25&lt;&gt;0,IF(M25&lt;&gt;0,IF(O25&lt;&gt;0,ROUND((+O25/M25),4),""),1),"")</f>
        <v/>
      </c>
      <c r="Q25" s="385"/>
      <c r="R25" s="572"/>
      <c r="S25" s="386"/>
    </row>
    <row r="26" spans="1:19" x14ac:dyDescent="0.2">
      <c r="A26" s="795">
        <v>5253</v>
      </c>
      <c r="B26" s="387" t="s">
        <v>1273</v>
      </c>
      <c r="C26" s="398">
        <f>10479.01-C29</f>
        <v>9389.7999999999993</v>
      </c>
      <c r="D26" s="398">
        <f>10511.14-D29</f>
        <v>10355.199999999999</v>
      </c>
      <c r="E26" s="398">
        <f>11580-E29</f>
        <v>10890</v>
      </c>
      <c r="F26" s="212"/>
      <c r="G26" s="212"/>
      <c r="H26" s="212"/>
      <c r="I26" s="220"/>
      <c r="J26" s="220"/>
      <c r="K26" s="220"/>
      <c r="L26" s="220"/>
      <c r="M26" s="385">
        <f>+O12</f>
        <v>27000</v>
      </c>
      <c r="N26" s="411">
        <f>+Q12</f>
        <v>27000</v>
      </c>
      <c r="O26" s="386">
        <f t="shared" si="11"/>
        <v>0</v>
      </c>
      <c r="P26" s="392" t="str">
        <f t="shared" si="12"/>
        <v/>
      </c>
      <c r="Q26" s="385"/>
      <c r="R26" s="572"/>
      <c r="S26" s="386"/>
    </row>
    <row r="27" spans="1:19" x14ac:dyDescent="0.2">
      <c r="A27" s="795">
        <v>5344</v>
      </c>
      <c r="B27" s="387" t="s">
        <v>832</v>
      </c>
      <c r="C27" s="393"/>
      <c r="D27" s="393">
        <v>0</v>
      </c>
      <c r="E27" s="393"/>
      <c r="F27" s="212"/>
      <c r="G27" s="212"/>
      <c r="H27" s="212"/>
      <c r="I27" s="220"/>
      <c r="J27" s="220"/>
      <c r="K27" s="220"/>
      <c r="L27" s="220"/>
      <c r="M27" s="385">
        <f>+O13</f>
        <v>100</v>
      </c>
      <c r="N27" s="411">
        <f>+Q13</f>
        <v>100</v>
      </c>
      <c r="O27" s="386">
        <f t="shared" si="11"/>
        <v>0</v>
      </c>
      <c r="P27" s="392" t="str">
        <f t="shared" si="12"/>
        <v/>
      </c>
      <c r="Q27" s="385"/>
      <c r="R27" s="572"/>
      <c r="S27" s="386"/>
    </row>
    <row r="28" spans="1:19" x14ac:dyDescent="0.2">
      <c r="A28" s="795">
        <v>5345</v>
      </c>
      <c r="B28" s="387" t="s">
        <v>863</v>
      </c>
      <c r="C28" s="391"/>
      <c r="D28" s="391">
        <v>0</v>
      </c>
      <c r="E28" s="391"/>
      <c r="F28" s="212"/>
      <c r="G28" s="212"/>
      <c r="H28" s="212"/>
      <c r="I28" s="220"/>
      <c r="J28" s="220"/>
      <c r="K28" s="220"/>
      <c r="L28" s="220"/>
      <c r="M28" s="385">
        <f>+O14</f>
        <v>500</v>
      </c>
      <c r="N28" s="411">
        <f>+Q14</f>
        <v>500</v>
      </c>
      <c r="O28" s="386">
        <f t="shared" si="11"/>
        <v>0</v>
      </c>
      <c r="P28" s="392" t="str">
        <f t="shared" si="12"/>
        <v/>
      </c>
      <c r="Q28" s="385"/>
      <c r="R28" s="572"/>
      <c r="S28" s="386"/>
    </row>
    <row r="29" spans="1:19" x14ac:dyDescent="0.2">
      <c r="A29" s="797">
        <v>5588</v>
      </c>
      <c r="B29" s="394" t="s">
        <v>1271</v>
      </c>
      <c r="C29" s="391">
        <f>105+14.24+679.98+289.99</f>
        <v>1089.21</v>
      </c>
      <c r="D29" s="391">
        <v>155.94</v>
      </c>
      <c r="E29" s="391">
        <f>240+450</f>
        <v>690</v>
      </c>
      <c r="F29" s="212"/>
      <c r="G29" s="212"/>
      <c r="H29" s="212"/>
      <c r="I29" s="220"/>
      <c r="J29" s="220"/>
      <c r="K29" s="220"/>
      <c r="L29" s="220"/>
      <c r="M29" s="385">
        <f>+O15</f>
        <v>1000</v>
      </c>
      <c r="N29" s="411">
        <f>+Q15</f>
        <v>1000</v>
      </c>
      <c r="O29" s="386">
        <f t="shared" si="11"/>
        <v>0</v>
      </c>
      <c r="P29" s="392" t="str">
        <f t="shared" si="12"/>
        <v/>
      </c>
      <c r="Q29" s="385"/>
      <c r="R29" s="572"/>
      <c r="S29" s="386"/>
    </row>
    <row r="30" spans="1:19" ht="13.5" thickBot="1" x14ac:dyDescent="0.25">
      <c r="A30" s="797">
        <v>5730</v>
      </c>
      <c r="B30" s="394" t="s">
        <v>837</v>
      </c>
      <c r="C30" s="409">
        <v>75</v>
      </c>
      <c r="D30" s="409">
        <v>75</v>
      </c>
      <c r="E30" s="409">
        <v>75</v>
      </c>
      <c r="F30" s="212"/>
      <c r="G30" s="212"/>
      <c r="H30" s="212"/>
      <c r="I30" s="220"/>
      <c r="J30" s="220"/>
      <c r="K30" s="220"/>
      <c r="L30" s="220"/>
      <c r="M30" s="385">
        <f>+O16</f>
        <v>110</v>
      </c>
      <c r="N30" s="411">
        <f>+Q16</f>
        <v>110</v>
      </c>
      <c r="O30" s="386">
        <f t="shared" si="11"/>
        <v>0</v>
      </c>
      <c r="P30" s="392" t="str">
        <f t="shared" si="12"/>
        <v/>
      </c>
      <c r="Q30" s="385"/>
      <c r="R30" s="572"/>
      <c r="S30" s="386"/>
    </row>
    <row r="31" spans="1:19" x14ac:dyDescent="0.2">
      <c r="D31" s="212"/>
      <c r="E31" s="212"/>
      <c r="F31" s="212"/>
      <c r="G31" s="212"/>
      <c r="H31" s="212"/>
      <c r="I31" s="220"/>
      <c r="J31" s="220"/>
      <c r="K31" s="220"/>
      <c r="L31" s="220"/>
      <c r="M31" s="212"/>
      <c r="N31" s="220"/>
      <c r="O31" s="220"/>
    </row>
    <row r="32" spans="1:19" x14ac:dyDescent="0.2">
      <c r="B32" s="4" t="s">
        <v>846</v>
      </c>
      <c r="C32" s="23"/>
      <c r="D32" s="23"/>
      <c r="E32" s="23"/>
      <c r="F32" s="23"/>
      <c r="G32" s="23"/>
      <c r="H32" s="212"/>
      <c r="I32" s="220"/>
      <c r="J32" s="220"/>
      <c r="K32" s="220"/>
      <c r="L32" s="220"/>
      <c r="M32" s="616">
        <f>SUM(M25:M31)</f>
        <v>30285</v>
      </c>
      <c r="N32" s="616">
        <f>SUM(N25:N31)</f>
        <v>30285</v>
      </c>
      <c r="O32" s="25">
        <f>+N32-M32</f>
        <v>0</v>
      </c>
      <c r="P32" s="617" t="str">
        <f>IF(M32+N32&lt;&gt;0,IF(M32&lt;&gt;0,IF(O32&lt;&gt;0,ROUND((+O32/M32),4),""),1),"")</f>
        <v/>
      </c>
    </row>
  </sheetData>
  <phoneticPr fontId="0" type="noConversion"/>
  <hyperlinks>
    <hyperlink ref="A1" location="'Working Budget with funding det'!A1" display="Main " xr:uid="{00000000-0004-0000-2000-000000000000}"/>
    <hyperlink ref="B1" location="'Table of Contents'!A1" display="TOC" xr:uid="{00000000-0004-0000-2000-000001000000}"/>
  </hyperlinks>
  <pageMargins left="0.75" right="0.75" top="1" bottom="1" header="0.5" footer="0.5"/>
  <pageSetup scale="93" orientation="landscape" r:id="rId1"/>
  <headerFooter alignWithMargins="0">
    <oddFooter>&amp;L&amp;D  &amp;T&amp;C&amp;F&amp;R&amp;A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C000"/>
    <pageSetUpPr fitToPage="1"/>
  </sheetPr>
  <dimension ref="A1:W160"/>
  <sheetViews>
    <sheetView workbookViewId="0">
      <selection activeCell="A37" sqref="A37:Q51"/>
    </sheetView>
  </sheetViews>
  <sheetFormatPr defaultRowHeight="12.75" x14ac:dyDescent="0.2"/>
  <cols>
    <col min="1" max="1" width="11.1640625" style="783" bestFit="1" customWidth="1"/>
    <col min="2" max="2" width="36.6640625" customWidth="1"/>
    <col min="3" max="3" width="17.83203125" style="1" hidden="1" customWidth="1"/>
    <col min="4" max="10" width="16.5" style="106" hidden="1" customWidth="1"/>
    <col min="11" max="15" width="16.5" style="106" customWidth="1"/>
    <col min="16" max="16" width="17" customWidth="1"/>
    <col min="17" max="19" width="15.83203125" style="1" customWidth="1"/>
    <col min="20" max="20" width="16.33203125" customWidth="1"/>
    <col min="21" max="21" width="16.83203125" customWidth="1"/>
    <col min="22" max="22" width="17.83203125" customWidth="1"/>
    <col min="23" max="23" width="14.6640625" style="2" customWidth="1"/>
    <col min="24" max="24" width="15.33203125" bestFit="1" customWidth="1"/>
  </cols>
  <sheetData>
    <row r="1" spans="1:22" x14ac:dyDescent="0.2">
      <c r="A1" s="772" t="s">
        <v>847</v>
      </c>
      <c r="B1" s="308" t="s">
        <v>197</v>
      </c>
      <c r="D1" s="212"/>
      <c r="E1" s="212"/>
      <c r="F1" s="212"/>
      <c r="G1" s="212"/>
      <c r="H1" s="212"/>
      <c r="I1" s="212"/>
      <c r="J1" s="212"/>
      <c r="K1" s="212"/>
      <c r="L1" s="212"/>
      <c r="M1" s="212"/>
      <c r="N1" s="212"/>
      <c r="O1" s="212"/>
      <c r="S1"/>
    </row>
    <row r="2" spans="1:22" ht="15" x14ac:dyDescent="0.25">
      <c r="A2" s="773" t="s">
        <v>1274</v>
      </c>
      <c r="B2" s="43"/>
      <c r="D2" s="212"/>
      <c r="E2" s="126"/>
      <c r="F2" s="212"/>
      <c r="G2" s="212"/>
      <c r="H2" s="212"/>
      <c r="I2" s="126" t="s">
        <v>816</v>
      </c>
      <c r="J2" s="126"/>
      <c r="K2" s="126"/>
      <c r="L2" s="126"/>
      <c r="M2" s="126"/>
      <c r="N2" s="126"/>
      <c r="O2" s="126"/>
      <c r="P2" s="58" t="s">
        <v>682</v>
      </c>
      <c r="S2" s="44" t="s">
        <v>1275</v>
      </c>
    </row>
    <row r="3" spans="1:22" ht="13.5" thickBot="1" x14ac:dyDescent="0.25">
      <c r="A3" s="774"/>
      <c r="B3" s="4"/>
      <c r="C3" s="23"/>
      <c r="D3" s="23"/>
      <c r="E3" s="23"/>
      <c r="F3" s="23"/>
      <c r="G3" s="23"/>
      <c r="H3" s="23"/>
      <c r="I3" s="23"/>
      <c r="J3" s="23"/>
      <c r="K3" s="23"/>
      <c r="L3" s="23"/>
      <c r="M3" s="23"/>
      <c r="N3" s="23"/>
      <c r="O3" s="23"/>
      <c r="P3" s="4"/>
      <c r="Q3" s="23"/>
      <c r="R3" s="23"/>
      <c r="S3" s="4"/>
      <c r="V3" s="4"/>
    </row>
    <row r="4" spans="1:22"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2"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2" x14ac:dyDescent="0.2">
      <c r="A6" s="776"/>
      <c r="B6" s="202"/>
      <c r="C6" s="113"/>
      <c r="D6" s="113"/>
      <c r="E6" s="113"/>
      <c r="F6" s="113"/>
      <c r="G6" s="113"/>
      <c r="H6" s="113"/>
      <c r="I6" s="83"/>
      <c r="J6" s="83"/>
      <c r="K6" s="83"/>
      <c r="L6" s="83"/>
      <c r="M6" s="83"/>
      <c r="N6" s="83"/>
      <c r="O6" s="83"/>
      <c r="P6" s="113"/>
      <c r="Q6" s="83" t="s">
        <v>823</v>
      </c>
      <c r="R6" s="83" t="s">
        <v>585</v>
      </c>
      <c r="S6" s="45" t="s">
        <v>824</v>
      </c>
    </row>
    <row r="7" spans="1:22"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2" ht="13.5" thickTop="1" x14ac:dyDescent="0.2">
      <c r="A8" s="796"/>
      <c r="B8" s="203"/>
      <c r="C8" s="118"/>
      <c r="D8" s="18"/>
      <c r="E8" s="18"/>
      <c r="F8" s="18"/>
      <c r="G8" s="18"/>
      <c r="H8" s="18"/>
      <c r="I8" s="19"/>
      <c r="J8" s="19"/>
      <c r="K8" s="19"/>
      <c r="L8" s="19"/>
      <c r="M8" s="19"/>
      <c r="N8" s="19"/>
      <c r="O8" s="19"/>
      <c r="P8" s="18"/>
      <c r="Q8" s="19"/>
      <c r="R8" s="19"/>
      <c r="S8" s="19"/>
    </row>
    <row r="9" spans="1:22" ht="13.5" thickBot="1" x14ac:dyDescent="0.25">
      <c r="A9" s="796">
        <v>5321</v>
      </c>
      <c r="B9" s="60" t="s">
        <v>1276</v>
      </c>
      <c r="C9" s="116">
        <v>737865</v>
      </c>
      <c r="D9" s="128">
        <v>731659</v>
      </c>
      <c r="E9" s="128">
        <v>682601</v>
      </c>
      <c r="F9" s="128">
        <v>760615</v>
      </c>
      <c r="G9" s="128">
        <v>659356</v>
      </c>
      <c r="H9" s="270">
        <v>747340</v>
      </c>
      <c r="I9" s="270">
        <v>974337.89</v>
      </c>
      <c r="J9" s="270">
        <v>1085003.6299999999</v>
      </c>
      <c r="K9" s="16">
        <v>1255456</v>
      </c>
      <c r="L9" s="16">
        <v>1255455.8400000001</v>
      </c>
      <c r="M9" s="16">
        <f>1196460+24545</f>
        <v>1221005</v>
      </c>
      <c r="N9" s="16">
        <v>1221005</v>
      </c>
      <c r="O9" s="16">
        <v>1029566</v>
      </c>
      <c r="P9" s="15">
        <v>527566.41</v>
      </c>
      <c r="Q9" s="16">
        <f>1027844+25174</f>
        <v>1053018</v>
      </c>
      <c r="R9" s="16"/>
      <c r="S9" s="633"/>
    </row>
    <row r="10" spans="1:22" ht="13.5" hidden="1" thickBot="1" x14ac:dyDescent="0.25">
      <c r="A10" s="779"/>
      <c r="B10" s="102" t="s">
        <v>1277</v>
      </c>
      <c r="C10" s="600"/>
      <c r="D10" s="271"/>
      <c r="E10" s="271"/>
      <c r="F10" s="271"/>
      <c r="G10" s="271"/>
      <c r="H10" s="271"/>
      <c r="I10" s="271"/>
      <c r="J10" s="271"/>
      <c r="K10" s="38"/>
      <c r="L10" s="38"/>
      <c r="M10" s="38"/>
      <c r="N10" s="38"/>
      <c r="O10" s="38"/>
      <c r="P10" s="37"/>
      <c r="Q10" s="38"/>
      <c r="R10" s="38"/>
      <c r="S10" s="130"/>
    </row>
    <row r="11" spans="1:22" x14ac:dyDescent="0.2">
      <c r="A11" s="779"/>
      <c r="B11" s="61" t="s">
        <v>1278</v>
      </c>
      <c r="C11" s="118">
        <f t="shared" ref="C11:Q11" si="0">SUM(C9:C10)</f>
        <v>737865</v>
      </c>
      <c r="D11" s="18">
        <f t="shared" si="0"/>
        <v>731659</v>
      </c>
      <c r="E11" s="18">
        <f t="shared" si="0"/>
        <v>682601</v>
      </c>
      <c r="F11" s="18">
        <f>+F9</f>
        <v>760615</v>
      </c>
      <c r="G11" s="18">
        <f>+G9</f>
        <v>659356</v>
      </c>
      <c r="H11" s="18">
        <f>+H9</f>
        <v>747340</v>
      </c>
      <c r="I11" s="18">
        <f t="shared" si="0"/>
        <v>974337.89</v>
      </c>
      <c r="J11" s="18">
        <f t="shared" si="0"/>
        <v>1085003.6299999999</v>
      </c>
      <c r="K11" s="227">
        <f t="shared" ref="K11:O11" si="1">SUM(K9:K10)</f>
        <v>1255456</v>
      </c>
      <c r="L11" s="227">
        <f t="shared" si="1"/>
        <v>1255455.8400000001</v>
      </c>
      <c r="M11" s="227">
        <f t="shared" si="1"/>
        <v>1221005</v>
      </c>
      <c r="N11" s="227">
        <f>+N9</f>
        <v>1221005</v>
      </c>
      <c r="O11" s="227">
        <f t="shared" si="1"/>
        <v>1029566</v>
      </c>
      <c r="P11" s="18">
        <f t="shared" si="0"/>
        <v>527566.41</v>
      </c>
      <c r="Q11" s="227">
        <f t="shared" si="0"/>
        <v>1053018</v>
      </c>
      <c r="R11" s="227">
        <f>+Q11</f>
        <v>1053018</v>
      </c>
      <c r="S11" s="227">
        <f>+Q11</f>
        <v>1053018</v>
      </c>
      <c r="T11" s="508">
        <f>+Q11-K11</f>
        <v>-202438</v>
      </c>
    </row>
    <row r="12" spans="1:22" x14ac:dyDescent="0.2">
      <c r="A12" s="779"/>
      <c r="B12" s="60"/>
      <c r="C12" s="116"/>
      <c r="D12" s="13"/>
      <c r="E12" s="13"/>
      <c r="F12" s="13"/>
      <c r="G12" s="13"/>
      <c r="H12" s="13"/>
      <c r="I12" s="13"/>
      <c r="J12" s="13"/>
      <c r="K12" s="14"/>
      <c r="L12" s="14"/>
      <c r="M12" s="14"/>
      <c r="N12" s="14"/>
      <c r="O12" s="14"/>
      <c r="P12" s="13"/>
      <c r="Q12" s="14"/>
      <c r="R12" s="14"/>
      <c r="S12" s="14"/>
      <c r="T12" s="858">
        <f>+T11/K11</f>
        <v>-0.16124659088012641</v>
      </c>
    </row>
    <row r="13" spans="1:22" ht="13.5" thickBot="1" x14ac:dyDescent="0.25">
      <c r="A13" s="779" t="s">
        <v>1279</v>
      </c>
      <c r="B13" s="60" t="s">
        <v>1280</v>
      </c>
      <c r="C13" s="117">
        <v>7850604</v>
      </c>
      <c r="D13" s="270">
        <v>7965557</v>
      </c>
      <c r="E13" s="270">
        <v>8293458</v>
      </c>
      <c r="F13" s="270">
        <v>8498343</v>
      </c>
      <c r="G13" s="270">
        <v>8852114</v>
      </c>
      <c r="H13" s="270">
        <v>9356560</v>
      </c>
      <c r="I13" s="15">
        <v>9811160</v>
      </c>
      <c r="J13" s="15">
        <v>10229737</v>
      </c>
      <c r="K13" s="16">
        <v>10732268</v>
      </c>
      <c r="L13" s="16">
        <v>10732268</v>
      </c>
      <c r="M13" s="16">
        <v>10950854</v>
      </c>
      <c r="N13" s="16">
        <v>10950854</v>
      </c>
      <c r="O13" s="16">
        <v>11341466</v>
      </c>
      <c r="P13" s="15">
        <v>8506099.5</v>
      </c>
      <c r="Q13" s="16">
        <f>+'Affordable Assessment'!B29</f>
        <v>11809191</v>
      </c>
      <c r="R13" s="16"/>
      <c r="S13" s="1095"/>
      <c r="T13" s="508">
        <f>+Q13-K13</f>
        <v>1076923</v>
      </c>
    </row>
    <row r="14" spans="1:22" x14ac:dyDescent="0.2">
      <c r="A14" s="779"/>
      <c r="B14" s="61" t="s">
        <v>1281</v>
      </c>
      <c r="C14" s="118">
        <f t="shared" ref="C14:Q14" si="2">SUM(C13:C13)</f>
        <v>7850604</v>
      </c>
      <c r="D14" s="18">
        <f t="shared" si="2"/>
        <v>7965557</v>
      </c>
      <c r="E14" s="18">
        <f t="shared" si="2"/>
        <v>8293458</v>
      </c>
      <c r="F14" s="18">
        <f>+F13</f>
        <v>8498343</v>
      </c>
      <c r="G14" s="18">
        <f>+G13</f>
        <v>8852114</v>
      </c>
      <c r="H14" s="18">
        <f>+H13</f>
        <v>9356560</v>
      </c>
      <c r="I14" s="18">
        <f t="shared" si="2"/>
        <v>9811160</v>
      </c>
      <c r="J14" s="18">
        <f t="shared" ref="J14" si="3">SUM(J13:J13)</f>
        <v>10229737</v>
      </c>
      <c r="K14" s="34">
        <f t="shared" ref="K14:O14" si="4">SUM(K13:K13)</f>
        <v>10732268</v>
      </c>
      <c r="L14" s="34">
        <f t="shared" si="4"/>
        <v>10732268</v>
      </c>
      <c r="M14" s="34">
        <f t="shared" si="4"/>
        <v>10950854</v>
      </c>
      <c r="N14" s="34">
        <f>+N13</f>
        <v>10950854</v>
      </c>
      <c r="O14" s="34">
        <f t="shared" si="4"/>
        <v>11341466</v>
      </c>
      <c r="P14" s="18">
        <f t="shared" si="2"/>
        <v>8506099.5</v>
      </c>
      <c r="Q14" s="34">
        <f t="shared" si="2"/>
        <v>11809191</v>
      </c>
      <c r="R14" s="34">
        <f>+Q14</f>
        <v>11809191</v>
      </c>
      <c r="S14" s="34">
        <f>+Q14</f>
        <v>11809191</v>
      </c>
      <c r="T14" s="307">
        <f>+T13/K13</f>
        <v>0.10034440064299549</v>
      </c>
    </row>
    <row r="15" spans="1:22" hidden="1" x14ac:dyDescent="0.2">
      <c r="A15" s="779"/>
      <c r="B15" s="60"/>
      <c r="C15" s="116"/>
      <c r="D15" s="13"/>
      <c r="E15" s="13"/>
      <c r="F15" s="13"/>
      <c r="G15" s="13"/>
      <c r="H15" s="13"/>
      <c r="I15" s="13"/>
      <c r="J15" s="13"/>
      <c r="K15" s="14"/>
      <c r="L15" s="14"/>
      <c r="M15" s="14"/>
      <c r="N15" s="14"/>
      <c r="O15" s="14"/>
      <c r="P15" s="13"/>
      <c r="Q15" s="14"/>
      <c r="R15" s="14"/>
      <c r="S15" s="14"/>
    </row>
    <row r="16" spans="1:22" hidden="1" x14ac:dyDescent="0.2">
      <c r="A16" s="779">
        <v>5325</v>
      </c>
      <c r="B16" s="60" t="s">
        <v>1282</v>
      </c>
      <c r="C16" s="116"/>
      <c r="D16" s="13"/>
      <c r="E16" s="13"/>
      <c r="F16" s="13"/>
      <c r="G16" s="13"/>
      <c r="H16" s="13"/>
      <c r="I16" s="13"/>
      <c r="J16" s="13"/>
      <c r="K16" s="14"/>
      <c r="L16" s="14"/>
      <c r="M16" s="14"/>
      <c r="N16" s="14"/>
      <c r="O16" s="14"/>
      <c r="P16" s="13"/>
      <c r="Q16" s="14"/>
      <c r="R16" s="14"/>
      <c r="S16" s="14"/>
    </row>
    <row r="17" spans="1:23" hidden="1" x14ac:dyDescent="0.2">
      <c r="A17" s="779"/>
      <c r="B17" s="60"/>
      <c r="C17" s="116"/>
      <c r="D17" s="13"/>
      <c r="E17" s="13"/>
      <c r="F17" s="13"/>
      <c r="G17" s="13"/>
      <c r="H17" s="13"/>
      <c r="I17" s="13"/>
      <c r="J17" s="13"/>
      <c r="K17" s="14"/>
      <c r="L17" s="14"/>
      <c r="M17" s="14"/>
      <c r="N17" s="14"/>
      <c r="O17" s="14"/>
      <c r="P17" s="13"/>
      <c r="Q17" s="14"/>
      <c r="R17" s="14"/>
      <c r="S17" s="14"/>
    </row>
    <row r="18" spans="1:23" x14ac:dyDescent="0.2">
      <c r="A18" s="779"/>
      <c r="B18" s="60"/>
      <c r="C18" s="116"/>
      <c r="D18" s="13"/>
      <c r="E18" s="13"/>
      <c r="F18" s="13"/>
      <c r="G18" s="13"/>
      <c r="H18" s="13"/>
      <c r="I18" s="13"/>
      <c r="J18" s="13"/>
      <c r="K18" s="14"/>
      <c r="L18" s="14"/>
      <c r="M18" s="14"/>
      <c r="N18" s="14"/>
      <c r="O18" s="14"/>
      <c r="P18" s="13"/>
      <c r="Q18" s="14"/>
      <c r="R18" s="14"/>
      <c r="S18" s="14"/>
    </row>
    <row r="19" spans="1:23" ht="13.5" thickBot="1" x14ac:dyDescent="0.25">
      <c r="A19" s="780"/>
      <c r="B19" s="20" t="s">
        <v>684</v>
      </c>
      <c r="C19" s="21">
        <f t="shared" ref="C19:Q19" si="5">+C14+C11+C16</f>
        <v>8588469</v>
      </c>
      <c r="D19" s="21">
        <f t="shared" si="5"/>
        <v>8697216</v>
      </c>
      <c r="E19" s="21">
        <f>+E14+E11+E16</f>
        <v>8976059</v>
      </c>
      <c r="F19" s="21">
        <f>+F14+F11</f>
        <v>9258958</v>
      </c>
      <c r="G19" s="21">
        <f>+G14+G11</f>
        <v>9511470</v>
      </c>
      <c r="H19" s="21">
        <f>+H14+H11</f>
        <v>10103900</v>
      </c>
      <c r="I19" s="21">
        <f>+I14+I11+I16</f>
        <v>10785497.890000001</v>
      </c>
      <c r="J19" s="21">
        <f>+J14+J11+J16</f>
        <v>11314740.629999999</v>
      </c>
      <c r="K19" s="22">
        <f t="shared" ref="K19:O19" si="6">+K14+K11+K16</f>
        <v>11987724</v>
      </c>
      <c r="L19" s="22">
        <f t="shared" si="6"/>
        <v>11987723.84</v>
      </c>
      <c r="M19" s="22">
        <f t="shared" si="6"/>
        <v>12171859</v>
      </c>
      <c r="N19" s="22">
        <f>+N14+N11</f>
        <v>12171859</v>
      </c>
      <c r="O19" s="22">
        <f t="shared" si="6"/>
        <v>12371032</v>
      </c>
      <c r="P19" s="21">
        <f t="shared" si="5"/>
        <v>9033665.9100000001</v>
      </c>
      <c r="Q19" s="22">
        <f t="shared" si="5"/>
        <v>12862209</v>
      </c>
      <c r="R19" s="22">
        <f>+Q19</f>
        <v>12862209</v>
      </c>
      <c r="S19" s="22">
        <f>+Q19</f>
        <v>12862209</v>
      </c>
    </row>
    <row r="20" spans="1:23" ht="13.5" thickTop="1" x14ac:dyDescent="0.2">
      <c r="A20" s="774"/>
      <c r="B20" s="4"/>
      <c r="C20" s="24"/>
      <c r="D20" s="24"/>
      <c r="E20" s="24"/>
      <c r="F20" s="24"/>
      <c r="G20" s="24"/>
      <c r="H20" s="24"/>
      <c r="I20" s="24"/>
      <c r="J20" s="24"/>
      <c r="K20" s="24"/>
      <c r="L20" s="24"/>
      <c r="M20" s="24"/>
      <c r="N20" s="24"/>
      <c r="O20" s="24"/>
      <c r="P20" s="199" t="s">
        <v>843</v>
      </c>
      <c r="Q20" s="1116">
        <f>+Q19-O19</f>
        <v>491177</v>
      </c>
      <c r="R20" s="1117">
        <f>ROUND((+Q20/O19),4)</f>
        <v>3.9699999999999999E-2</v>
      </c>
      <c r="S20" s="25"/>
      <c r="U20" s="25"/>
      <c r="V20" s="25"/>
    </row>
    <row r="21" spans="1:23" x14ac:dyDescent="0.2">
      <c r="A21" s="54"/>
      <c r="B21" s="4"/>
      <c r="C21" s="24"/>
      <c r="D21" s="24"/>
      <c r="E21" s="24"/>
      <c r="F21" s="24"/>
      <c r="G21" s="24"/>
      <c r="H21" s="24"/>
      <c r="I21" s="24"/>
      <c r="J21" s="24"/>
      <c r="K21" s="24"/>
      <c r="L21" s="24"/>
      <c r="M21" s="24"/>
      <c r="N21" s="24"/>
      <c r="O21" s="24"/>
      <c r="P21" s="25"/>
      <c r="Q21" s="277"/>
      <c r="R21" s="277"/>
      <c r="S21" s="567"/>
      <c r="U21" s="25"/>
      <c r="V21" s="25"/>
    </row>
    <row r="22" spans="1:23" x14ac:dyDescent="0.2">
      <c r="A22" s="54">
        <v>44984</v>
      </c>
      <c r="B22" s="4" t="s">
        <v>2488</v>
      </c>
      <c r="C22" s="24"/>
      <c r="D22" s="24"/>
      <c r="E22" s="24"/>
      <c r="F22" s="24"/>
      <c r="G22" s="24"/>
      <c r="H22" s="24"/>
      <c r="I22" s="24"/>
      <c r="J22" s="24"/>
      <c r="K22" s="24"/>
      <c r="L22" s="24"/>
      <c r="M22" s="24"/>
      <c r="N22" s="24"/>
      <c r="O22" s="24"/>
      <c r="P22" s="25"/>
      <c r="Q22" s="24"/>
      <c r="R22" s="24"/>
      <c r="S22" s="25"/>
      <c r="U22" s="25"/>
      <c r="V22" s="25"/>
    </row>
    <row r="23" spans="1:23" x14ac:dyDescent="0.2">
      <c r="A23" s="54">
        <v>44985</v>
      </c>
      <c r="B23" s="4" t="s">
        <v>2494</v>
      </c>
      <c r="C23" s="24"/>
      <c r="D23" s="24"/>
      <c r="E23" s="24"/>
      <c r="F23" s="24"/>
      <c r="G23" s="24"/>
      <c r="H23" s="24"/>
      <c r="I23" s="24"/>
      <c r="J23" s="24"/>
      <c r="K23" s="24"/>
      <c r="L23" s="24"/>
      <c r="M23" s="24"/>
      <c r="N23" s="24"/>
      <c r="O23" s="24"/>
      <c r="P23" s="25"/>
      <c r="Q23" s="24"/>
      <c r="R23" s="24"/>
      <c r="S23" s="25"/>
      <c r="U23" s="25"/>
      <c r="V23" s="25"/>
    </row>
    <row r="24" spans="1:23" x14ac:dyDescent="0.2">
      <c r="A24" s="54"/>
      <c r="B24" s="4" t="s">
        <v>2489</v>
      </c>
      <c r="C24" s="24"/>
      <c r="D24" s="24"/>
      <c r="E24" s="24"/>
      <c r="F24" s="24"/>
      <c r="G24" s="24"/>
      <c r="H24" s="24"/>
      <c r="I24" s="24"/>
      <c r="J24" s="24"/>
      <c r="K24" s="24"/>
      <c r="L24" s="24"/>
      <c r="M24" s="24"/>
      <c r="N24" s="24"/>
      <c r="O24" s="24"/>
      <c r="P24" s="25"/>
      <c r="Q24" s="24"/>
      <c r="R24" s="24"/>
      <c r="S24" s="24"/>
      <c r="T24" s="25"/>
      <c r="U24" s="25"/>
      <c r="V24" s="25"/>
    </row>
    <row r="25" spans="1:23" x14ac:dyDescent="0.2">
      <c r="A25" s="54"/>
      <c r="B25" s="4"/>
      <c r="C25" s="24"/>
      <c r="D25" s="24"/>
      <c r="E25" s="24"/>
      <c r="F25" s="24"/>
      <c r="G25" s="24"/>
      <c r="H25" s="24"/>
      <c r="I25" s="24"/>
      <c r="J25" s="24"/>
      <c r="K25" s="24"/>
      <c r="L25" s="24"/>
      <c r="M25" s="24"/>
      <c r="N25" s="24"/>
      <c r="O25" s="24"/>
      <c r="P25" s="25"/>
      <c r="Q25" s="24"/>
      <c r="R25" s="24"/>
      <c r="S25" s="24"/>
      <c r="T25" s="25"/>
      <c r="U25" s="25"/>
      <c r="V25" s="25"/>
    </row>
    <row r="26" spans="1:23" x14ac:dyDescent="0.2">
      <c r="A26" s="54"/>
      <c r="B26" s="4"/>
      <c r="C26" s="24"/>
      <c r="D26" s="24"/>
      <c r="E26" s="24"/>
      <c r="F26" s="24"/>
      <c r="G26" s="24"/>
      <c r="H26" s="24"/>
      <c r="I26" s="24"/>
      <c r="J26" s="24"/>
      <c r="K26" s="24"/>
      <c r="L26" s="24"/>
      <c r="M26" s="24"/>
      <c r="N26" s="24"/>
      <c r="O26" s="24"/>
      <c r="P26" s="25"/>
      <c r="Q26" s="24"/>
      <c r="R26" s="24"/>
      <c r="S26" s="24"/>
      <c r="T26" s="25"/>
      <c r="U26" s="25"/>
      <c r="V26" s="25"/>
    </row>
    <row r="27" spans="1:23" s="312" customFormat="1" ht="15.75" x14ac:dyDescent="0.25">
      <c r="A27" s="830" t="s">
        <v>1283</v>
      </c>
      <c r="B27" s="350"/>
      <c r="C27" s="351"/>
      <c r="D27" s="351"/>
      <c r="E27" s="351"/>
      <c r="F27" s="351"/>
      <c r="G27" s="351"/>
      <c r="H27" s="351"/>
      <c r="I27" s="351"/>
      <c r="J27" s="351"/>
      <c r="K27" s="351"/>
      <c r="L27" s="351"/>
      <c r="M27" s="351"/>
      <c r="N27" s="351"/>
      <c r="O27" s="351"/>
      <c r="P27" s="350"/>
      <c r="Q27" s="351"/>
      <c r="R27" s="351"/>
      <c r="S27" s="313"/>
      <c r="W27" s="314"/>
    </row>
    <row r="28" spans="1:23" s="312" customFormat="1" ht="15.75" x14ac:dyDescent="0.25">
      <c r="A28" s="830" t="s">
        <v>1284</v>
      </c>
      <c r="B28" s="350"/>
      <c r="C28" s="351"/>
      <c r="D28" s="351"/>
      <c r="E28" s="351"/>
      <c r="F28" s="351"/>
      <c r="G28" s="351"/>
      <c r="H28" s="351"/>
      <c r="I28" s="351"/>
      <c r="J28" s="351"/>
      <c r="K28" s="351"/>
      <c r="L28" s="351"/>
      <c r="M28" s="351"/>
      <c r="N28" s="351"/>
      <c r="O28" s="351"/>
      <c r="P28" s="350"/>
      <c r="Q28" s="351"/>
      <c r="R28" s="351"/>
      <c r="S28" s="313"/>
      <c r="W28" s="314"/>
    </row>
    <row r="29" spans="1:23" s="312" customFormat="1" ht="15.75" x14ac:dyDescent="0.25">
      <c r="A29" s="830"/>
      <c r="B29" s="350" t="s">
        <v>2374</v>
      </c>
      <c r="C29" s="351"/>
      <c r="D29" s="351"/>
      <c r="E29" s="351"/>
      <c r="F29" s="351"/>
      <c r="G29" s="351"/>
      <c r="H29" s="351"/>
      <c r="I29" s="351"/>
      <c r="J29" s="351"/>
      <c r="K29" s="351"/>
      <c r="L29" s="351"/>
      <c r="M29" s="351"/>
      <c r="N29" s="351"/>
      <c r="O29" s="351"/>
      <c r="P29" s="350"/>
      <c r="Q29" s="351"/>
      <c r="R29" s="351"/>
      <c r="S29" s="313"/>
      <c r="W29" s="314"/>
    </row>
    <row r="30" spans="1:23" s="312" customFormat="1" ht="15.75" x14ac:dyDescent="0.25">
      <c r="A30" s="830"/>
      <c r="B30" s="1151" t="s">
        <v>2495</v>
      </c>
      <c r="C30" s="1152"/>
      <c r="D30" s="1152"/>
      <c r="E30" s="1152"/>
      <c r="F30" s="1152"/>
      <c r="G30" s="1152"/>
      <c r="H30" s="1152"/>
      <c r="I30" s="1152"/>
      <c r="J30" s="1152"/>
      <c r="K30" s="1152"/>
      <c r="L30" s="1152"/>
      <c r="M30" s="351"/>
      <c r="N30" s="351"/>
      <c r="O30" s="351"/>
      <c r="P30" s="350"/>
      <c r="Q30" s="351"/>
      <c r="R30" s="351"/>
      <c r="S30" s="313"/>
      <c r="W30" s="314"/>
    </row>
    <row r="31" spans="1:23" s="312" customFormat="1" ht="15.75" x14ac:dyDescent="0.25">
      <c r="A31" s="830"/>
      <c r="B31" s="350" t="s">
        <v>2496</v>
      </c>
      <c r="C31" s="351"/>
      <c r="D31" s="351"/>
      <c r="E31" s="351"/>
      <c r="F31" s="351"/>
      <c r="G31" s="351"/>
      <c r="H31" s="351"/>
      <c r="I31" s="351"/>
      <c r="J31" s="351"/>
      <c r="K31" s="351"/>
      <c r="L31" s="351"/>
      <c r="M31" s="351"/>
      <c r="N31" s="351"/>
      <c r="O31" s="351"/>
      <c r="P31" s="350"/>
      <c r="Q31" s="351"/>
      <c r="R31" s="351"/>
      <c r="S31" s="313"/>
      <c r="W31" s="314"/>
    </row>
    <row r="32" spans="1:23" s="312" customFormat="1" ht="15.75" x14ac:dyDescent="0.25">
      <c r="A32" s="830"/>
      <c r="B32" s="350" t="s">
        <v>2497</v>
      </c>
      <c r="C32" s="351"/>
      <c r="D32" s="351"/>
      <c r="E32" s="351"/>
      <c r="F32" s="351"/>
      <c r="G32" s="351"/>
      <c r="H32" s="351"/>
      <c r="I32" s="351"/>
      <c r="J32" s="351"/>
      <c r="K32" s="351"/>
      <c r="L32" s="351"/>
      <c r="M32" s="351"/>
      <c r="N32" s="351"/>
      <c r="O32" s="351"/>
      <c r="P32" s="350"/>
      <c r="Q32" s="351"/>
      <c r="R32" s="351"/>
      <c r="S32" s="313"/>
      <c r="W32" s="314"/>
    </row>
    <row r="33" spans="1:23" s="312" customFormat="1" ht="15.75" x14ac:dyDescent="0.25">
      <c r="A33" s="831">
        <v>44909</v>
      </c>
      <c r="B33" s="312" t="s">
        <v>2371</v>
      </c>
      <c r="C33" s="313"/>
      <c r="D33" s="313"/>
      <c r="E33" s="313"/>
      <c r="F33" s="313"/>
      <c r="G33" s="313"/>
      <c r="H33" s="313"/>
      <c r="I33" s="313"/>
      <c r="J33" s="313"/>
      <c r="K33" s="313"/>
      <c r="L33" s="313"/>
      <c r="M33" s="313"/>
      <c r="N33" s="313"/>
      <c r="O33" s="313"/>
      <c r="Q33" s="313"/>
      <c r="R33" s="313"/>
      <c r="S33" s="313"/>
      <c r="W33" s="314"/>
    </row>
    <row r="34" spans="1:23" s="312" customFormat="1" ht="15.75" x14ac:dyDescent="0.25">
      <c r="A34" s="813"/>
      <c r="C34" s="313"/>
      <c r="D34" s="313"/>
      <c r="E34" s="313"/>
      <c r="F34" s="313"/>
      <c r="G34" s="313"/>
      <c r="H34" s="313"/>
      <c r="I34" s="313"/>
      <c r="J34" s="313"/>
      <c r="K34" s="313"/>
      <c r="L34" s="313"/>
      <c r="M34" s="313"/>
      <c r="N34" s="313"/>
      <c r="O34" s="313"/>
      <c r="Q34" s="313"/>
      <c r="R34" s="313"/>
      <c r="S34" s="313"/>
      <c r="W34" s="314"/>
    </row>
    <row r="35" spans="1:23" s="312" customFormat="1" ht="15.75" x14ac:dyDescent="0.25">
      <c r="A35" s="813"/>
      <c r="C35" s="313"/>
      <c r="D35" s="313"/>
      <c r="E35" s="313"/>
      <c r="F35" s="313"/>
      <c r="G35" s="313"/>
      <c r="H35" s="313"/>
      <c r="I35" s="313"/>
      <c r="J35" s="313"/>
      <c r="K35" s="313"/>
      <c r="L35" s="313"/>
      <c r="M35" s="313"/>
      <c r="N35" s="313"/>
      <c r="O35" s="313"/>
      <c r="Q35" s="313"/>
      <c r="R35" s="313"/>
      <c r="S35" s="313"/>
      <c r="W35" s="314"/>
    </row>
    <row r="36" spans="1:23" s="312" customFormat="1" ht="15.75" x14ac:dyDescent="0.25">
      <c r="A36" s="813"/>
      <c r="C36" s="313"/>
      <c r="D36" s="313"/>
      <c r="E36" s="313"/>
      <c r="F36" s="313"/>
      <c r="G36" s="313"/>
      <c r="H36" s="313"/>
      <c r="I36" s="313"/>
      <c r="J36" s="313"/>
      <c r="K36" s="313"/>
      <c r="L36" s="313"/>
      <c r="M36" s="313"/>
      <c r="N36" s="313"/>
      <c r="O36" s="313"/>
      <c r="Q36" s="313"/>
      <c r="R36" s="313"/>
      <c r="S36" s="313"/>
      <c r="W36" s="314"/>
    </row>
    <row r="37" spans="1:23" s="312" customFormat="1" ht="15.75" x14ac:dyDescent="0.25">
      <c r="A37" s="813"/>
      <c r="C37" s="313"/>
      <c r="D37" s="313"/>
      <c r="E37" s="313"/>
      <c r="F37" s="313"/>
      <c r="G37" s="313"/>
      <c r="I37" s="313"/>
      <c r="J37" s="313"/>
      <c r="K37" s="313"/>
      <c r="L37" s="313"/>
      <c r="M37" s="313"/>
      <c r="N37" s="313"/>
      <c r="O37" s="313"/>
      <c r="Q37" s="313"/>
      <c r="R37" s="313"/>
      <c r="S37" s="313"/>
      <c r="W37" s="314"/>
    </row>
    <row r="38" spans="1:23" s="312" customFormat="1" ht="15.75" x14ac:dyDescent="0.25">
      <c r="A38" s="813"/>
      <c r="C38" s="313"/>
      <c r="D38" s="313"/>
      <c r="E38" s="313"/>
      <c r="F38" s="313"/>
      <c r="G38" s="313"/>
      <c r="I38" s="313"/>
      <c r="J38" s="313"/>
      <c r="K38" s="313"/>
      <c r="L38" s="313"/>
      <c r="M38" s="313"/>
      <c r="N38" s="313"/>
      <c r="O38" s="313"/>
      <c r="Q38" s="313"/>
      <c r="R38" s="313"/>
      <c r="S38" s="313"/>
      <c r="W38" s="314"/>
    </row>
    <row r="39" spans="1:23" s="312" customFormat="1" ht="15.75" x14ac:dyDescent="0.25">
      <c r="A39" s="813"/>
      <c r="C39" s="313"/>
      <c r="D39" s="313"/>
      <c r="E39" s="313"/>
      <c r="F39" s="313"/>
      <c r="G39" s="313"/>
      <c r="I39" s="313"/>
      <c r="J39" s="313"/>
      <c r="K39" s="313"/>
      <c r="L39" s="313"/>
      <c r="M39" s="313"/>
      <c r="N39" s="313"/>
      <c r="O39" s="313"/>
      <c r="Q39" s="313"/>
      <c r="R39" s="313"/>
      <c r="S39" s="313"/>
      <c r="W39" s="314"/>
    </row>
    <row r="40" spans="1:23" s="312" customFormat="1" ht="15.75" x14ac:dyDescent="0.25">
      <c r="A40" s="813"/>
      <c r="C40" s="313"/>
      <c r="D40" s="313"/>
      <c r="E40" s="313"/>
      <c r="F40" s="313"/>
      <c r="G40" s="313"/>
      <c r="I40" s="313"/>
      <c r="J40" s="313"/>
      <c r="K40" s="313"/>
      <c r="L40" s="313"/>
      <c r="M40" s="313"/>
      <c r="N40" s="313"/>
      <c r="O40" s="313"/>
      <c r="Q40" s="313"/>
      <c r="R40" s="313"/>
      <c r="S40" s="313"/>
      <c r="W40" s="314"/>
    </row>
    <row r="41" spans="1:23" s="312" customFormat="1" ht="15.75" x14ac:dyDescent="0.25">
      <c r="A41" s="813"/>
      <c r="C41" s="313"/>
      <c r="D41" s="313"/>
      <c r="E41" s="313"/>
      <c r="F41" s="313"/>
      <c r="G41" s="313"/>
      <c r="I41" s="313"/>
      <c r="J41" s="313"/>
      <c r="K41" s="313"/>
      <c r="L41" s="313"/>
      <c r="M41" s="313"/>
      <c r="N41" s="313"/>
      <c r="O41" s="313"/>
      <c r="Q41" s="313"/>
      <c r="R41" s="313"/>
      <c r="S41" s="313"/>
      <c r="W41" s="314"/>
    </row>
    <row r="42" spans="1:23" s="312" customFormat="1" ht="15.75" x14ac:dyDescent="0.25">
      <c r="A42" s="813"/>
      <c r="C42" s="313"/>
      <c r="D42" s="313"/>
      <c r="E42" s="313"/>
      <c r="F42" s="313"/>
      <c r="G42" s="313"/>
      <c r="I42" s="313"/>
      <c r="J42" s="313"/>
      <c r="K42" s="313"/>
      <c r="L42" s="313"/>
      <c r="M42" s="313"/>
      <c r="N42" s="313"/>
      <c r="O42" s="313"/>
      <c r="Q42" s="313"/>
      <c r="R42" s="313"/>
      <c r="S42" s="313"/>
      <c r="W42" s="314"/>
    </row>
    <row r="43" spans="1:23" s="312" customFormat="1" ht="15.75" x14ac:dyDescent="0.25">
      <c r="A43" s="813"/>
      <c r="C43" s="313"/>
      <c r="D43" s="313"/>
      <c r="E43" s="313"/>
      <c r="F43" s="313"/>
      <c r="G43" s="313"/>
      <c r="I43" s="313"/>
      <c r="J43" s="313"/>
      <c r="K43" s="313"/>
      <c r="L43" s="313"/>
      <c r="M43" s="313"/>
      <c r="N43" s="313"/>
      <c r="O43" s="313"/>
      <c r="Q43" s="313"/>
      <c r="R43" s="313"/>
      <c r="S43" s="313"/>
      <c r="W43" s="314"/>
    </row>
    <row r="44" spans="1:23" s="312" customFormat="1" ht="15.75" x14ac:dyDescent="0.25">
      <c r="A44" s="813"/>
      <c r="C44" s="313"/>
      <c r="D44" s="313"/>
      <c r="E44" s="313"/>
      <c r="F44" s="313"/>
      <c r="G44" s="313"/>
      <c r="I44" s="313"/>
      <c r="J44" s="313"/>
      <c r="K44" s="313"/>
      <c r="L44" s="313"/>
      <c r="M44" s="313"/>
      <c r="N44" s="313"/>
      <c r="O44" s="313"/>
      <c r="Q44" s="313"/>
      <c r="R44" s="313"/>
      <c r="S44" s="313"/>
      <c r="W44" s="314"/>
    </row>
    <row r="45" spans="1:23" s="312" customFormat="1" ht="15.75" x14ac:dyDescent="0.25">
      <c r="A45" s="813"/>
      <c r="C45" s="313"/>
      <c r="D45" s="313"/>
      <c r="E45" s="313"/>
      <c r="F45" s="313"/>
      <c r="G45" s="313"/>
      <c r="H45" s="313"/>
      <c r="I45" s="313"/>
      <c r="J45" s="313"/>
      <c r="K45" s="313"/>
      <c r="L45" s="313"/>
      <c r="M45" s="313"/>
      <c r="N45" s="313"/>
      <c r="O45" s="313"/>
      <c r="Q45" s="313"/>
      <c r="R45" s="313"/>
      <c r="S45" s="313"/>
      <c r="W45" s="314"/>
    </row>
    <row r="46" spans="1:23" s="312" customFormat="1" ht="15.75" x14ac:dyDescent="0.25">
      <c r="A46" s="813"/>
      <c r="C46" s="313"/>
      <c r="D46" s="313"/>
      <c r="E46" s="313"/>
      <c r="F46" s="313"/>
      <c r="G46" s="313"/>
      <c r="H46" s="313"/>
      <c r="I46" s="313"/>
      <c r="J46" s="313"/>
      <c r="K46" s="313"/>
      <c r="L46" s="313"/>
      <c r="M46" s="313"/>
      <c r="N46" s="313"/>
      <c r="O46" s="313"/>
      <c r="Q46" s="313"/>
      <c r="R46" s="313"/>
      <c r="S46" s="313"/>
      <c r="W46" s="314"/>
    </row>
    <row r="47" spans="1:23" s="312" customFormat="1" ht="15.75" x14ac:dyDescent="0.25">
      <c r="A47" s="813"/>
      <c r="C47" s="313"/>
      <c r="D47" s="313"/>
      <c r="E47" s="313"/>
      <c r="F47" s="313"/>
      <c r="G47" s="313"/>
      <c r="H47" s="313"/>
      <c r="I47" s="313"/>
      <c r="J47" s="313"/>
      <c r="K47" s="574"/>
      <c r="L47" s="574"/>
      <c r="M47" s="574"/>
      <c r="N47" s="574"/>
      <c r="O47" s="574"/>
      <c r="Q47" s="313"/>
      <c r="R47" s="313"/>
      <c r="S47" s="313"/>
      <c r="W47" s="314"/>
    </row>
    <row r="48" spans="1:23" s="312" customFormat="1" ht="15.75" x14ac:dyDescent="0.25">
      <c r="A48" s="813"/>
      <c r="C48" s="313"/>
      <c r="D48" s="313"/>
      <c r="E48" s="313"/>
      <c r="F48" s="313"/>
      <c r="G48" s="313"/>
      <c r="H48" s="313"/>
      <c r="I48" s="313"/>
      <c r="J48" s="313"/>
      <c r="K48" s="574"/>
      <c r="L48" s="574"/>
      <c r="M48" s="574"/>
      <c r="N48" s="574"/>
      <c r="O48" s="574"/>
      <c r="P48" s="575"/>
      <c r="Q48" s="313"/>
      <c r="R48" s="313"/>
      <c r="S48" s="313"/>
      <c r="W48" s="314"/>
    </row>
    <row r="49" spans="1:23" s="312" customFormat="1" ht="15.75" x14ac:dyDescent="0.25">
      <c r="A49" s="813"/>
      <c r="C49" s="313"/>
      <c r="D49" s="313"/>
      <c r="E49" s="313"/>
      <c r="F49" s="313"/>
      <c r="G49" s="313"/>
      <c r="H49" s="313"/>
      <c r="I49" s="313"/>
      <c r="J49" s="313"/>
      <c r="K49" s="574"/>
      <c r="L49" s="574"/>
      <c r="M49" s="574"/>
      <c r="N49" s="574"/>
      <c r="O49" s="574"/>
      <c r="P49" s="575"/>
      <c r="Q49" s="313"/>
      <c r="R49" s="313"/>
      <c r="S49" s="313"/>
      <c r="W49" s="314"/>
    </row>
    <row r="50" spans="1:23" s="312" customFormat="1" ht="15.75" x14ac:dyDescent="0.25">
      <c r="A50" s="813"/>
      <c r="C50" s="313"/>
      <c r="D50" s="313"/>
      <c r="E50" s="313"/>
      <c r="F50" s="313"/>
      <c r="G50" s="313"/>
      <c r="H50" s="313"/>
      <c r="I50" s="313"/>
      <c r="J50" s="313"/>
      <c r="K50" s="574"/>
      <c r="L50" s="574"/>
      <c r="M50" s="574"/>
      <c r="N50" s="574"/>
      <c r="O50" s="574"/>
      <c r="P50" s="575"/>
      <c r="Q50" s="313"/>
      <c r="R50" s="313"/>
      <c r="S50" s="313"/>
      <c r="W50" s="314"/>
    </row>
    <row r="51" spans="1:23" s="312" customFormat="1" ht="15.75" x14ac:dyDescent="0.25">
      <c r="A51" s="814"/>
      <c r="B51" s="503"/>
      <c r="C51" s="510"/>
      <c r="D51" s="510"/>
      <c r="E51" s="510"/>
      <c r="F51" s="510"/>
      <c r="G51" s="510"/>
      <c r="H51" s="510"/>
      <c r="I51" s="510"/>
      <c r="J51" s="510"/>
      <c r="K51" s="510"/>
      <c r="L51" s="510"/>
      <c r="M51" s="510"/>
      <c r="N51" s="510"/>
      <c r="O51" s="510"/>
      <c r="P51" s="503"/>
      <c r="Q51" s="510"/>
      <c r="R51" s="510"/>
      <c r="S51" s="510"/>
      <c r="T51" s="503"/>
      <c r="U51" s="503"/>
      <c r="V51" s="503"/>
      <c r="W51" s="314"/>
    </row>
    <row r="52" spans="1:23" s="312" customFormat="1" ht="15.75" x14ac:dyDescent="0.25">
      <c r="A52" s="814"/>
      <c r="B52" s="503"/>
      <c r="C52" s="510"/>
      <c r="D52" s="510"/>
      <c r="E52" s="510"/>
      <c r="F52" s="510"/>
      <c r="G52" s="510"/>
      <c r="H52" s="510"/>
      <c r="I52" s="510"/>
      <c r="J52" s="510"/>
      <c r="K52" s="510"/>
      <c r="L52" s="510"/>
      <c r="M52" s="510"/>
      <c r="N52" s="510"/>
      <c r="O52" s="510"/>
      <c r="P52" s="503"/>
      <c r="Q52" s="510"/>
      <c r="R52" s="510"/>
      <c r="S52" s="510"/>
      <c r="T52" s="503"/>
      <c r="U52" s="503"/>
      <c r="V52" s="503"/>
      <c r="W52" s="314"/>
    </row>
    <row r="53" spans="1:23" s="312" customFormat="1" ht="15.75" x14ac:dyDescent="0.25">
      <c r="A53" s="814"/>
      <c r="B53" s="503"/>
      <c r="C53" s="510"/>
      <c r="D53" s="510"/>
      <c r="E53" s="510"/>
      <c r="F53" s="510"/>
      <c r="G53" s="510"/>
      <c r="H53" s="510"/>
      <c r="I53" s="510"/>
      <c r="J53" s="510"/>
      <c r="K53" s="510"/>
      <c r="L53" s="510"/>
      <c r="M53" s="510"/>
      <c r="N53" s="510"/>
      <c r="O53" s="510"/>
      <c r="P53" s="503"/>
      <c r="Q53" s="510"/>
      <c r="R53" s="510"/>
      <c r="S53" s="510"/>
      <c r="T53" s="503"/>
      <c r="U53" s="503"/>
      <c r="V53" s="503"/>
      <c r="W53" s="314"/>
    </row>
    <row r="54" spans="1:23" s="312" customFormat="1" ht="15.75" x14ac:dyDescent="0.25">
      <c r="A54" s="814"/>
      <c r="B54" s="503"/>
      <c r="C54" s="510"/>
      <c r="D54" s="510"/>
      <c r="E54" s="510"/>
      <c r="F54" s="510"/>
      <c r="G54" s="510"/>
      <c r="H54" s="510"/>
      <c r="I54" s="510"/>
      <c r="J54" s="510"/>
      <c r="K54" s="510"/>
      <c r="L54" s="510"/>
      <c r="M54" s="510"/>
      <c r="N54" s="510"/>
      <c r="O54" s="510"/>
      <c r="P54" s="503"/>
      <c r="Q54" s="510"/>
      <c r="R54" s="510"/>
      <c r="S54" s="510"/>
      <c r="T54" s="503"/>
      <c r="U54" s="503"/>
      <c r="V54" s="503"/>
      <c r="W54" s="314"/>
    </row>
    <row r="55" spans="1:23" s="312" customFormat="1" ht="15.75" x14ac:dyDescent="0.25">
      <c r="A55" s="814"/>
      <c r="B55" s="503"/>
      <c r="C55" s="510"/>
      <c r="D55" s="510"/>
      <c r="E55" s="510"/>
      <c r="F55" s="510"/>
      <c r="G55" s="510"/>
      <c r="H55" s="510"/>
      <c r="I55" s="510"/>
      <c r="J55" s="510"/>
      <c r="K55" s="510"/>
      <c r="L55" s="510"/>
      <c r="M55" s="510"/>
      <c r="N55" s="510"/>
      <c r="O55" s="510"/>
      <c r="P55" s="503"/>
      <c r="Q55" s="510"/>
      <c r="R55" s="510"/>
      <c r="S55" s="510"/>
      <c r="T55" s="503"/>
      <c r="U55" s="503"/>
      <c r="V55" s="503"/>
      <c r="W55" s="314"/>
    </row>
    <row r="56" spans="1:23" s="312" customFormat="1" ht="15.75" x14ac:dyDescent="0.25">
      <c r="A56" s="814"/>
      <c r="B56" s="503"/>
      <c r="C56" s="510"/>
      <c r="D56" s="510"/>
      <c r="E56" s="510"/>
      <c r="F56" s="510"/>
      <c r="G56" s="510"/>
      <c r="H56" s="510"/>
      <c r="I56" s="510"/>
      <c r="J56" s="510"/>
      <c r="K56" s="510"/>
      <c r="L56" s="510"/>
      <c r="M56" s="510"/>
      <c r="N56" s="510"/>
      <c r="O56" s="510"/>
      <c r="P56" s="503"/>
      <c r="Q56" s="510"/>
      <c r="R56" s="510"/>
      <c r="S56" s="510"/>
      <c r="T56" s="503"/>
      <c r="U56" s="503"/>
      <c r="V56" s="503"/>
      <c r="W56" s="314"/>
    </row>
    <row r="57" spans="1:23" s="312" customFormat="1" ht="15.75" x14ac:dyDescent="0.25">
      <c r="A57" s="814"/>
      <c r="B57" s="503"/>
      <c r="C57" s="510"/>
      <c r="D57" s="510"/>
      <c r="E57" s="510"/>
      <c r="F57" s="510"/>
      <c r="G57" s="510"/>
      <c r="H57" s="510"/>
      <c r="I57" s="510"/>
      <c r="J57" s="510"/>
      <c r="K57" s="510"/>
      <c r="L57" s="510"/>
      <c r="M57" s="510"/>
      <c r="N57" s="510"/>
      <c r="O57" s="510"/>
      <c r="P57" s="503"/>
      <c r="Q57" s="510"/>
      <c r="R57" s="510"/>
      <c r="S57" s="510"/>
      <c r="T57" s="503"/>
      <c r="U57" s="503"/>
      <c r="V57" s="503"/>
      <c r="W57" s="314"/>
    </row>
    <row r="58" spans="1:23" s="312" customFormat="1" ht="15.75" x14ac:dyDescent="0.25">
      <c r="A58" s="814"/>
      <c r="B58" s="503"/>
      <c r="C58" s="510"/>
      <c r="D58" s="510"/>
      <c r="E58" s="510"/>
      <c r="F58" s="510"/>
      <c r="G58" s="510"/>
      <c r="H58" s="510"/>
      <c r="I58" s="510"/>
      <c r="J58" s="510"/>
      <c r="K58" s="510"/>
      <c r="L58" s="510"/>
      <c r="M58" s="510"/>
      <c r="N58" s="510"/>
      <c r="O58" s="510"/>
      <c r="P58" s="503"/>
      <c r="Q58" s="510"/>
      <c r="R58" s="510"/>
      <c r="S58" s="510"/>
      <c r="T58" s="503"/>
      <c r="U58" s="503"/>
      <c r="V58" s="503"/>
      <c r="W58" s="314"/>
    </row>
    <row r="59" spans="1:23" s="312" customFormat="1" ht="15.75" x14ac:dyDescent="0.25">
      <c r="A59" s="814"/>
      <c r="B59" s="503"/>
      <c r="C59" s="510"/>
      <c r="D59" s="510"/>
      <c r="E59" s="510"/>
      <c r="F59" s="510"/>
      <c r="G59" s="510"/>
      <c r="H59" s="510"/>
      <c r="I59" s="510"/>
      <c r="J59" s="510"/>
      <c r="K59" s="510"/>
      <c r="L59" s="510"/>
      <c r="M59" s="510"/>
      <c r="N59" s="510"/>
      <c r="O59" s="510"/>
      <c r="P59" s="503"/>
      <c r="Q59" s="510"/>
      <c r="R59" s="510"/>
      <c r="S59" s="510"/>
      <c r="T59" s="503"/>
      <c r="U59" s="503"/>
      <c r="V59" s="503"/>
      <c r="W59" s="314"/>
    </row>
    <row r="60" spans="1:23" s="312" customFormat="1" ht="15.75" x14ac:dyDescent="0.25">
      <c r="A60" s="814"/>
      <c r="B60" s="503"/>
      <c r="C60" s="510"/>
      <c r="D60" s="510"/>
      <c r="E60" s="510"/>
      <c r="F60" s="510"/>
      <c r="G60" s="510"/>
      <c r="H60" s="510"/>
      <c r="I60" s="510"/>
      <c r="J60" s="510"/>
      <c r="K60" s="510"/>
      <c r="L60" s="510"/>
      <c r="M60" s="510"/>
      <c r="N60" s="510"/>
      <c r="O60" s="510"/>
      <c r="P60" s="503"/>
      <c r="Q60" s="510"/>
      <c r="R60" s="510"/>
      <c r="S60" s="510"/>
      <c r="T60" s="503"/>
      <c r="U60" s="503"/>
      <c r="V60" s="503"/>
      <c r="W60" s="314"/>
    </row>
    <row r="61" spans="1:23" s="312" customFormat="1" ht="15.75" x14ac:dyDescent="0.25">
      <c r="A61" s="814"/>
      <c r="B61" s="503"/>
      <c r="C61" s="510"/>
      <c r="D61" s="510"/>
      <c r="E61" s="510"/>
      <c r="F61" s="510"/>
      <c r="G61" s="510"/>
      <c r="H61" s="510"/>
      <c r="I61" s="510"/>
      <c r="J61" s="510"/>
      <c r="K61" s="510"/>
      <c r="L61" s="510"/>
      <c r="M61" s="510"/>
      <c r="N61" s="510"/>
      <c r="O61" s="510"/>
      <c r="P61" s="503"/>
      <c r="Q61" s="510"/>
      <c r="R61" s="510"/>
      <c r="S61" s="510"/>
      <c r="T61" s="503"/>
      <c r="U61" s="503"/>
      <c r="V61" s="503"/>
      <c r="W61" s="314"/>
    </row>
    <row r="62" spans="1:23" s="312" customFormat="1" ht="15.75" x14ac:dyDescent="0.25">
      <c r="A62" s="814"/>
      <c r="B62" s="503"/>
      <c r="C62" s="510"/>
      <c r="D62" s="510"/>
      <c r="E62" s="510"/>
      <c r="F62" s="510"/>
      <c r="G62" s="510"/>
      <c r="H62" s="510"/>
      <c r="I62" s="510"/>
      <c r="J62" s="510"/>
      <c r="K62" s="510"/>
      <c r="L62" s="510"/>
      <c r="M62" s="510"/>
      <c r="N62" s="510"/>
      <c r="O62" s="510"/>
      <c r="P62" s="503"/>
      <c r="Q62" s="510"/>
      <c r="R62" s="510"/>
      <c r="S62" s="510"/>
      <c r="T62" s="503"/>
      <c r="U62" s="503"/>
      <c r="V62" s="503"/>
      <c r="W62" s="314"/>
    </row>
    <row r="63" spans="1:23" s="312" customFormat="1" ht="15.75" x14ac:dyDescent="0.25">
      <c r="A63" s="814"/>
      <c r="B63" s="503"/>
      <c r="C63" s="510"/>
      <c r="D63" s="510"/>
      <c r="E63" s="510"/>
      <c r="F63" s="510"/>
      <c r="G63" s="510"/>
      <c r="H63" s="510"/>
      <c r="I63" s="510"/>
      <c r="J63" s="510"/>
      <c r="K63" s="510"/>
      <c r="L63" s="510"/>
      <c r="M63" s="510"/>
      <c r="N63" s="510"/>
      <c r="O63" s="510"/>
      <c r="P63" s="503"/>
      <c r="Q63" s="510"/>
      <c r="R63" s="510"/>
      <c r="S63" s="510"/>
      <c r="T63" s="503"/>
      <c r="U63" s="503"/>
      <c r="V63" s="503"/>
      <c r="W63" s="314"/>
    </row>
    <row r="64" spans="1:23" s="312" customFormat="1" ht="15.75" x14ac:dyDescent="0.25">
      <c r="A64" s="814"/>
      <c r="B64" s="503"/>
      <c r="C64" s="510"/>
      <c r="D64" s="510"/>
      <c r="E64" s="510"/>
      <c r="F64" s="510"/>
      <c r="G64" s="510"/>
      <c r="H64" s="510"/>
      <c r="I64" s="510"/>
      <c r="J64" s="510"/>
      <c r="K64" s="510"/>
      <c r="L64" s="510"/>
      <c r="M64" s="510"/>
      <c r="N64" s="510"/>
      <c r="O64" s="510"/>
      <c r="P64" s="503"/>
      <c r="Q64" s="510"/>
      <c r="R64" s="510"/>
      <c r="S64" s="510"/>
      <c r="T64" s="503"/>
      <c r="U64" s="503"/>
      <c r="V64" s="503"/>
      <c r="W64" s="314"/>
    </row>
    <row r="65" spans="1:23" s="312" customFormat="1" ht="15.75" x14ac:dyDescent="0.25">
      <c r="A65" s="814"/>
      <c r="B65" s="503"/>
      <c r="C65" s="510"/>
      <c r="D65" s="510"/>
      <c r="E65" s="510"/>
      <c r="F65" s="510"/>
      <c r="G65" s="510"/>
      <c r="H65" s="510"/>
      <c r="I65" s="510"/>
      <c r="J65" s="510"/>
      <c r="K65" s="510"/>
      <c r="L65" s="510"/>
      <c r="M65" s="510"/>
      <c r="N65" s="510"/>
      <c r="O65" s="510"/>
      <c r="P65" s="503"/>
      <c r="Q65" s="510"/>
      <c r="R65" s="510"/>
      <c r="S65" s="510"/>
      <c r="T65" s="503"/>
      <c r="U65" s="503"/>
      <c r="V65" s="503"/>
      <c r="W65" s="314"/>
    </row>
    <row r="66" spans="1:23" x14ac:dyDescent="0.2">
      <c r="A66" s="774"/>
      <c r="B66" s="4"/>
      <c r="C66" s="23"/>
      <c r="D66" s="23"/>
      <c r="E66" s="23"/>
      <c r="F66" s="23"/>
      <c r="G66" s="23"/>
      <c r="H66" s="23"/>
      <c r="I66" s="23"/>
      <c r="J66" s="23"/>
      <c r="K66" s="23"/>
      <c r="L66" s="23"/>
      <c r="M66" s="23"/>
      <c r="N66" s="23"/>
      <c r="O66" s="23"/>
      <c r="P66" s="4"/>
      <c r="Q66" s="23"/>
      <c r="R66" s="23"/>
      <c r="S66" s="23"/>
      <c r="T66" s="4"/>
      <c r="U66" s="4"/>
      <c r="V66" s="4"/>
    </row>
    <row r="67" spans="1:23" x14ac:dyDescent="0.2">
      <c r="A67" s="774"/>
      <c r="B67" s="4"/>
      <c r="C67" s="23"/>
      <c r="D67" s="23"/>
      <c r="E67" s="23"/>
      <c r="F67" s="23"/>
      <c r="G67" s="23"/>
      <c r="H67" s="23"/>
      <c r="I67" s="23"/>
      <c r="J67" s="23"/>
      <c r="K67" s="23"/>
      <c r="L67" s="23"/>
      <c r="M67" s="23"/>
      <c r="N67" s="23"/>
      <c r="O67" s="23"/>
      <c r="P67" s="4"/>
      <c r="Q67" s="23"/>
      <c r="R67" s="23"/>
      <c r="S67" s="23"/>
      <c r="T67" s="4"/>
      <c r="U67" s="4"/>
      <c r="V67" s="4"/>
    </row>
    <row r="68" spans="1:23" x14ac:dyDescent="0.2">
      <c r="A68" s="774"/>
      <c r="B68" s="4"/>
      <c r="C68" s="23"/>
      <c r="D68" s="23"/>
      <c r="E68" s="23"/>
      <c r="F68" s="23"/>
      <c r="G68" s="23"/>
      <c r="H68" s="23"/>
      <c r="I68" s="23"/>
      <c r="J68" s="23"/>
      <c r="K68" s="23"/>
      <c r="L68" s="23"/>
      <c r="M68" s="23"/>
      <c r="N68" s="23"/>
      <c r="O68" s="23"/>
      <c r="P68" s="4"/>
      <c r="Q68" s="23"/>
      <c r="R68" s="23"/>
      <c r="S68" s="23"/>
      <c r="T68" s="4"/>
      <c r="U68" s="4"/>
      <c r="V68" s="4"/>
    </row>
    <row r="69" spans="1:23" x14ac:dyDescent="0.2">
      <c r="A69" s="774"/>
      <c r="B69" s="4"/>
      <c r="C69" s="23"/>
      <c r="D69" s="23"/>
      <c r="E69" s="23"/>
      <c r="F69" s="23"/>
      <c r="G69" s="23"/>
      <c r="H69" s="23"/>
      <c r="I69" s="23"/>
      <c r="J69" s="23"/>
      <c r="K69" s="23"/>
      <c r="L69" s="23"/>
      <c r="M69" s="23"/>
      <c r="N69" s="23"/>
      <c r="O69" s="23"/>
      <c r="P69" s="4"/>
      <c r="Q69" s="23"/>
      <c r="R69" s="23"/>
      <c r="S69" s="23"/>
      <c r="T69" s="4"/>
      <c r="U69" s="4"/>
      <c r="V69" s="4"/>
    </row>
    <row r="70" spans="1:23" x14ac:dyDescent="0.2">
      <c r="A70" s="774"/>
      <c r="B70" s="4"/>
      <c r="C70" s="23"/>
      <c r="D70" s="23"/>
      <c r="E70" s="23"/>
      <c r="F70" s="23"/>
      <c r="G70" s="23"/>
      <c r="H70" s="23"/>
      <c r="I70" s="23"/>
      <c r="J70" s="23"/>
      <c r="K70" s="23"/>
      <c r="L70" s="23"/>
      <c r="M70" s="23"/>
      <c r="N70" s="23"/>
      <c r="O70" s="23"/>
      <c r="P70" s="4"/>
      <c r="Q70" s="23"/>
      <c r="R70" s="23"/>
      <c r="S70" s="23"/>
      <c r="T70" s="4"/>
      <c r="U70" s="4"/>
      <c r="V70" s="4"/>
    </row>
    <row r="71" spans="1:23" x14ac:dyDescent="0.2">
      <c r="A71" s="774"/>
      <c r="B71" s="4"/>
      <c r="C71" s="23"/>
      <c r="D71" s="23"/>
      <c r="E71" s="23"/>
      <c r="F71" s="23"/>
      <c r="G71" s="23"/>
      <c r="H71" s="23"/>
      <c r="I71" s="23"/>
      <c r="J71" s="23"/>
      <c r="K71" s="23"/>
      <c r="L71" s="23"/>
      <c r="M71" s="23"/>
      <c r="N71" s="23"/>
      <c r="O71" s="23"/>
      <c r="P71" s="4"/>
      <c r="Q71" s="23"/>
      <c r="R71" s="23"/>
      <c r="S71" s="23"/>
      <c r="T71" s="4"/>
      <c r="U71" s="4"/>
      <c r="V71" s="4"/>
    </row>
    <row r="72" spans="1:23" x14ac:dyDescent="0.2">
      <c r="A72" s="774"/>
      <c r="B72" s="4"/>
      <c r="C72" s="23"/>
      <c r="D72" s="23"/>
      <c r="E72" s="23"/>
      <c r="F72" s="23"/>
      <c r="G72" s="23"/>
      <c r="H72" s="23"/>
      <c r="I72" s="23"/>
      <c r="J72" s="23"/>
      <c r="K72" s="23"/>
      <c r="L72" s="23"/>
      <c r="M72" s="23"/>
      <c r="N72" s="23"/>
      <c r="O72" s="23"/>
      <c r="P72" s="4"/>
      <c r="Q72" s="23"/>
      <c r="R72" s="23"/>
      <c r="S72" s="23"/>
      <c r="T72" s="4"/>
      <c r="U72" s="4"/>
      <c r="V72" s="4"/>
    </row>
    <row r="73" spans="1:23" x14ac:dyDescent="0.2">
      <c r="A73" s="774"/>
      <c r="B73" s="4"/>
      <c r="C73" s="23"/>
      <c r="D73" s="23"/>
      <c r="E73" s="23"/>
      <c r="F73" s="23"/>
      <c r="G73" s="23"/>
      <c r="H73" s="23"/>
      <c r="I73" s="23"/>
      <c r="J73" s="23"/>
      <c r="K73" s="23"/>
      <c r="L73" s="23"/>
      <c r="M73" s="23"/>
      <c r="N73" s="23"/>
      <c r="O73" s="23"/>
      <c r="P73" s="4"/>
      <c r="Q73" s="23"/>
      <c r="R73" s="23"/>
      <c r="S73" s="23"/>
      <c r="T73" s="4"/>
      <c r="U73" s="4"/>
      <c r="V73" s="4"/>
    </row>
    <row r="74" spans="1:23" x14ac:dyDescent="0.2">
      <c r="A74" s="774"/>
      <c r="B74" s="4"/>
      <c r="C74" s="23"/>
      <c r="D74" s="23"/>
      <c r="E74" s="23"/>
      <c r="F74" s="23"/>
      <c r="G74" s="23"/>
      <c r="H74" s="23"/>
      <c r="I74" s="23"/>
      <c r="J74" s="23"/>
      <c r="K74" s="23"/>
      <c r="L74" s="23"/>
      <c r="M74" s="23"/>
      <c r="N74" s="23"/>
      <c r="O74" s="23"/>
      <c r="P74" s="4"/>
      <c r="Q74" s="23"/>
      <c r="R74" s="23"/>
      <c r="S74" s="23"/>
      <c r="T74" s="4"/>
      <c r="U74" s="4"/>
      <c r="V74" s="4"/>
    </row>
    <row r="75" spans="1:23" x14ac:dyDescent="0.2">
      <c r="A75" s="774"/>
      <c r="B75" s="4"/>
      <c r="C75" s="23"/>
      <c r="D75" s="23"/>
      <c r="E75" s="23"/>
      <c r="F75" s="23"/>
      <c r="G75" s="23"/>
      <c r="H75" s="23"/>
      <c r="I75" s="23"/>
      <c r="J75" s="23"/>
      <c r="K75" s="23"/>
      <c r="L75" s="23"/>
      <c r="M75" s="23"/>
      <c r="N75" s="23"/>
      <c r="O75" s="23"/>
      <c r="P75" s="4"/>
      <c r="Q75" s="23"/>
      <c r="R75" s="23"/>
      <c r="S75" s="23"/>
      <c r="T75" s="4"/>
      <c r="U75" s="4"/>
      <c r="V75" s="4"/>
    </row>
    <row r="76" spans="1:23" x14ac:dyDescent="0.2">
      <c r="A76" s="774"/>
      <c r="B76" s="4"/>
      <c r="C76" s="23"/>
      <c r="D76" s="23"/>
      <c r="E76" s="23"/>
      <c r="F76" s="23"/>
      <c r="G76" s="23"/>
      <c r="H76" s="23"/>
      <c r="I76" s="23"/>
      <c r="J76" s="23"/>
      <c r="K76" s="23"/>
      <c r="L76" s="23"/>
      <c r="M76" s="23"/>
      <c r="N76" s="23"/>
      <c r="O76" s="23"/>
      <c r="P76" s="4"/>
      <c r="Q76" s="23"/>
      <c r="R76" s="23"/>
      <c r="S76" s="23"/>
      <c r="T76" s="4"/>
      <c r="U76" s="4"/>
      <c r="V76" s="4"/>
    </row>
    <row r="77" spans="1:23" x14ac:dyDescent="0.2">
      <c r="A77" s="774"/>
      <c r="B77" s="4"/>
      <c r="C77" s="23"/>
      <c r="D77" s="23"/>
      <c r="E77" s="23"/>
      <c r="F77" s="23"/>
      <c r="G77" s="23"/>
      <c r="H77" s="23"/>
      <c r="I77" s="23"/>
      <c r="J77" s="23"/>
      <c r="K77" s="23"/>
      <c r="L77" s="23"/>
      <c r="M77" s="23"/>
      <c r="N77" s="23"/>
      <c r="O77" s="23"/>
      <c r="P77" s="4"/>
      <c r="Q77" s="23"/>
      <c r="R77" s="23"/>
      <c r="S77" s="23"/>
      <c r="T77" s="4"/>
      <c r="U77" s="4"/>
      <c r="V77" s="4"/>
    </row>
    <row r="78" spans="1:23" x14ac:dyDescent="0.2">
      <c r="A78" s="774"/>
      <c r="B78" s="4"/>
      <c r="C78" s="23"/>
      <c r="D78" s="23"/>
      <c r="E78" s="23"/>
      <c r="F78" s="23"/>
      <c r="G78" s="23"/>
      <c r="H78" s="23"/>
      <c r="I78" s="23"/>
      <c r="J78" s="23"/>
      <c r="K78" s="23"/>
      <c r="L78" s="23"/>
      <c r="M78" s="23"/>
      <c r="N78" s="23"/>
      <c r="O78" s="23"/>
      <c r="P78" s="4"/>
      <c r="Q78" s="23"/>
      <c r="R78" s="23"/>
      <c r="S78" s="23"/>
      <c r="T78" s="4"/>
      <c r="U78" s="4"/>
      <c r="V78" s="4"/>
    </row>
    <row r="79" spans="1:23" x14ac:dyDescent="0.2">
      <c r="A79" s="774"/>
      <c r="B79" s="4"/>
      <c r="C79" s="23"/>
      <c r="D79" s="23"/>
      <c r="E79" s="23"/>
      <c r="F79" s="23"/>
      <c r="G79" s="23"/>
      <c r="H79" s="23"/>
      <c r="I79" s="23"/>
      <c r="J79" s="23"/>
      <c r="K79" s="23"/>
      <c r="L79" s="23"/>
      <c r="M79" s="23"/>
      <c r="N79" s="23"/>
      <c r="O79" s="23"/>
      <c r="P79" s="4"/>
      <c r="Q79" s="23"/>
      <c r="R79" s="23"/>
      <c r="S79" s="23"/>
      <c r="T79" s="4"/>
      <c r="U79" s="4"/>
      <c r="V79" s="4"/>
    </row>
    <row r="80" spans="1:23" x14ac:dyDescent="0.2">
      <c r="A80" s="774"/>
      <c r="B80" s="4"/>
      <c r="C80" s="23"/>
      <c r="D80" s="23"/>
      <c r="E80" s="23"/>
      <c r="F80" s="23"/>
      <c r="G80" s="23"/>
      <c r="H80" s="23"/>
      <c r="I80" s="23"/>
      <c r="J80" s="23"/>
      <c r="K80" s="23"/>
      <c r="L80" s="23"/>
      <c r="M80" s="23"/>
      <c r="N80" s="23"/>
      <c r="O80" s="23"/>
      <c r="P80" s="4"/>
      <c r="Q80" s="23"/>
      <c r="R80" s="23"/>
      <c r="S80" s="23"/>
      <c r="T80" s="4"/>
      <c r="U80" s="4"/>
      <c r="V80" s="4"/>
    </row>
    <row r="81" spans="1:22" x14ac:dyDescent="0.2">
      <c r="A81" s="774"/>
      <c r="B81" s="4"/>
      <c r="C81" s="23"/>
      <c r="D81" s="23"/>
      <c r="E81" s="23"/>
      <c r="F81" s="23"/>
      <c r="G81" s="23"/>
      <c r="H81" s="23"/>
      <c r="I81" s="23"/>
      <c r="J81" s="23"/>
      <c r="K81" s="23"/>
      <c r="L81" s="23"/>
      <c r="M81" s="23"/>
      <c r="N81" s="23"/>
      <c r="O81" s="23"/>
      <c r="P81" s="4"/>
      <c r="Q81" s="23"/>
      <c r="R81" s="23"/>
      <c r="S81" s="23"/>
      <c r="T81" s="4"/>
      <c r="U81" s="4"/>
      <c r="V81" s="4"/>
    </row>
    <row r="82" spans="1:22" x14ac:dyDescent="0.2">
      <c r="A82" s="774"/>
      <c r="B82" s="4"/>
      <c r="C82" s="23"/>
      <c r="D82" s="23"/>
      <c r="E82" s="23"/>
      <c r="F82" s="23"/>
      <c r="G82" s="23"/>
      <c r="H82" s="23"/>
      <c r="I82" s="23"/>
      <c r="J82" s="23"/>
      <c r="K82" s="23"/>
      <c r="L82" s="23"/>
      <c r="M82" s="23"/>
      <c r="N82" s="23"/>
      <c r="O82" s="23"/>
      <c r="P82" s="4"/>
      <c r="Q82" s="23"/>
      <c r="R82" s="23"/>
      <c r="S82" s="23"/>
      <c r="T82" s="4"/>
      <c r="U82" s="4"/>
      <c r="V82" s="4"/>
    </row>
    <row r="83" spans="1:22" x14ac:dyDescent="0.2">
      <c r="A83" s="774"/>
      <c r="B83" s="4"/>
      <c r="C83" s="23"/>
      <c r="D83" s="23"/>
      <c r="E83" s="23"/>
      <c r="F83" s="23"/>
      <c r="G83" s="23"/>
      <c r="H83" s="23"/>
      <c r="I83" s="23"/>
      <c r="J83" s="23"/>
      <c r="K83" s="23"/>
      <c r="L83" s="23"/>
      <c r="M83" s="23"/>
      <c r="N83" s="23"/>
      <c r="O83" s="23"/>
      <c r="P83" s="4"/>
      <c r="Q83" s="23"/>
      <c r="R83" s="23"/>
      <c r="S83" s="23"/>
      <c r="T83" s="4"/>
      <c r="U83" s="4"/>
      <c r="V83" s="4"/>
    </row>
    <row r="84" spans="1:22" x14ac:dyDescent="0.2">
      <c r="A84" s="774"/>
      <c r="B84" s="4"/>
      <c r="C84" s="23"/>
      <c r="D84" s="23"/>
      <c r="E84" s="23"/>
      <c r="F84" s="23"/>
      <c r="G84" s="23"/>
      <c r="H84" s="23"/>
      <c r="I84" s="23"/>
      <c r="J84" s="23"/>
      <c r="K84" s="23"/>
      <c r="L84" s="23"/>
      <c r="M84" s="23"/>
      <c r="N84" s="23"/>
      <c r="O84" s="23"/>
      <c r="P84" s="4"/>
      <c r="Q84" s="23"/>
      <c r="R84" s="23"/>
      <c r="S84" s="23"/>
      <c r="T84" s="4"/>
      <c r="U84" s="4"/>
      <c r="V84" s="4"/>
    </row>
    <row r="85" spans="1:22" x14ac:dyDescent="0.2">
      <c r="A85" s="774"/>
      <c r="B85" s="4"/>
      <c r="C85" s="23"/>
      <c r="D85" s="23"/>
      <c r="E85" s="23"/>
      <c r="F85" s="23"/>
      <c r="G85" s="23"/>
      <c r="H85" s="23"/>
      <c r="I85" s="23"/>
      <c r="J85" s="23"/>
      <c r="K85" s="23"/>
      <c r="L85" s="23"/>
      <c r="M85" s="23"/>
      <c r="N85" s="23"/>
      <c r="O85" s="23"/>
      <c r="P85" s="4"/>
      <c r="Q85" s="23"/>
      <c r="R85" s="23"/>
      <c r="S85" s="23"/>
      <c r="T85" s="4"/>
      <c r="U85" s="4"/>
      <c r="V85" s="4"/>
    </row>
    <row r="86" spans="1:22" x14ac:dyDescent="0.2">
      <c r="A86" s="774"/>
      <c r="B86" s="4"/>
      <c r="C86" s="23"/>
      <c r="D86" s="23"/>
      <c r="E86" s="23"/>
      <c r="F86" s="23"/>
      <c r="G86" s="23"/>
      <c r="H86" s="23"/>
      <c r="I86" s="23"/>
      <c r="J86" s="23"/>
      <c r="K86" s="23"/>
      <c r="L86" s="23"/>
      <c r="M86" s="23"/>
      <c r="N86" s="23"/>
      <c r="O86" s="23"/>
      <c r="P86" s="4"/>
      <c r="Q86" s="23"/>
      <c r="R86" s="23"/>
      <c r="S86" s="23"/>
      <c r="T86" s="4"/>
      <c r="U86" s="4"/>
      <c r="V86" s="4"/>
    </row>
    <row r="87" spans="1:22" x14ac:dyDescent="0.2">
      <c r="A87" s="774"/>
      <c r="B87" s="4"/>
      <c r="C87" s="23"/>
      <c r="D87" s="23"/>
      <c r="E87" s="23"/>
      <c r="F87" s="23"/>
      <c r="G87" s="23"/>
      <c r="H87" s="23"/>
      <c r="I87" s="23"/>
      <c r="J87" s="23"/>
      <c r="K87" s="23"/>
      <c r="L87" s="23"/>
      <c r="M87" s="23"/>
      <c r="N87" s="23"/>
      <c r="O87" s="23"/>
      <c r="P87" s="4"/>
      <c r="Q87" s="23"/>
      <c r="R87" s="23"/>
      <c r="S87" s="23"/>
      <c r="T87" s="4"/>
      <c r="U87" s="4"/>
      <c r="V87" s="4"/>
    </row>
    <row r="88" spans="1:22" x14ac:dyDescent="0.2">
      <c r="A88" s="774"/>
      <c r="B88" s="4"/>
      <c r="C88" s="23"/>
      <c r="D88" s="23"/>
      <c r="E88" s="23"/>
      <c r="F88" s="23"/>
      <c r="G88" s="23"/>
      <c r="H88" s="23"/>
      <c r="I88" s="23"/>
      <c r="J88" s="23"/>
      <c r="K88" s="23"/>
      <c r="L88" s="23"/>
      <c r="M88" s="23"/>
      <c r="N88" s="23"/>
      <c r="O88" s="23"/>
      <c r="P88" s="4"/>
      <c r="Q88" s="23"/>
      <c r="R88" s="23"/>
      <c r="S88" s="23"/>
      <c r="T88" s="4"/>
      <c r="U88" s="4"/>
      <c r="V88" s="4"/>
    </row>
    <row r="89" spans="1:22" x14ac:dyDescent="0.2">
      <c r="A89" s="774"/>
      <c r="B89" s="4"/>
      <c r="C89" s="23"/>
      <c r="D89" s="23"/>
      <c r="E89" s="23"/>
      <c r="F89" s="23"/>
      <c r="G89" s="23"/>
      <c r="H89" s="23"/>
      <c r="I89" s="23"/>
      <c r="J89" s="23"/>
      <c r="K89" s="23"/>
      <c r="L89" s="23"/>
      <c r="M89" s="23"/>
      <c r="N89" s="23"/>
      <c r="O89" s="23"/>
      <c r="P89" s="4"/>
      <c r="Q89" s="23"/>
      <c r="R89" s="23"/>
      <c r="S89" s="23"/>
      <c r="T89" s="4"/>
      <c r="U89" s="4"/>
      <c r="V89" s="4"/>
    </row>
    <row r="90" spans="1:22" x14ac:dyDescent="0.2">
      <c r="A90" s="774"/>
      <c r="B90" s="4"/>
      <c r="C90" s="23"/>
      <c r="D90" s="23"/>
      <c r="E90" s="23"/>
      <c r="F90" s="23"/>
      <c r="G90" s="23"/>
      <c r="H90" s="23"/>
      <c r="I90" s="23"/>
      <c r="J90" s="23"/>
      <c r="K90" s="23"/>
      <c r="L90" s="23"/>
      <c r="M90" s="23"/>
      <c r="N90" s="23"/>
      <c r="O90" s="23"/>
      <c r="P90" s="4"/>
      <c r="Q90" s="23"/>
      <c r="R90" s="23"/>
      <c r="S90" s="23"/>
      <c r="T90" s="4"/>
      <c r="U90" s="4"/>
      <c r="V90" s="4"/>
    </row>
    <row r="91" spans="1:22" x14ac:dyDescent="0.2">
      <c r="A91" s="774"/>
      <c r="B91" s="4"/>
      <c r="C91" s="23"/>
      <c r="D91" s="23"/>
      <c r="E91" s="23"/>
      <c r="F91" s="23"/>
      <c r="G91" s="23"/>
      <c r="H91" s="23"/>
      <c r="I91" s="23"/>
      <c r="J91" s="23"/>
      <c r="K91" s="23"/>
      <c r="L91" s="23"/>
      <c r="M91" s="23"/>
      <c r="N91" s="23"/>
      <c r="O91" s="23"/>
      <c r="P91" s="4"/>
      <c r="Q91" s="23"/>
      <c r="R91" s="23"/>
      <c r="S91" s="23"/>
      <c r="T91" s="4"/>
      <c r="U91" s="4"/>
      <c r="V91" s="4"/>
    </row>
    <row r="92" spans="1:22" x14ac:dyDescent="0.2">
      <c r="A92" s="774"/>
      <c r="B92" s="4"/>
      <c r="C92" s="23"/>
      <c r="D92" s="23"/>
      <c r="E92" s="23"/>
      <c r="F92" s="23"/>
      <c r="G92" s="23"/>
      <c r="H92" s="23"/>
      <c r="I92" s="23"/>
      <c r="J92" s="23"/>
      <c r="K92" s="23"/>
      <c r="L92" s="23"/>
      <c r="M92" s="23"/>
      <c r="N92" s="23"/>
      <c r="O92" s="23"/>
      <c r="P92" s="4"/>
      <c r="Q92" s="23"/>
      <c r="R92" s="23"/>
      <c r="S92" s="23"/>
      <c r="T92" s="4"/>
      <c r="U92" s="4"/>
      <c r="V92" s="4"/>
    </row>
    <row r="93" spans="1:22" x14ac:dyDescent="0.2">
      <c r="A93" s="774"/>
      <c r="B93" s="4"/>
      <c r="C93" s="23"/>
      <c r="D93" s="23"/>
      <c r="E93" s="23"/>
      <c r="F93" s="23"/>
      <c r="G93" s="23"/>
      <c r="H93" s="23"/>
      <c r="I93" s="23"/>
      <c r="J93" s="23"/>
      <c r="K93" s="23"/>
      <c r="L93" s="23"/>
      <c r="M93" s="23"/>
      <c r="N93" s="23"/>
      <c r="O93" s="23"/>
      <c r="P93" s="4"/>
      <c r="Q93" s="23"/>
      <c r="R93" s="23"/>
      <c r="S93" s="23"/>
      <c r="T93" s="4"/>
      <c r="U93" s="4"/>
      <c r="V93" s="4"/>
    </row>
    <row r="94" spans="1:22" x14ac:dyDescent="0.2">
      <c r="A94" s="774"/>
      <c r="B94" s="4"/>
      <c r="C94" s="23"/>
      <c r="D94" s="23"/>
      <c r="E94" s="23"/>
      <c r="F94" s="23"/>
      <c r="G94" s="23"/>
      <c r="H94" s="23"/>
      <c r="I94" s="23"/>
      <c r="J94" s="23"/>
      <c r="K94" s="23"/>
      <c r="L94" s="23"/>
      <c r="M94" s="23"/>
      <c r="N94" s="23"/>
      <c r="O94" s="23"/>
      <c r="P94" s="4"/>
      <c r="Q94" s="23"/>
      <c r="R94" s="23"/>
      <c r="S94" s="23"/>
      <c r="T94" s="4"/>
      <c r="U94" s="4"/>
      <c r="V94" s="4"/>
    </row>
    <row r="95" spans="1:22" x14ac:dyDescent="0.2">
      <c r="A95" s="774"/>
      <c r="B95" s="4"/>
      <c r="C95" s="23"/>
      <c r="D95" s="23"/>
      <c r="E95" s="23"/>
      <c r="F95" s="23"/>
      <c r="G95" s="23"/>
      <c r="H95" s="23"/>
      <c r="I95" s="23"/>
      <c r="J95" s="23"/>
      <c r="K95" s="23"/>
      <c r="L95" s="23"/>
      <c r="M95" s="23"/>
      <c r="N95" s="23"/>
      <c r="O95" s="23"/>
      <c r="P95" s="4"/>
      <c r="Q95" s="23"/>
      <c r="R95" s="23"/>
      <c r="S95" s="23"/>
      <c r="T95" s="4"/>
      <c r="U95" s="4"/>
      <c r="V95" s="4"/>
    </row>
    <row r="96" spans="1:22" x14ac:dyDescent="0.2">
      <c r="A96" s="774"/>
      <c r="B96" s="4"/>
      <c r="C96" s="23"/>
      <c r="D96" s="23"/>
      <c r="E96" s="23"/>
      <c r="F96" s="23"/>
      <c r="G96" s="23"/>
      <c r="H96" s="23"/>
      <c r="I96" s="23"/>
      <c r="J96" s="23"/>
      <c r="K96" s="23"/>
      <c r="L96" s="23"/>
      <c r="M96" s="23"/>
      <c r="N96" s="23"/>
      <c r="O96" s="23"/>
      <c r="P96" s="4"/>
      <c r="Q96" s="23"/>
      <c r="R96" s="23"/>
      <c r="S96" s="23"/>
      <c r="T96" s="4"/>
      <c r="U96" s="4"/>
      <c r="V96" s="4"/>
    </row>
    <row r="97" spans="1:22" x14ac:dyDescent="0.2">
      <c r="A97" s="774"/>
      <c r="B97" s="4"/>
      <c r="C97" s="23"/>
      <c r="D97" s="23"/>
      <c r="E97" s="23"/>
      <c r="F97" s="23"/>
      <c r="G97" s="23"/>
      <c r="H97" s="23"/>
      <c r="I97" s="23"/>
      <c r="J97" s="23"/>
      <c r="K97" s="23"/>
      <c r="L97" s="23"/>
      <c r="M97" s="23"/>
      <c r="N97" s="23"/>
      <c r="O97" s="23"/>
      <c r="P97" s="4"/>
      <c r="Q97" s="23"/>
      <c r="R97" s="23"/>
      <c r="S97" s="23"/>
      <c r="T97" s="4"/>
      <c r="U97" s="4"/>
      <c r="V97" s="4"/>
    </row>
    <row r="98" spans="1:22" x14ac:dyDescent="0.2">
      <c r="A98" s="774"/>
      <c r="B98" s="4"/>
      <c r="C98" s="23"/>
      <c r="D98" s="23"/>
      <c r="E98" s="23"/>
      <c r="F98" s="23"/>
      <c r="G98" s="23"/>
      <c r="H98" s="23"/>
      <c r="I98" s="23"/>
      <c r="J98" s="23"/>
      <c r="K98" s="23"/>
      <c r="L98" s="23"/>
      <c r="M98" s="23"/>
      <c r="N98" s="23"/>
      <c r="O98" s="23"/>
      <c r="P98" s="4"/>
      <c r="Q98" s="23"/>
      <c r="R98" s="23"/>
      <c r="S98" s="23"/>
      <c r="T98" s="4"/>
      <c r="U98" s="4"/>
      <c r="V98" s="4"/>
    </row>
    <row r="99" spans="1:22" x14ac:dyDescent="0.2">
      <c r="A99" s="774"/>
      <c r="B99" s="4"/>
      <c r="C99" s="23"/>
      <c r="D99" s="23"/>
      <c r="E99" s="23"/>
      <c r="F99" s="23"/>
      <c r="G99" s="23"/>
      <c r="H99" s="23"/>
      <c r="I99" s="23"/>
      <c r="J99" s="23"/>
      <c r="K99" s="23"/>
      <c r="L99" s="23"/>
      <c r="M99" s="23"/>
      <c r="N99" s="23"/>
      <c r="O99" s="23"/>
      <c r="P99" s="4"/>
      <c r="Q99" s="23"/>
      <c r="R99" s="23"/>
      <c r="S99" s="23"/>
      <c r="T99" s="4"/>
      <c r="U99" s="4"/>
      <c r="V99" s="4"/>
    </row>
    <row r="100" spans="1:22" x14ac:dyDescent="0.2">
      <c r="A100" s="774"/>
      <c r="B100" s="4"/>
      <c r="C100" s="23"/>
      <c r="D100" s="23"/>
      <c r="E100" s="23"/>
      <c r="F100" s="23"/>
      <c r="G100" s="23"/>
      <c r="H100" s="23"/>
      <c r="I100" s="23"/>
      <c r="J100" s="23"/>
      <c r="K100" s="23"/>
      <c r="L100" s="23"/>
      <c r="M100" s="23"/>
      <c r="N100" s="23"/>
      <c r="O100" s="23"/>
      <c r="P100" s="4"/>
      <c r="Q100" s="23"/>
      <c r="R100" s="23"/>
      <c r="S100" s="23"/>
      <c r="T100" s="4"/>
      <c r="U100" s="4"/>
      <c r="V100" s="4"/>
    </row>
    <row r="101" spans="1:22" x14ac:dyDescent="0.2">
      <c r="A101" s="774"/>
      <c r="B101" s="4"/>
      <c r="C101" s="23"/>
      <c r="D101" s="23"/>
      <c r="E101" s="23"/>
      <c r="F101" s="23"/>
      <c r="G101" s="23"/>
      <c r="H101" s="23"/>
      <c r="I101" s="23"/>
      <c r="J101" s="23"/>
      <c r="K101" s="23"/>
      <c r="L101" s="23"/>
      <c r="M101" s="23"/>
      <c r="N101" s="23"/>
      <c r="O101" s="23"/>
      <c r="P101" s="4"/>
      <c r="Q101" s="23"/>
      <c r="R101" s="23"/>
      <c r="S101" s="23"/>
      <c r="T101" s="4"/>
      <c r="U101" s="4"/>
      <c r="V101" s="4"/>
    </row>
    <row r="102" spans="1:22" x14ac:dyDescent="0.2">
      <c r="A102" s="774"/>
      <c r="B102" s="4"/>
      <c r="C102" s="23"/>
      <c r="D102" s="23"/>
      <c r="E102" s="23"/>
      <c r="F102" s="23"/>
      <c r="G102" s="23"/>
      <c r="H102" s="23"/>
      <c r="I102" s="23"/>
      <c r="J102" s="23"/>
      <c r="K102" s="23"/>
      <c r="L102" s="23"/>
      <c r="M102" s="23"/>
      <c r="N102" s="23"/>
      <c r="O102" s="23"/>
      <c r="P102" s="4"/>
      <c r="Q102" s="23"/>
      <c r="R102" s="23"/>
      <c r="S102" s="23"/>
      <c r="T102" s="4"/>
      <c r="U102" s="4"/>
      <c r="V102" s="4"/>
    </row>
    <row r="103" spans="1:22" x14ac:dyDescent="0.2">
      <c r="A103" s="774"/>
      <c r="B103" s="4"/>
      <c r="C103" s="23"/>
      <c r="D103" s="23"/>
      <c r="E103" s="23"/>
      <c r="F103" s="23"/>
      <c r="G103" s="23"/>
      <c r="H103" s="23"/>
      <c r="I103" s="23"/>
      <c r="J103" s="23"/>
      <c r="K103" s="23"/>
      <c r="L103" s="23"/>
      <c r="M103" s="23"/>
      <c r="N103" s="23"/>
      <c r="O103" s="23"/>
      <c r="P103" s="4"/>
      <c r="Q103" s="23"/>
      <c r="R103" s="23"/>
      <c r="S103" s="23"/>
      <c r="T103" s="4"/>
      <c r="U103" s="4"/>
      <c r="V103" s="4"/>
    </row>
    <row r="104" spans="1:22" x14ac:dyDescent="0.2">
      <c r="A104" s="774"/>
      <c r="B104" s="4"/>
      <c r="C104" s="23"/>
      <c r="D104" s="23"/>
      <c r="E104" s="23"/>
      <c r="F104" s="23"/>
      <c r="G104" s="23"/>
      <c r="H104" s="23"/>
      <c r="I104" s="23"/>
      <c r="J104" s="23"/>
      <c r="K104" s="23"/>
      <c r="L104" s="23"/>
      <c r="M104" s="23"/>
      <c r="N104" s="23"/>
      <c r="O104" s="23"/>
      <c r="P104" s="4"/>
      <c r="Q104" s="23"/>
      <c r="R104" s="23"/>
      <c r="S104" s="23"/>
      <c r="T104" s="4"/>
      <c r="U104" s="4"/>
      <c r="V104" s="4"/>
    </row>
    <row r="105" spans="1:22" x14ac:dyDescent="0.2">
      <c r="A105" s="774"/>
      <c r="B105" s="4"/>
      <c r="C105" s="23"/>
      <c r="D105" s="23"/>
      <c r="E105" s="23"/>
      <c r="F105" s="23"/>
      <c r="G105" s="23"/>
      <c r="H105" s="23"/>
      <c r="I105" s="23"/>
      <c r="J105" s="23"/>
      <c r="K105" s="23"/>
      <c r="L105" s="23"/>
      <c r="M105" s="23"/>
      <c r="N105" s="23"/>
      <c r="O105" s="23"/>
      <c r="P105" s="4"/>
      <c r="Q105" s="23"/>
      <c r="R105" s="23"/>
      <c r="S105" s="23"/>
      <c r="T105" s="4"/>
      <c r="U105" s="4"/>
      <c r="V105" s="4"/>
    </row>
    <row r="106" spans="1:22" x14ac:dyDescent="0.2">
      <c r="A106" s="774"/>
      <c r="B106" s="4"/>
      <c r="C106" s="23"/>
      <c r="D106" s="23"/>
      <c r="E106" s="23"/>
      <c r="F106" s="23"/>
      <c r="G106" s="23"/>
      <c r="H106" s="23"/>
      <c r="I106" s="23"/>
      <c r="J106" s="23"/>
      <c r="K106" s="23"/>
      <c r="L106" s="23"/>
      <c r="M106" s="23"/>
      <c r="N106" s="23"/>
      <c r="O106" s="23"/>
      <c r="P106" s="4"/>
      <c r="Q106" s="23"/>
      <c r="R106" s="23"/>
      <c r="S106" s="23"/>
      <c r="T106" s="4"/>
      <c r="U106" s="4"/>
      <c r="V106" s="4"/>
    </row>
    <row r="107" spans="1:22" x14ac:dyDescent="0.2">
      <c r="A107" s="774"/>
      <c r="B107" s="4"/>
      <c r="C107" s="23"/>
      <c r="D107" s="23"/>
      <c r="E107" s="23"/>
      <c r="F107" s="23"/>
      <c r="G107" s="23"/>
      <c r="H107" s="23"/>
      <c r="I107" s="23"/>
      <c r="J107" s="23"/>
      <c r="K107" s="23"/>
      <c r="L107" s="23"/>
      <c r="M107" s="23"/>
      <c r="N107" s="23"/>
      <c r="O107" s="23"/>
      <c r="P107" s="4"/>
      <c r="Q107" s="23"/>
      <c r="R107" s="23"/>
      <c r="S107" s="23"/>
      <c r="T107" s="4"/>
      <c r="U107" s="4"/>
      <c r="V107" s="4"/>
    </row>
    <row r="108" spans="1:22" x14ac:dyDescent="0.2">
      <c r="A108" s="774"/>
      <c r="B108" s="4"/>
      <c r="C108" s="23"/>
      <c r="D108" s="23"/>
      <c r="E108" s="23"/>
      <c r="F108" s="23"/>
      <c r="G108" s="23"/>
      <c r="H108" s="23"/>
      <c r="I108" s="23"/>
      <c r="J108" s="23"/>
      <c r="K108" s="23"/>
      <c r="L108" s="23"/>
      <c r="M108" s="23"/>
      <c r="N108" s="23"/>
      <c r="O108" s="23"/>
      <c r="P108" s="4"/>
      <c r="Q108" s="23"/>
      <c r="R108" s="23"/>
      <c r="S108" s="23"/>
      <c r="T108" s="4"/>
      <c r="U108" s="4"/>
      <c r="V108" s="4"/>
    </row>
    <row r="109" spans="1:22" x14ac:dyDescent="0.2">
      <c r="A109" s="774"/>
      <c r="B109" s="4"/>
      <c r="C109" s="23"/>
      <c r="D109" s="23"/>
      <c r="E109" s="23"/>
      <c r="F109" s="23"/>
      <c r="G109" s="23"/>
      <c r="H109" s="23"/>
      <c r="I109" s="23"/>
      <c r="J109" s="23"/>
      <c r="K109" s="23"/>
      <c r="L109" s="23"/>
      <c r="M109" s="23"/>
      <c r="N109" s="23"/>
      <c r="O109" s="23"/>
      <c r="P109" s="4"/>
      <c r="Q109" s="23"/>
      <c r="R109" s="23"/>
      <c r="S109" s="23"/>
      <c r="T109" s="4"/>
      <c r="U109" s="4"/>
      <c r="V109" s="4"/>
    </row>
    <row r="110" spans="1:22" x14ac:dyDescent="0.2">
      <c r="A110" s="774"/>
      <c r="B110" s="4"/>
      <c r="C110" s="23"/>
      <c r="D110" s="23"/>
      <c r="E110" s="23"/>
      <c r="F110" s="23"/>
      <c r="G110" s="23"/>
      <c r="H110" s="23"/>
      <c r="I110" s="23"/>
      <c r="J110" s="23"/>
      <c r="K110" s="23"/>
      <c r="L110" s="23"/>
      <c r="M110" s="23"/>
      <c r="N110" s="23"/>
      <c r="O110" s="23"/>
      <c r="P110" s="4"/>
      <c r="Q110" s="23"/>
      <c r="R110" s="23"/>
      <c r="S110" s="23"/>
      <c r="T110" s="4"/>
      <c r="U110" s="4"/>
      <c r="V110" s="4"/>
    </row>
    <row r="111" spans="1:22" x14ac:dyDescent="0.2">
      <c r="C111" s="212"/>
      <c r="D111" s="212"/>
      <c r="E111" s="212"/>
      <c r="F111" s="212"/>
      <c r="G111" s="212"/>
      <c r="H111" s="212"/>
      <c r="I111" s="212"/>
      <c r="J111" s="212"/>
      <c r="K111" s="212"/>
      <c r="L111" s="212"/>
      <c r="M111" s="212"/>
      <c r="N111" s="212"/>
      <c r="O111" s="212"/>
    </row>
    <row r="112" spans="1:22" x14ac:dyDescent="0.2">
      <c r="C112" s="212"/>
      <c r="D112" s="212"/>
      <c r="E112" s="212"/>
      <c r="F112" s="212"/>
      <c r="G112" s="212"/>
      <c r="H112" s="212"/>
      <c r="I112" s="212"/>
      <c r="J112" s="212"/>
      <c r="K112" s="212"/>
      <c r="L112" s="212"/>
      <c r="M112" s="212"/>
      <c r="N112" s="212"/>
      <c r="O112" s="212"/>
    </row>
    <row r="113" spans="3:3" x14ac:dyDescent="0.2">
      <c r="C113" s="212"/>
    </row>
    <row r="114" spans="3:3" x14ac:dyDescent="0.2">
      <c r="C114" s="212"/>
    </row>
    <row r="115" spans="3:3" x14ac:dyDescent="0.2">
      <c r="C115" s="212"/>
    </row>
    <row r="116" spans="3:3" x14ac:dyDescent="0.2">
      <c r="C116" s="212"/>
    </row>
    <row r="117" spans="3:3" x14ac:dyDescent="0.2">
      <c r="C117" s="212"/>
    </row>
    <row r="118" spans="3:3" x14ac:dyDescent="0.2">
      <c r="C118" s="212"/>
    </row>
    <row r="119" spans="3:3" x14ac:dyDescent="0.2">
      <c r="C119" s="212"/>
    </row>
    <row r="120" spans="3:3" x14ac:dyDescent="0.2">
      <c r="C120" s="212"/>
    </row>
    <row r="121" spans="3:3" x14ac:dyDescent="0.2">
      <c r="C121" s="212"/>
    </row>
    <row r="122" spans="3:3" x14ac:dyDescent="0.2">
      <c r="C122" s="212"/>
    </row>
    <row r="123" spans="3:3" x14ac:dyDescent="0.2">
      <c r="C123" s="212"/>
    </row>
    <row r="124" spans="3:3" x14ac:dyDescent="0.2">
      <c r="C124" s="212"/>
    </row>
    <row r="125" spans="3:3" x14ac:dyDescent="0.2">
      <c r="C125" s="212"/>
    </row>
    <row r="126" spans="3:3" x14ac:dyDescent="0.2">
      <c r="C126" s="212"/>
    </row>
    <row r="127" spans="3:3" x14ac:dyDescent="0.2">
      <c r="C127" s="212"/>
    </row>
    <row r="128" spans="3:3" x14ac:dyDescent="0.2">
      <c r="C128" s="212"/>
    </row>
    <row r="129" spans="3:3" x14ac:dyDescent="0.2">
      <c r="C129" s="212"/>
    </row>
    <row r="130" spans="3:3" x14ac:dyDescent="0.2">
      <c r="C130" s="212"/>
    </row>
    <row r="131" spans="3:3" x14ac:dyDescent="0.2">
      <c r="C131" s="212"/>
    </row>
    <row r="132" spans="3:3" x14ac:dyDescent="0.2">
      <c r="C132" s="212"/>
    </row>
    <row r="133" spans="3:3" x14ac:dyDescent="0.2">
      <c r="C133" s="212"/>
    </row>
    <row r="134" spans="3:3" x14ac:dyDescent="0.2">
      <c r="C134" s="212"/>
    </row>
    <row r="135" spans="3:3" x14ac:dyDescent="0.2">
      <c r="C135" s="212"/>
    </row>
    <row r="136" spans="3:3" x14ac:dyDescent="0.2">
      <c r="C136" s="212"/>
    </row>
    <row r="137" spans="3:3" x14ac:dyDescent="0.2">
      <c r="C137" s="212"/>
    </row>
    <row r="138" spans="3:3" x14ac:dyDescent="0.2">
      <c r="C138" s="212"/>
    </row>
    <row r="139" spans="3:3" x14ac:dyDescent="0.2">
      <c r="C139" s="212"/>
    </row>
    <row r="140" spans="3:3" x14ac:dyDescent="0.2">
      <c r="C140" s="212"/>
    </row>
    <row r="141" spans="3:3" x14ac:dyDescent="0.2">
      <c r="C141" s="212"/>
    </row>
    <row r="142" spans="3:3" x14ac:dyDescent="0.2">
      <c r="C142" s="212"/>
    </row>
    <row r="143" spans="3:3" x14ac:dyDescent="0.2">
      <c r="C143" s="212"/>
    </row>
    <row r="144" spans="3:3" x14ac:dyDescent="0.2">
      <c r="C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row r="160" spans="3:3" x14ac:dyDescent="0.2">
      <c r="C160" s="212"/>
    </row>
  </sheetData>
  <phoneticPr fontId="0" type="noConversion"/>
  <hyperlinks>
    <hyperlink ref="A1" location="'Working Budget with funding det'!A1" display="Main " xr:uid="{00000000-0004-0000-2100-000000000000}"/>
    <hyperlink ref="B1" location="'Table of Contents'!A1" display="TOC" xr:uid="{00000000-0004-0000-2100-000001000000}"/>
  </hyperlinks>
  <pageMargins left="0.75" right="0.75" top="1" bottom="1" header="0.5" footer="0.5"/>
  <pageSetup scale="69" orientation="landscape" r:id="rId1"/>
  <headerFooter alignWithMargins="0">
    <oddFooter>&amp;L&amp;D     &amp;T&amp;C&amp;F&amp;R&amp;A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A1:Z123"/>
  <sheetViews>
    <sheetView zoomScaleNormal="100" workbookViewId="0">
      <pane ySplit="7" topLeftCell="A85" activePane="bottomLeft" state="frozen"/>
      <selection activeCell="P15" sqref="P15"/>
      <selection pane="bottomLeft" activeCell="O91" sqref="O91"/>
    </sheetView>
  </sheetViews>
  <sheetFormatPr defaultRowHeight="12.75" x14ac:dyDescent="0.2"/>
  <cols>
    <col min="1" max="1" width="10.83203125" style="783" customWidth="1"/>
    <col min="2" max="2" width="36" customWidth="1"/>
    <col min="3" max="3" width="15.33203125" style="1" hidden="1" customWidth="1"/>
    <col min="4" max="12" width="15.33203125" style="106" hidden="1" customWidth="1"/>
    <col min="13" max="15" width="15.33203125" style="106" customWidth="1"/>
    <col min="16" max="20" width="14.5" style="1" customWidth="1"/>
    <col min="21" max="21" width="17.1640625" customWidth="1"/>
    <col min="22" max="22" width="14" customWidth="1"/>
    <col min="23" max="23" width="14.5" customWidth="1"/>
    <col min="24" max="24" width="14.6640625" style="76" customWidth="1"/>
    <col min="25" max="25" width="14.5" customWidth="1"/>
    <col min="26" max="26" width="13.6640625" style="2" customWidth="1"/>
    <col min="27" max="27" width="12.6640625" customWidth="1"/>
    <col min="28" max="28" width="14.1640625" customWidth="1"/>
    <col min="29" max="29" width="12.33203125" bestFit="1" customWidth="1"/>
  </cols>
  <sheetData>
    <row r="1" spans="1:25" x14ac:dyDescent="0.2">
      <c r="A1" s="772" t="s">
        <v>847</v>
      </c>
      <c r="B1" s="308" t="s">
        <v>197</v>
      </c>
      <c r="D1" s="212"/>
      <c r="E1" s="212"/>
      <c r="F1" s="212"/>
      <c r="G1" s="212"/>
      <c r="H1" s="212"/>
      <c r="I1" s="212"/>
      <c r="J1" s="212"/>
      <c r="K1" s="212"/>
      <c r="L1" s="212"/>
      <c r="M1" s="212"/>
      <c r="N1" s="212"/>
      <c r="O1" s="212"/>
      <c r="S1"/>
      <c r="T1"/>
      <c r="X1" s="220"/>
    </row>
    <row r="2" spans="1:25" ht="15" x14ac:dyDescent="0.25">
      <c r="A2" s="773" t="s">
        <v>1286</v>
      </c>
      <c r="B2" s="43"/>
      <c r="D2" s="212"/>
      <c r="E2" s="126"/>
      <c r="F2" s="212"/>
      <c r="G2" s="212"/>
      <c r="H2" s="212"/>
      <c r="I2" s="126" t="s">
        <v>816</v>
      </c>
      <c r="J2" s="126"/>
      <c r="K2" s="126"/>
      <c r="L2" s="126"/>
      <c r="M2" s="126"/>
      <c r="N2" s="126"/>
      <c r="O2" s="126"/>
      <c r="P2" s="58" t="s">
        <v>1287</v>
      </c>
      <c r="S2" s="44" t="s">
        <v>1288</v>
      </c>
      <c r="X2" s="220"/>
    </row>
    <row r="3" spans="1:25" ht="13.5" thickBot="1" x14ac:dyDescent="0.25">
      <c r="A3" s="774"/>
      <c r="B3" s="4"/>
      <c r="C3" s="23"/>
      <c r="D3" s="23"/>
      <c r="E3" s="23"/>
      <c r="F3" s="23"/>
      <c r="G3" s="23"/>
      <c r="H3" s="23"/>
      <c r="I3" s="23"/>
      <c r="J3" s="23"/>
      <c r="K3" s="23"/>
      <c r="L3" s="23"/>
      <c r="M3" s="23"/>
      <c r="N3" s="23"/>
      <c r="O3" s="23"/>
      <c r="P3" s="23"/>
      <c r="Q3" s="23"/>
      <c r="R3" s="23"/>
      <c r="S3" s="4"/>
      <c r="T3" s="4"/>
      <c r="W3" s="4"/>
      <c r="X3" s="4"/>
      <c r="Y3" s="4"/>
    </row>
    <row r="4" spans="1:25" ht="13.5" thickTop="1" x14ac:dyDescent="0.2">
      <c r="A4" s="775"/>
      <c r="B4" s="542"/>
      <c r="C4" s="114" t="s">
        <v>280</v>
      </c>
      <c r="D4" s="230" t="s">
        <v>280</v>
      </c>
      <c r="E4" s="230" t="s">
        <v>280</v>
      </c>
      <c r="F4" s="230" t="s">
        <v>280</v>
      </c>
      <c r="G4" s="230" t="s">
        <v>280</v>
      </c>
      <c r="H4" s="104" t="s">
        <v>280</v>
      </c>
      <c r="I4" s="248" t="s">
        <v>280</v>
      </c>
      <c r="J4" s="248" t="s">
        <v>280</v>
      </c>
      <c r="K4" s="248" t="s">
        <v>279</v>
      </c>
      <c r="L4" s="248" t="s">
        <v>280</v>
      </c>
      <c r="M4" s="248" t="s">
        <v>279</v>
      </c>
      <c r="N4" s="248" t="s">
        <v>280</v>
      </c>
      <c r="O4" s="248" t="s">
        <v>279</v>
      </c>
      <c r="P4" s="104" t="s">
        <v>818</v>
      </c>
      <c r="Q4" s="80" t="s">
        <v>571</v>
      </c>
      <c r="R4" s="80" t="s">
        <v>571</v>
      </c>
      <c r="S4" s="293" t="s">
        <v>571</v>
      </c>
      <c r="T4" s="212"/>
      <c r="X4" s="220"/>
    </row>
    <row r="5" spans="1:25" x14ac:dyDescent="0.2">
      <c r="A5" s="776"/>
      <c r="B5" s="202"/>
      <c r="C5" s="113"/>
      <c r="D5" s="82"/>
      <c r="E5" s="105"/>
      <c r="F5" s="82"/>
      <c r="G5" s="82"/>
      <c r="H5" s="105"/>
      <c r="I5" s="249"/>
      <c r="J5" s="249"/>
      <c r="K5" s="249"/>
      <c r="L5" s="249"/>
      <c r="M5" s="249"/>
      <c r="N5" s="249"/>
      <c r="O5" s="249"/>
      <c r="P5" s="105" t="s">
        <v>819</v>
      </c>
      <c r="Q5" s="86" t="s">
        <v>820</v>
      </c>
      <c r="R5" s="86" t="s">
        <v>821</v>
      </c>
      <c r="S5" s="196" t="s">
        <v>822</v>
      </c>
      <c r="X5" s="220"/>
    </row>
    <row r="6" spans="1:25" x14ac:dyDescent="0.2">
      <c r="A6" s="776"/>
      <c r="B6" s="202"/>
      <c r="C6" s="113"/>
      <c r="D6" s="113"/>
      <c r="E6" s="113"/>
      <c r="F6" s="113"/>
      <c r="G6" s="113"/>
      <c r="H6" s="113"/>
      <c r="I6" s="86"/>
      <c r="J6" s="86"/>
      <c r="K6" s="86"/>
      <c r="L6" s="86"/>
      <c r="M6" s="86"/>
      <c r="N6" s="86"/>
      <c r="O6" s="86"/>
      <c r="P6" s="113"/>
      <c r="Q6" s="86" t="s">
        <v>823</v>
      </c>
      <c r="R6" s="86" t="s">
        <v>585</v>
      </c>
      <c r="S6" s="85" t="s">
        <v>824</v>
      </c>
      <c r="X6" s="220"/>
    </row>
    <row r="7" spans="1:25"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c r="X7" s="220"/>
    </row>
    <row r="8" spans="1:25" ht="13.5" thickTop="1" x14ac:dyDescent="0.2">
      <c r="A8" s="778"/>
      <c r="B8" s="157"/>
      <c r="C8" s="118"/>
      <c r="D8" s="18"/>
      <c r="E8" s="18"/>
      <c r="F8" s="18"/>
      <c r="G8" s="18"/>
      <c r="H8" s="18"/>
      <c r="I8" s="19"/>
      <c r="J8" s="19"/>
      <c r="K8" s="19"/>
      <c r="L8" s="19"/>
      <c r="M8" s="19"/>
      <c r="N8" s="19"/>
      <c r="O8" s="19"/>
      <c r="P8" s="18"/>
      <c r="Q8" s="19"/>
      <c r="R8" s="19"/>
      <c r="S8" s="19"/>
      <c r="X8" s="220"/>
    </row>
    <row r="9" spans="1:25" x14ac:dyDescent="0.2">
      <c r="A9" s="779">
        <v>5112</v>
      </c>
      <c r="B9" s="60" t="s">
        <v>1289</v>
      </c>
      <c r="C9" s="116">
        <f>+'192 Public Bldgs'!C9+'422 Maintenance'!C9+'652 Parks'!C9</f>
        <v>650432.08000000007</v>
      </c>
      <c r="D9" s="13">
        <f>+'192 Public Bldgs'!D9+'422 Maintenance'!D9+'652 Parks'!D9</f>
        <v>699937.45999999985</v>
      </c>
      <c r="E9" s="13">
        <f>+'192 Public Bldgs'!E9+'422 Maintenance'!E9+'652 Parks'!E9</f>
        <v>694793.07000000007</v>
      </c>
      <c r="F9" s="13">
        <f>+'192 Public Bldgs'!F9+'422 Maintenance'!F9+'652 Parks'!F9</f>
        <v>721817.33</v>
      </c>
      <c r="G9" s="13">
        <f>+'192 Public Bldgs'!G9+'422 Maintenance'!G9+'652 Parks'!G9</f>
        <v>773672.43</v>
      </c>
      <c r="H9" s="13">
        <f>+'192 Public Bldgs'!H9+'422 Maintenance'!H9+'652 Parks'!H9</f>
        <v>808516.96</v>
      </c>
      <c r="I9" s="13">
        <f>+'192 Public Bldgs'!I9+'422 Maintenance'!I9+'652 Parks'!I9</f>
        <v>819356.52</v>
      </c>
      <c r="J9" s="13">
        <f>+'192 Public Bldgs'!J9+'422 Maintenance'!J9+'652 Parks'!J9</f>
        <v>876217.06</v>
      </c>
      <c r="K9" s="40">
        <f>+'192 Public Bldgs'!K9+'422 Maintenance'!K9+'652 Parks'!K9</f>
        <v>923808</v>
      </c>
      <c r="L9" s="13">
        <f>+'192 Public Bldgs'!L9+'422 Maintenance'!L9+'652 Parks'!L9</f>
        <v>891930.96000000008</v>
      </c>
      <c r="M9" s="40">
        <f>+'192 Public Bldgs'!M9+'422 Maintenance'!M9+'652 Parks'!M9</f>
        <v>949883</v>
      </c>
      <c r="N9" s="13">
        <f>+'192 Public Bldgs'!N9+'422 Maintenance'!N9+'652 Parks'!N9</f>
        <v>889472.04</v>
      </c>
      <c r="O9" s="40">
        <f>+'192 Public Bldgs'!O9+'422 Maintenance'!O9+'652 Parks'!O9</f>
        <v>973039</v>
      </c>
      <c r="P9" s="13">
        <f>+'192 Public Bldgs'!P9+'422 Maintenance'!P9+'652 Parks'!P9</f>
        <v>450502.35000000003</v>
      </c>
      <c r="Q9" s="40">
        <f>+'192 Public Bldgs'!Q9+'422 Maintenance'!Q9+'652 Parks'!Q9</f>
        <v>1086740.8</v>
      </c>
      <c r="R9" s="40">
        <f>+'192 Public Bldgs'!R9+'422 Maintenance'!R9+'652 Parks'!R9</f>
        <v>0</v>
      </c>
      <c r="S9" s="40">
        <f>+'192 Public Bldgs'!S9+'422 Maintenance'!S9+'652 Parks'!S9</f>
        <v>0</v>
      </c>
      <c r="X9" s="220"/>
    </row>
    <row r="10" spans="1:25" x14ac:dyDescent="0.2">
      <c r="A10" s="779">
        <v>5124</v>
      </c>
      <c r="B10" s="60" t="s">
        <v>1290</v>
      </c>
      <c r="C10" s="116">
        <f>+'652 Parks'!C10</f>
        <v>4630</v>
      </c>
      <c r="D10" s="13">
        <f>+'652 Parks'!D10</f>
        <v>4240.57</v>
      </c>
      <c r="E10" s="13">
        <f>+'652 Parks'!E10</f>
        <v>3855</v>
      </c>
      <c r="F10" s="13">
        <f>+'652 Parks'!F10</f>
        <v>5060</v>
      </c>
      <c r="G10" s="13">
        <f>+'652 Parks'!G10</f>
        <v>3335</v>
      </c>
      <c r="H10" s="13">
        <f>+'652 Parks'!H10</f>
        <v>4303.75</v>
      </c>
      <c r="I10" s="13">
        <f>+'652 Parks'!I10</f>
        <v>3720</v>
      </c>
      <c r="J10" s="13">
        <f>+'652 Parks'!J10</f>
        <v>9017.6299999999992</v>
      </c>
      <c r="K10" s="40">
        <f>+'652 Parks'!K10</f>
        <v>6000</v>
      </c>
      <c r="L10" s="13">
        <f>+'652 Parks'!L10</f>
        <v>9774.94</v>
      </c>
      <c r="M10" s="40">
        <f>+'652 Parks'!M10</f>
        <v>12000</v>
      </c>
      <c r="N10" s="13">
        <f>+'652 Parks'!N10</f>
        <v>9792.3799999999992</v>
      </c>
      <c r="O10" s="40">
        <f>+'652 Parks'!O10</f>
        <v>19000</v>
      </c>
      <c r="P10" s="13">
        <f>+'652 Parks'!P10</f>
        <v>3562.5</v>
      </c>
      <c r="Q10" s="40">
        <f>+'652 Parks'!Q10+P91+P92+P93</f>
        <v>43200</v>
      </c>
      <c r="R10" s="40">
        <f>+'652 Parks'!R10</f>
        <v>0</v>
      </c>
      <c r="S10" s="40">
        <f>+'652 Parks'!S10</f>
        <v>0</v>
      </c>
      <c r="X10" s="220"/>
    </row>
    <row r="11" spans="1:25" x14ac:dyDescent="0.2">
      <c r="A11" s="779">
        <v>5132</v>
      </c>
      <c r="B11" s="60" t="s">
        <v>1291</v>
      </c>
      <c r="C11" s="116">
        <f>+'192 Public Bldgs'!C10+'422 Maintenance'!C10+'652 Parks'!C11</f>
        <v>12576.779999999999</v>
      </c>
      <c r="D11" s="13">
        <f>+'192 Public Bldgs'!D10+'422 Maintenance'!D10+'652 Parks'!D11</f>
        <v>11853.079999999998</v>
      </c>
      <c r="E11" s="13">
        <f>+'192 Public Bldgs'!E10+'422 Maintenance'!E10+'652 Parks'!E11</f>
        <v>7958.420000000001</v>
      </c>
      <c r="F11" s="13">
        <f>+'192 Public Bldgs'!F10+'422 Maintenance'!F10+'652 Parks'!F11</f>
        <v>7922.45</v>
      </c>
      <c r="G11" s="13">
        <f>+'192 Public Bldgs'!G10+'422 Maintenance'!G10+'652 Parks'!G11</f>
        <v>9747.4700000000012</v>
      </c>
      <c r="H11" s="13">
        <f>+'192 Public Bldgs'!H10+'422 Maintenance'!H10+'652 Parks'!H11</f>
        <v>8182.2099999999991</v>
      </c>
      <c r="I11" s="13">
        <f>+'192 Public Bldgs'!I10+'422 Maintenance'!I10+'652 Parks'!I11</f>
        <v>14364.1</v>
      </c>
      <c r="J11" s="13">
        <f>+'192 Public Bldgs'!J10+'422 Maintenance'!J10+'652 Parks'!J11</f>
        <v>14736.5</v>
      </c>
      <c r="K11" s="40">
        <f>+'192 Public Bldgs'!K10+'422 Maintenance'!K10+'652 Parks'!K11</f>
        <v>18000</v>
      </c>
      <c r="L11" s="13">
        <f>+'192 Public Bldgs'!L10+'422 Maintenance'!L10+'652 Parks'!L11</f>
        <v>25531.620000000003</v>
      </c>
      <c r="M11" s="40">
        <f>+'192 Public Bldgs'!M10+'422 Maintenance'!M10+'652 Parks'!M11</f>
        <v>22000</v>
      </c>
      <c r="N11" s="13">
        <f>+'192 Public Bldgs'!N10+'422 Maintenance'!N10+'652 Parks'!N11</f>
        <v>23580.43</v>
      </c>
      <c r="O11" s="40">
        <f>+'192 Public Bldgs'!O10+'422 Maintenance'!O10+'652 Parks'!O11</f>
        <v>22500</v>
      </c>
      <c r="P11" s="13">
        <f>+'192 Public Bldgs'!P10+'422 Maintenance'!P10+'652 Parks'!P11</f>
        <v>10992.440000000002</v>
      </c>
      <c r="Q11" s="40">
        <f>+'192 Public Bldgs'!Q10+'422 Maintenance'!Q10+'652 Parks'!Q11</f>
        <v>25000</v>
      </c>
      <c r="R11" s="40">
        <f>+'192 Public Bldgs'!R10+'422 Maintenance'!R10+'652 Parks'!R11</f>
        <v>0</v>
      </c>
      <c r="S11" s="40">
        <f>+'192 Public Bldgs'!S10+'422 Maintenance'!S10+'652 Parks'!S11</f>
        <v>0</v>
      </c>
      <c r="X11" s="220"/>
    </row>
    <row r="12" spans="1:25" x14ac:dyDescent="0.2">
      <c r="A12" s="779">
        <v>5142</v>
      </c>
      <c r="B12" s="60" t="s">
        <v>1146</v>
      </c>
      <c r="C12" s="116">
        <f>+'422 Maintenance'!C11+'652 Parks'!C12+'192 Public Bldgs'!C11</f>
        <v>5871.95</v>
      </c>
      <c r="D12" s="13">
        <f>+'422 Maintenance'!D11+'652 Parks'!D12+'192 Public Bldgs'!D11</f>
        <v>6242.7900000000009</v>
      </c>
      <c r="E12" s="13">
        <f>+'422 Maintenance'!E11+'652 Parks'!E12+'192 Public Bldgs'!E11</f>
        <v>6305.43</v>
      </c>
      <c r="F12" s="13">
        <f>+'422 Maintenance'!F11+'652 Parks'!F12+'192 Public Bldgs'!F11</f>
        <v>6277.31</v>
      </c>
      <c r="G12" s="13">
        <f>+'422 Maintenance'!G11+'652 Parks'!G12+'192 Public Bldgs'!G11</f>
        <v>7745.86</v>
      </c>
      <c r="H12" s="13">
        <f>+'422 Maintenance'!H11+'652 Parks'!H12+'192 Public Bldgs'!H11</f>
        <v>10630.82</v>
      </c>
      <c r="I12" s="13">
        <f>+'422 Maintenance'!I11+'652 Parks'!I12+'192 Public Bldgs'!I11</f>
        <v>11139.42</v>
      </c>
      <c r="J12" s="13">
        <f>+'422 Maintenance'!J11+'652 Parks'!J12+'192 Public Bldgs'!J11</f>
        <v>13959.15</v>
      </c>
      <c r="K12" s="40">
        <f>+'422 Maintenance'!K11+'652 Parks'!K12+'192 Public Bldgs'!K11</f>
        <v>15250</v>
      </c>
      <c r="L12" s="13">
        <f>+'422 Maintenance'!L11+'652 Parks'!L12+'192 Public Bldgs'!L11</f>
        <v>14013.01</v>
      </c>
      <c r="M12" s="40">
        <f>+'422 Maintenance'!M11+'652 Parks'!M12+'192 Public Bldgs'!M11</f>
        <v>18250</v>
      </c>
      <c r="N12" s="13">
        <f>+'422 Maintenance'!N11+'652 Parks'!N12+'192 Public Bldgs'!N11</f>
        <v>14367.25</v>
      </c>
      <c r="O12" s="40">
        <f>+'422 Maintenance'!O11+'652 Parks'!O12+'192 Public Bldgs'!O11</f>
        <v>20490</v>
      </c>
      <c r="P12" s="13">
        <f>+'422 Maintenance'!P11+'652 Parks'!P12+'192 Public Bldgs'!P11</f>
        <v>10578.25</v>
      </c>
      <c r="Q12" s="40">
        <f>+'422 Maintenance'!Q11+'652 Parks'!Q12+'192 Public Bldgs'!Q11</f>
        <v>16975</v>
      </c>
      <c r="R12" s="40">
        <f>+'422 Maintenance'!R11+'652 Parks'!R12+'192 Public Bldgs'!R11</f>
        <v>0</v>
      </c>
      <c r="S12" s="40">
        <f>+'422 Maintenance'!S11+'652 Parks'!S12+'192 Public Bldgs'!S11</f>
        <v>0</v>
      </c>
      <c r="X12" s="220"/>
    </row>
    <row r="13" spans="1:25" x14ac:dyDescent="0.2">
      <c r="A13" s="779">
        <v>5144</v>
      </c>
      <c r="B13" s="60" t="s">
        <v>27</v>
      </c>
      <c r="C13" s="116">
        <f>+'422 Maintenance'!C12</f>
        <v>2600</v>
      </c>
      <c r="D13" s="13">
        <f>+'422 Maintenance'!D12</f>
        <v>3750</v>
      </c>
      <c r="E13" s="13">
        <f>+'422 Maintenance'!E12</f>
        <v>3000</v>
      </c>
      <c r="F13" s="13">
        <f>+'422 Maintenance'!F12</f>
        <v>2200</v>
      </c>
      <c r="G13" s="13">
        <f>+'422 Maintenance'!G12</f>
        <v>4140</v>
      </c>
      <c r="H13" s="13">
        <f>+'422 Maintenance'!H12</f>
        <v>3620</v>
      </c>
      <c r="I13" s="13">
        <f>+'422 Maintenance'!I12</f>
        <v>3640</v>
      </c>
      <c r="J13" s="13">
        <f>+'422 Maintenance'!J12</f>
        <v>3400</v>
      </c>
      <c r="K13" s="40">
        <f>+'422 Maintenance'!K12</f>
        <v>3000</v>
      </c>
      <c r="L13" s="13">
        <f>+'422 Maintenance'!L12</f>
        <v>2000</v>
      </c>
      <c r="M13" s="40">
        <f>+'422 Maintenance'!M12</f>
        <v>3600</v>
      </c>
      <c r="N13" s="13">
        <f>+'422 Maintenance'!N12</f>
        <v>1700</v>
      </c>
      <c r="O13" s="40">
        <f>+'422 Maintenance'!O12</f>
        <v>2100</v>
      </c>
      <c r="P13" s="13">
        <f>+'422 Maintenance'!P12</f>
        <v>600</v>
      </c>
      <c r="Q13" s="40">
        <f>+'422 Maintenance'!Q12</f>
        <v>3700</v>
      </c>
      <c r="R13" s="40">
        <f>+'422 Maintenance'!R12</f>
        <v>0</v>
      </c>
      <c r="S13" s="40">
        <f>+'422 Maintenance'!S12</f>
        <v>0</v>
      </c>
      <c r="X13" s="220"/>
    </row>
    <row r="14" spans="1:25" x14ac:dyDescent="0.2">
      <c r="A14" s="779">
        <v>5144</v>
      </c>
      <c r="B14" s="60" t="s">
        <v>1148</v>
      </c>
      <c r="C14" s="116">
        <f>+'422 Maintenance'!C13</f>
        <v>600.08000000000004</v>
      </c>
      <c r="D14" s="13">
        <f>+'422 Maintenance'!D13</f>
        <v>842.42</v>
      </c>
      <c r="E14" s="13">
        <f>+'422 Maintenance'!E13</f>
        <v>1200.1600000000001</v>
      </c>
      <c r="F14" s="13">
        <f>+'422 Maintenance'!F13</f>
        <v>1223.24</v>
      </c>
      <c r="G14" s="13">
        <f>+'422 Maintenance'!G13</f>
        <v>1119.3800000000001</v>
      </c>
      <c r="H14" s="13">
        <f>+'422 Maintenance'!H13</f>
        <v>946.28</v>
      </c>
      <c r="I14" s="13">
        <f>+'422 Maintenance'!I13</f>
        <v>1488.66</v>
      </c>
      <c r="J14" s="13">
        <f>+'422 Maintenance'!J13</f>
        <v>1500.2</v>
      </c>
      <c r="K14" s="40">
        <f>+'422 Maintenance'!K13</f>
        <v>1525</v>
      </c>
      <c r="L14" s="13">
        <f>+'422 Maintenance'!L13</f>
        <v>1529.05</v>
      </c>
      <c r="M14" s="40">
        <f>+'422 Maintenance'!M13</f>
        <v>1525</v>
      </c>
      <c r="N14" s="13">
        <f>+'422 Maintenance'!N13</f>
        <v>1217.47</v>
      </c>
      <c r="O14" s="40">
        <f>+'422 Maintenance'!O13</f>
        <v>1525</v>
      </c>
      <c r="P14" s="13">
        <f>+'422 Maintenance'!P13</f>
        <v>375.05</v>
      </c>
      <c r="Q14" s="40">
        <f>+'422 Maintenance'!Q13</f>
        <v>1525</v>
      </c>
      <c r="R14" s="40">
        <f>+'422 Maintenance'!R13</f>
        <v>0</v>
      </c>
      <c r="S14" s="40">
        <f>+'422 Maintenance'!S13</f>
        <v>0</v>
      </c>
      <c r="X14" s="220"/>
    </row>
    <row r="15" spans="1:25" x14ac:dyDescent="0.2">
      <c r="A15" s="779">
        <v>5193</v>
      </c>
      <c r="B15" s="60" t="s">
        <v>941</v>
      </c>
      <c r="C15" s="116"/>
      <c r="D15" s="13">
        <f>+'422 Maintenance'!D14</f>
        <v>0</v>
      </c>
      <c r="E15" s="13">
        <f>+'422 Maintenance'!E14</f>
        <v>9799.56</v>
      </c>
      <c r="F15" s="13">
        <f>+'422 Maintenance'!F14</f>
        <v>0</v>
      </c>
      <c r="G15" s="13">
        <f>+'422 Maintenance'!G14</f>
        <v>2150.5</v>
      </c>
      <c r="H15" s="13">
        <f>+'422 Maintenance'!H14</f>
        <v>4111.34</v>
      </c>
      <c r="I15" s="13">
        <f>+'422 Maintenance'!I14</f>
        <v>8358</v>
      </c>
      <c r="J15" s="13">
        <f>+'422 Maintenance'!J14</f>
        <v>5172.6400000000003</v>
      </c>
      <c r="K15" s="40">
        <f>+'422 Maintenance'!K14</f>
        <v>0</v>
      </c>
      <c r="L15" s="13">
        <f>+'422 Maintenance'!L14</f>
        <v>1303.8</v>
      </c>
      <c r="M15" s="40">
        <f>+'422 Maintenance'!M14</f>
        <v>11292</v>
      </c>
      <c r="N15" s="13">
        <f>+'422 Maintenance'!N14</f>
        <v>21174.18</v>
      </c>
      <c r="O15" s="40">
        <f>+'422 Maintenance'!O14</f>
        <v>0</v>
      </c>
      <c r="P15" s="13">
        <f>+'422 Maintenance'!P14</f>
        <v>854.8</v>
      </c>
      <c r="Q15" s="40">
        <f>+'422 Maintenance'!Q14</f>
        <v>0</v>
      </c>
      <c r="R15" s="40">
        <f>+'422 Maintenance'!R14</f>
        <v>0</v>
      </c>
      <c r="S15" s="40">
        <f>+'422 Maintenance'!S14</f>
        <v>0</v>
      </c>
      <c r="X15" s="220"/>
    </row>
    <row r="16" spans="1:25" ht="13.5" thickBot="1" x14ac:dyDescent="0.25">
      <c r="A16" s="779">
        <v>5194</v>
      </c>
      <c r="B16" s="60" t="s">
        <v>942</v>
      </c>
      <c r="C16" s="600">
        <f>+'422 Maintenance'!C15</f>
        <v>0</v>
      </c>
      <c r="D16" s="37">
        <f>+'422 Maintenance'!D15</f>
        <v>0</v>
      </c>
      <c r="E16" s="37">
        <f>+'422 Maintenance'!E15</f>
        <v>5134.3</v>
      </c>
      <c r="F16" s="37">
        <f>+'422 Maintenance'!F15</f>
        <v>0</v>
      </c>
      <c r="G16" s="37">
        <f>+'422 Maintenance'!G15</f>
        <v>1553.75</v>
      </c>
      <c r="H16" s="37">
        <f>+'422 Maintenance'!H15</f>
        <v>7000</v>
      </c>
      <c r="I16" s="37">
        <f>+'422 Maintenance'!I15</f>
        <v>3500</v>
      </c>
      <c r="J16" s="37">
        <f>+'422 Maintenance'!J15</f>
        <v>709.2</v>
      </c>
      <c r="K16" s="181">
        <f>+'422 Maintenance'!K15</f>
        <v>0</v>
      </c>
      <c r="L16" s="37">
        <f>+'422 Maintenance'!L15</f>
        <v>0</v>
      </c>
      <c r="M16" s="181">
        <f>+'422 Maintenance'!M15</f>
        <v>4200</v>
      </c>
      <c r="N16" s="37">
        <f>+'422 Maintenance'!N15</f>
        <v>4791.7299999999996</v>
      </c>
      <c r="O16" s="181">
        <f>+'422 Maintenance'!O15</f>
        <v>0</v>
      </c>
      <c r="P16" s="37">
        <f>+'422 Maintenance'!P15</f>
        <v>0</v>
      </c>
      <c r="Q16" s="181">
        <f>+'422 Maintenance'!Q15</f>
        <v>0</v>
      </c>
      <c r="R16" s="181">
        <f>+'422 Maintenance'!R15</f>
        <v>0</v>
      </c>
      <c r="S16" s="181">
        <f>+'422 Maintenance'!S15</f>
        <v>0</v>
      </c>
      <c r="X16" s="220"/>
    </row>
    <row r="17" spans="1:19" x14ac:dyDescent="0.2">
      <c r="A17" s="779"/>
      <c r="B17" s="61" t="s">
        <v>828</v>
      </c>
      <c r="C17" s="118">
        <f t="shared" ref="C17:Q17" si="0">SUM(C9:C16)</f>
        <v>676710.89</v>
      </c>
      <c r="D17" s="18">
        <f t="shared" si="0"/>
        <v>726866.31999999983</v>
      </c>
      <c r="E17" s="18">
        <f t="shared" ref="E17:K17" si="1">SUM(E9:E16)</f>
        <v>732045.94000000029</v>
      </c>
      <c r="F17" s="18">
        <f t="shared" si="1"/>
        <v>744500.33</v>
      </c>
      <c r="G17" s="18">
        <f t="shared" si="1"/>
        <v>803464.39</v>
      </c>
      <c r="H17" s="18">
        <f t="shared" si="1"/>
        <v>847311.35999999987</v>
      </c>
      <c r="I17" s="18">
        <f t="shared" si="1"/>
        <v>865566.70000000007</v>
      </c>
      <c r="J17" s="18">
        <f t="shared" ref="J17" si="2">SUM(J9:J16)</f>
        <v>924712.38</v>
      </c>
      <c r="K17" s="34">
        <f t="shared" si="1"/>
        <v>967583</v>
      </c>
      <c r="L17" s="18">
        <f t="shared" ref="L17:O17" si="3">SUM(L9:L16)</f>
        <v>946083.38000000012</v>
      </c>
      <c r="M17" s="34">
        <f t="shared" si="3"/>
        <v>1022750</v>
      </c>
      <c r="N17" s="18">
        <f t="shared" ref="N17" si="4">SUM(N9:N16)</f>
        <v>966095.4800000001</v>
      </c>
      <c r="O17" s="34">
        <f t="shared" si="3"/>
        <v>1038654</v>
      </c>
      <c r="P17" s="18">
        <f t="shared" si="0"/>
        <v>477465.39</v>
      </c>
      <c r="Q17" s="34">
        <f t="shared" si="0"/>
        <v>1177140.8</v>
      </c>
      <c r="R17" s="34">
        <f>+Q17</f>
        <v>1177140.8</v>
      </c>
      <c r="S17" s="34">
        <f>+Q17</f>
        <v>1177140.8</v>
      </c>
    </row>
    <row r="18" spans="1:19" x14ac:dyDescent="0.2">
      <c r="A18" s="779"/>
      <c r="B18" s="60"/>
      <c r="C18" s="116"/>
      <c r="D18" s="13"/>
      <c r="E18" s="13"/>
      <c r="F18" s="13"/>
      <c r="G18" s="13"/>
      <c r="H18" s="13"/>
      <c r="I18" s="13"/>
      <c r="J18" s="13"/>
      <c r="K18" s="40"/>
      <c r="L18" s="13"/>
      <c r="M18" s="40"/>
      <c r="N18" s="13"/>
      <c r="O18" s="40"/>
      <c r="P18" s="13"/>
      <c r="Q18" s="40"/>
      <c r="R18" s="40"/>
      <c r="S18" s="40"/>
    </row>
    <row r="19" spans="1:19" x14ac:dyDescent="0.2">
      <c r="A19" s="779">
        <v>5241</v>
      </c>
      <c r="B19" s="12" t="s">
        <v>1292</v>
      </c>
      <c r="C19" s="94">
        <f>+'192 Public Bldgs'!C14</f>
        <v>0</v>
      </c>
      <c r="D19" s="94">
        <f>+'192 Public Bldgs'!D14</f>
        <v>0</v>
      </c>
      <c r="E19" s="94">
        <f>+'192 Public Bldgs'!E14</f>
        <v>2228</v>
      </c>
      <c r="F19" s="94">
        <f>+'192 Public Bldgs'!F14</f>
        <v>2295</v>
      </c>
      <c r="G19" s="94">
        <f>+'192 Public Bldgs'!G14</f>
        <v>2364</v>
      </c>
      <c r="H19" s="94">
        <f>+'192 Public Bldgs'!H14</f>
        <v>2434</v>
      </c>
      <c r="I19" s="94">
        <f>+'192 Public Bldgs'!I14</f>
        <v>2508</v>
      </c>
      <c r="J19" s="94">
        <f>+'192 Public Bldgs'!J14</f>
        <v>2583</v>
      </c>
      <c r="K19" s="42">
        <f>+'192 Public Bldgs'!K14</f>
        <v>3000</v>
      </c>
      <c r="L19" s="94">
        <f>+'192 Public Bldgs'!L14</f>
        <v>2660</v>
      </c>
      <c r="M19" s="42">
        <f>+'192 Public Bldgs'!M14</f>
        <v>3000</v>
      </c>
      <c r="N19" s="94">
        <f>+'192 Public Bldgs'!N14</f>
        <v>2740</v>
      </c>
      <c r="O19" s="42">
        <f>+'192 Public Bldgs'!O14</f>
        <v>3000</v>
      </c>
      <c r="P19" s="42">
        <f>+'192 Public Bldgs'!P14</f>
        <v>2822</v>
      </c>
      <c r="Q19" s="42">
        <f>+'192 Public Bldgs'!Q14</f>
        <v>3000</v>
      </c>
      <c r="R19" s="42">
        <f>+'192 Public Bldgs'!R14</f>
        <v>0</v>
      </c>
      <c r="S19" s="40">
        <f>+'192 Public Bldgs'!S14</f>
        <v>0</v>
      </c>
    </row>
    <row r="20" spans="1:19" x14ac:dyDescent="0.2">
      <c r="A20" s="779">
        <v>5242</v>
      </c>
      <c r="B20" s="12" t="s">
        <v>1293</v>
      </c>
      <c r="C20" s="94">
        <f>+'192 Public Bldgs'!C15+'422 Maintenance'!C18</f>
        <v>12678.44</v>
      </c>
      <c r="D20" s="94">
        <f>+'192 Public Bldgs'!D15+'422 Maintenance'!D18</f>
        <v>15899.46</v>
      </c>
      <c r="E20" s="94">
        <f>+'192 Public Bldgs'!E15+'422 Maintenance'!E18</f>
        <v>22272.13</v>
      </c>
      <c r="F20" s="94">
        <f>+'192 Public Bldgs'!F15+'422 Maintenance'!F18</f>
        <v>13187.52</v>
      </c>
      <c r="G20" s="94">
        <f>+'192 Public Bldgs'!G15+'422 Maintenance'!G18</f>
        <v>14585.18</v>
      </c>
      <c r="H20" s="94">
        <f>+'192 Public Bldgs'!H15+'422 Maintenance'!H18</f>
        <v>14071.66</v>
      </c>
      <c r="I20" s="94">
        <f>+'192 Public Bldgs'!I15+'422 Maintenance'!I18</f>
        <v>16599.11</v>
      </c>
      <c r="J20" s="94">
        <f>+'192 Public Bldgs'!J15+'422 Maintenance'!J18</f>
        <v>18229.580000000002</v>
      </c>
      <c r="K20" s="42">
        <f>+'192 Public Bldgs'!K15+'422 Maintenance'!K18</f>
        <v>19500</v>
      </c>
      <c r="L20" s="94">
        <f>+'192 Public Bldgs'!L15+'422 Maintenance'!L18</f>
        <v>23649.11</v>
      </c>
      <c r="M20" s="42">
        <f>+'192 Public Bldgs'!M15+'422 Maintenance'!M18</f>
        <v>21500</v>
      </c>
      <c r="N20" s="94">
        <f>+'192 Public Bldgs'!N15+'422 Maintenance'!N18</f>
        <v>25826.159999999996</v>
      </c>
      <c r="O20" s="42">
        <f>+'192 Public Bldgs'!O15+'422 Maintenance'!O18</f>
        <v>25100</v>
      </c>
      <c r="P20" s="94">
        <f>+'192 Public Bldgs'!P15+'422 Maintenance'!P18</f>
        <v>7716.37</v>
      </c>
      <c r="Q20" s="42">
        <f>+'192 Public Bldgs'!Q15+'422 Maintenance'!Q18</f>
        <v>25100</v>
      </c>
      <c r="R20" s="42">
        <f>+'192 Public Bldgs'!R15+'422 Maintenance'!R18</f>
        <v>0</v>
      </c>
      <c r="S20" s="40">
        <f>+'192 Public Bldgs'!S15+'422 Maintenance'!S18</f>
        <v>0</v>
      </c>
    </row>
    <row r="21" spans="1:19" x14ac:dyDescent="0.2">
      <c r="A21" s="779">
        <v>5243</v>
      </c>
      <c r="B21" s="12" t="s">
        <v>1294</v>
      </c>
      <c r="C21" s="13">
        <f>+'192 Public Bldgs'!C16</f>
        <v>15167.36</v>
      </c>
      <c r="D21" s="13">
        <f>+'192 Public Bldgs'!D16</f>
        <v>12103.44</v>
      </c>
      <c r="E21" s="13">
        <f>+'192 Public Bldgs'!E16</f>
        <v>42549.06</v>
      </c>
      <c r="F21" s="13">
        <f>+'192 Public Bldgs'!F16</f>
        <v>23614.560000000001</v>
      </c>
      <c r="G21" s="13">
        <f>+'192 Public Bldgs'!G16</f>
        <v>31462.560000000001</v>
      </c>
      <c r="H21" s="13">
        <f>+'192 Public Bldgs'!H16</f>
        <v>20342.38</v>
      </c>
      <c r="I21" s="13">
        <f>+'192 Public Bldgs'!I16</f>
        <v>33925.94</v>
      </c>
      <c r="J21" s="13">
        <f>+'192 Public Bldgs'!J16</f>
        <v>27147.34</v>
      </c>
      <c r="K21" s="40">
        <f>+'192 Public Bldgs'!K16</f>
        <v>25000</v>
      </c>
      <c r="L21" s="13">
        <f>+'192 Public Bldgs'!L16</f>
        <v>15937.72</v>
      </c>
      <c r="M21" s="40">
        <f>+'192 Public Bldgs'!M16</f>
        <v>25000</v>
      </c>
      <c r="N21" s="13">
        <f>+'192 Public Bldgs'!N16</f>
        <v>19355.099999999999</v>
      </c>
      <c r="O21" s="40">
        <f>+'192 Public Bldgs'!O16</f>
        <v>25000</v>
      </c>
      <c r="P21" s="13">
        <f>+'192 Public Bldgs'!P16</f>
        <v>1382</v>
      </c>
      <c r="Q21" s="40">
        <f>+'192 Public Bldgs'!Q16</f>
        <v>25000</v>
      </c>
      <c r="R21" s="40">
        <f>+'192 Public Bldgs'!R16</f>
        <v>0</v>
      </c>
      <c r="S21" s="40">
        <f>+'192 Public Bldgs'!S16</f>
        <v>0</v>
      </c>
    </row>
    <row r="22" spans="1:19" x14ac:dyDescent="0.2">
      <c r="A22" s="779">
        <v>5245</v>
      </c>
      <c r="B22" s="12" t="s">
        <v>1295</v>
      </c>
      <c r="C22" s="13">
        <f>+'422 Maintenance'!C19</f>
        <v>15640.85</v>
      </c>
      <c r="D22" s="13">
        <f>+'422 Maintenance'!D19</f>
        <v>20923.13</v>
      </c>
      <c r="E22" s="13">
        <f>+'422 Maintenance'!E19</f>
        <v>22296.94</v>
      </c>
      <c r="F22" s="13">
        <f>+'422 Maintenance'!F19</f>
        <v>34754.76</v>
      </c>
      <c r="G22" s="13">
        <f>+'422 Maintenance'!G19</f>
        <v>23394.59</v>
      </c>
      <c r="H22" s="13">
        <f>+'422 Maintenance'!H19</f>
        <v>24713.51</v>
      </c>
      <c r="I22" s="13">
        <f>+'422 Maintenance'!I19</f>
        <v>17661.330000000002</v>
      </c>
      <c r="J22" s="13">
        <f>+'422 Maintenance'!J19</f>
        <v>27018.75</v>
      </c>
      <c r="K22" s="40">
        <f>+'422 Maintenance'!K19</f>
        <v>30000</v>
      </c>
      <c r="L22" s="13">
        <f>+'422 Maintenance'!L19</f>
        <v>28032.21</v>
      </c>
      <c r="M22" s="40">
        <f>+'422 Maintenance'!M19</f>
        <v>35000</v>
      </c>
      <c r="N22" s="13">
        <f>+'422 Maintenance'!N19</f>
        <v>20669.34</v>
      </c>
      <c r="O22" s="40">
        <f>+'422 Maintenance'!O19</f>
        <v>35000</v>
      </c>
      <c r="P22" s="13">
        <f>+'422 Maintenance'!P19</f>
        <v>4538.92</v>
      </c>
      <c r="Q22" s="40">
        <f>+'422 Maintenance'!Q19</f>
        <v>35000</v>
      </c>
      <c r="R22" s="40">
        <f>+'422 Maintenance'!R19</f>
        <v>0</v>
      </c>
      <c r="S22" s="40">
        <f>+'422 Maintenance'!S19</f>
        <v>0</v>
      </c>
    </row>
    <row r="23" spans="1:19" x14ac:dyDescent="0.2">
      <c r="A23" s="779">
        <v>5247</v>
      </c>
      <c r="B23" s="12" t="s">
        <v>1296</v>
      </c>
      <c r="C23" s="13">
        <f>+'422 Maintenance'!C20</f>
        <v>0</v>
      </c>
      <c r="D23" s="13">
        <f>+'422 Maintenance'!D20</f>
        <v>0</v>
      </c>
      <c r="E23" s="13">
        <f>+'422 Maintenance'!E20</f>
        <v>503.29</v>
      </c>
      <c r="F23" s="13">
        <f>+'422 Maintenance'!F20</f>
        <v>88</v>
      </c>
      <c r="G23" s="13">
        <f>+'422 Maintenance'!G20</f>
        <v>0</v>
      </c>
      <c r="H23" s="13">
        <f>+'422 Maintenance'!H20</f>
        <v>264</v>
      </c>
      <c r="I23" s="13">
        <f>+'422 Maintenance'!I20</f>
        <v>0</v>
      </c>
      <c r="J23" s="13">
        <f>+'422 Maintenance'!J20</f>
        <v>88</v>
      </c>
      <c r="K23" s="40">
        <f>+'422 Maintenance'!K20</f>
        <v>4200</v>
      </c>
      <c r="L23" s="13">
        <f>+'422 Maintenance'!L20</f>
        <v>0</v>
      </c>
      <c r="M23" s="40">
        <f>+'422 Maintenance'!M20</f>
        <v>4200</v>
      </c>
      <c r="N23" s="13">
        <f>+'422 Maintenance'!N20</f>
        <v>608.99</v>
      </c>
      <c r="O23" s="40">
        <f>+'422 Maintenance'!O20</f>
        <v>2000</v>
      </c>
      <c r="P23" s="13">
        <f>+'422 Maintenance'!P20</f>
        <v>0</v>
      </c>
      <c r="Q23" s="40">
        <f>+'422 Maintenance'!Q20</f>
        <v>2000</v>
      </c>
      <c r="R23" s="40">
        <f>+'422 Maintenance'!R20</f>
        <v>0</v>
      </c>
      <c r="S23" s="40">
        <f>+'422 Maintenance'!S20</f>
        <v>0</v>
      </c>
    </row>
    <row r="24" spans="1:19" x14ac:dyDescent="0.2">
      <c r="A24" s="779">
        <v>5251</v>
      </c>
      <c r="B24" s="12" t="s">
        <v>1297</v>
      </c>
      <c r="C24" s="13">
        <f>+'192 Public Bldgs'!C17+'422 Maintenance'!C21</f>
        <v>2981.07</v>
      </c>
      <c r="D24" s="13">
        <f>+'192 Public Bldgs'!D17+'422 Maintenance'!D21</f>
        <v>3552.43</v>
      </c>
      <c r="E24" s="13">
        <f>+'192 Public Bldgs'!E17+'422 Maintenance'!E21</f>
        <v>5595.84</v>
      </c>
      <c r="F24" s="13">
        <f>+'192 Public Bldgs'!F17+'422 Maintenance'!F21</f>
        <v>5335.59</v>
      </c>
      <c r="G24" s="13">
        <f>+'192 Public Bldgs'!G17+'422 Maintenance'!G21</f>
        <v>8776.69</v>
      </c>
      <c r="H24" s="13">
        <f>+'192 Public Bldgs'!H17+'422 Maintenance'!H21</f>
        <v>6110.8</v>
      </c>
      <c r="I24" s="13">
        <f>+'192 Public Bldgs'!I17+'422 Maintenance'!I21</f>
        <v>7246.8899999999994</v>
      </c>
      <c r="J24" s="13">
        <f>+'192 Public Bldgs'!J17+'422 Maintenance'!J21</f>
        <v>6657.27</v>
      </c>
      <c r="K24" s="40">
        <f>+'192 Public Bldgs'!K17+'422 Maintenance'!K21</f>
        <v>5300</v>
      </c>
      <c r="L24" s="13">
        <f>+'192 Public Bldgs'!L17+'422 Maintenance'!L21</f>
        <v>7949.81</v>
      </c>
      <c r="M24" s="40">
        <f>+'192 Public Bldgs'!M17+'422 Maintenance'!M21</f>
        <v>7800</v>
      </c>
      <c r="N24" s="13">
        <f>+'192 Public Bldgs'!N17+'422 Maintenance'!N21</f>
        <v>12281.22</v>
      </c>
      <c r="O24" s="40">
        <f>+'192 Public Bldgs'!O17+'422 Maintenance'!O21</f>
        <v>10000</v>
      </c>
      <c r="P24" s="13">
        <f>+'192 Public Bldgs'!P17+'422 Maintenance'!P21</f>
        <v>8315.43</v>
      </c>
      <c r="Q24" s="40">
        <f>+'192 Public Bldgs'!Q17+'422 Maintenance'!Q21</f>
        <v>10000</v>
      </c>
      <c r="R24" s="40">
        <f>+'192 Public Bldgs'!R17+'422 Maintenance'!R21</f>
        <v>0</v>
      </c>
      <c r="S24" s="40">
        <f>+'192 Public Bldgs'!S17+'422 Maintenance'!S21</f>
        <v>0</v>
      </c>
    </row>
    <row r="25" spans="1:19" x14ac:dyDescent="0.2">
      <c r="A25" s="779">
        <v>5277</v>
      </c>
      <c r="B25" s="12" t="s">
        <v>1298</v>
      </c>
      <c r="C25" s="13">
        <f>+'422 Maintenance'!C22</f>
        <v>0</v>
      </c>
      <c r="D25" s="13">
        <f>+'422 Maintenance'!D22</f>
        <v>0</v>
      </c>
      <c r="E25" s="13">
        <f>+'422 Maintenance'!E22</f>
        <v>0</v>
      </c>
      <c r="F25" s="13">
        <f>+'422 Maintenance'!F22</f>
        <v>0</v>
      </c>
      <c r="G25" s="13">
        <f>+'422 Maintenance'!G22</f>
        <v>0</v>
      </c>
      <c r="H25" s="13">
        <f>+'422 Maintenance'!H22</f>
        <v>0</v>
      </c>
      <c r="I25" s="13">
        <f>+'422 Maintenance'!I22</f>
        <v>0</v>
      </c>
      <c r="J25" s="13">
        <f>+'422 Maintenance'!J22</f>
        <v>0</v>
      </c>
      <c r="K25" s="40">
        <f>+'422 Maintenance'!K22</f>
        <v>0</v>
      </c>
      <c r="L25" s="13">
        <f>+'422 Maintenance'!L22</f>
        <v>0</v>
      </c>
      <c r="M25" s="40">
        <f>+'422 Maintenance'!M22</f>
        <v>0</v>
      </c>
      <c r="N25" s="13">
        <f>+'422 Maintenance'!N22</f>
        <v>0</v>
      </c>
      <c r="O25" s="40">
        <f>+'422 Maintenance'!O22</f>
        <v>0</v>
      </c>
      <c r="P25" s="13">
        <f>+'422 Maintenance'!P22</f>
        <v>0</v>
      </c>
      <c r="Q25" s="40">
        <f>+'422 Maintenance'!Q22</f>
        <v>0</v>
      </c>
      <c r="R25" s="40">
        <f>+'422 Maintenance'!R22</f>
        <v>0</v>
      </c>
      <c r="S25" s="40">
        <f>+'422 Maintenance'!S22</f>
        <v>0</v>
      </c>
    </row>
    <row r="26" spans="1:19" x14ac:dyDescent="0.2">
      <c r="A26" s="779">
        <v>5278</v>
      </c>
      <c r="B26" s="12" t="s">
        <v>1299</v>
      </c>
      <c r="C26" s="13">
        <f>+'422 Maintenance'!C23</f>
        <v>6254.36</v>
      </c>
      <c r="D26" s="13">
        <f>+'422 Maintenance'!D23</f>
        <v>7210.2</v>
      </c>
      <c r="E26" s="13">
        <f>+'422 Maintenance'!E23</f>
        <v>7337.82</v>
      </c>
      <c r="F26" s="13">
        <f>+'422 Maintenance'!F23</f>
        <v>9576.67</v>
      </c>
      <c r="G26" s="13">
        <f>+'422 Maintenance'!G23</f>
        <v>11297.29</v>
      </c>
      <c r="H26" s="13">
        <f>+'422 Maintenance'!H23</f>
        <v>10913.81</v>
      </c>
      <c r="I26" s="13">
        <f>+'422 Maintenance'!I23</f>
        <v>12262.49</v>
      </c>
      <c r="J26" s="13">
        <f>+'422 Maintenance'!J23</f>
        <v>9959.7000000000007</v>
      </c>
      <c r="K26" s="40">
        <f>+'422 Maintenance'!K23</f>
        <v>0</v>
      </c>
      <c r="L26" s="13">
        <f>+'422 Maintenance'!L23</f>
        <v>0</v>
      </c>
      <c r="M26" s="40">
        <f>+'422 Maintenance'!M23</f>
        <v>0</v>
      </c>
      <c r="N26" s="13">
        <f>+'422 Maintenance'!N23</f>
        <v>0</v>
      </c>
      <c r="O26" s="40">
        <f>+'422 Maintenance'!O23</f>
        <v>0</v>
      </c>
      <c r="P26" s="13">
        <f>+'422 Maintenance'!P23</f>
        <v>0</v>
      </c>
      <c r="Q26" s="40">
        <f>+'422 Maintenance'!Q23</f>
        <v>0</v>
      </c>
      <c r="R26" s="40">
        <f>+'422 Maintenance'!R23</f>
        <v>0</v>
      </c>
      <c r="S26" s="40">
        <f>+'422 Maintenance'!S23</f>
        <v>0</v>
      </c>
    </row>
    <row r="27" spans="1:19" x14ac:dyDescent="0.2">
      <c r="A27" s="779">
        <v>5310</v>
      </c>
      <c r="B27" s="12" t="s">
        <v>1300</v>
      </c>
      <c r="C27" s="13">
        <f>+'422 Maintenance'!C24</f>
        <v>1659.5</v>
      </c>
      <c r="D27" s="13">
        <f>+'422 Maintenance'!D24</f>
        <v>1863</v>
      </c>
      <c r="E27" s="13">
        <f>+'422 Maintenance'!E24</f>
        <v>1535</v>
      </c>
      <c r="F27" s="13">
        <f>+'422 Maintenance'!F24</f>
        <v>1775.1</v>
      </c>
      <c r="G27" s="13">
        <f>+'422 Maintenance'!G24</f>
        <v>2491</v>
      </c>
      <c r="H27" s="13">
        <f>+'422 Maintenance'!H24</f>
        <v>10389.34</v>
      </c>
      <c r="I27" s="13">
        <f>+'422 Maintenance'!I24</f>
        <v>5775</v>
      </c>
      <c r="J27" s="13">
        <f>+'422 Maintenance'!J24</f>
        <v>4765</v>
      </c>
      <c r="K27" s="40">
        <f>+'422 Maintenance'!K24</f>
        <v>5000</v>
      </c>
      <c r="L27" s="13">
        <f>+'422 Maintenance'!L24</f>
        <v>3778</v>
      </c>
      <c r="M27" s="40">
        <f>+'422 Maintenance'!M24</f>
        <v>5000</v>
      </c>
      <c r="N27" s="13">
        <f>+'422 Maintenance'!N24</f>
        <v>3767.59</v>
      </c>
      <c r="O27" s="40">
        <f>+'422 Maintenance'!O24</f>
        <v>5000</v>
      </c>
      <c r="P27" s="13">
        <f>+'422 Maintenance'!P24</f>
        <v>1612.59</v>
      </c>
      <c r="Q27" s="40">
        <f>+'422 Maintenance'!Q24</f>
        <v>5000</v>
      </c>
      <c r="R27" s="40">
        <f>+'422 Maintenance'!R24</f>
        <v>0</v>
      </c>
      <c r="S27" s="40">
        <f>+'422 Maintenance'!S24</f>
        <v>0</v>
      </c>
    </row>
    <row r="28" spans="1:19" x14ac:dyDescent="0.2">
      <c r="A28" s="779">
        <v>5314</v>
      </c>
      <c r="B28" s="12" t="s">
        <v>860</v>
      </c>
      <c r="C28" s="13">
        <f>+'422 Maintenance'!C25</f>
        <v>35</v>
      </c>
      <c r="D28" s="13">
        <f>+'422 Maintenance'!D25</f>
        <v>65</v>
      </c>
      <c r="E28" s="13">
        <f>+'422 Maintenance'!E25</f>
        <v>80</v>
      </c>
      <c r="F28" s="13">
        <f>+'422 Maintenance'!F25</f>
        <v>100</v>
      </c>
      <c r="G28" s="13">
        <f>+'422 Maintenance'!G25</f>
        <v>2040</v>
      </c>
      <c r="H28" s="13">
        <f>+'422 Maintenance'!H25</f>
        <v>40</v>
      </c>
      <c r="I28" s="13">
        <f>+'422 Maintenance'!I25</f>
        <v>210</v>
      </c>
      <c r="J28" s="13">
        <f>+'422 Maintenance'!J25</f>
        <v>100</v>
      </c>
      <c r="K28" s="40">
        <f>+'422 Maintenance'!K25</f>
        <v>200</v>
      </c>
      <c r="L28" s="13">
        <f>+'422 Maintenance'!L25</f>
        <v>0</v>
      </c>
      <c r="M28" s="40">
        <f>+'422 Maintenance'!M25</f>
        <v>200</v>
      </c>
      <c r="N28" s="13">
        <f>+'422 Maintenance'!N25</f>
        <v>1330</v>
      </c>
      <c r="O28" s="40">
        <f>+'422 Maintenance'!O25</f>
        <v>200</v>
      </c>
      <c r="P28" s="13">
        <f>+'422 Maintenance'!P25</f>
        <v>0</v>
      </c>
      <c r="Q28" s="40">
        <f>+'422 Maintenance'!Q25</f>
        <v>1000</v>
      </c>
      <c r="R28" s="40">
        <f>+'422 Maintenance'!R25</f>
        <v>0</v>
      </c>
      <c r="S28" s="40">
        <f>+'422 Maintenance'!S25</f>
        <v>0</v>
      </c>
    </row>
    <row r="29" spans="1:19" x14ac:dyDescent="0.2">
      <c r="A29" s="779">
        <v>5315</v>
      </c>
      <c r="B29" s="12" t="s">
        <v>1301</v>
      </c>
      <c r="C29" s="13">
        <f>+'422 Maintenance'!C26</f>
        <v>24208.71</v>
      </c>
      <c r="D29" s="13">
        <f>+'422 Maintenance'!D26</f>
        <v>21600.63</v>
      </c>
      <c r="E29" s="13">
        <f>+'422 Maintenance'!E26</f>
        <v>27572.84</v>
      </c>
      <c r="F29" s="13">
        <f>+'422 Maintenance'!F26</f>
        <v>29246.78</v>
      </c>
      <c r="G29" s="13">
        <f>+'422 Maintenance'!G26</f>
        <v>20041.039999999997</v>
      </c>
      <c r="H29" s="13">
        <f>+'422 Maintenance'!H26</f>
        <v>14179.400000000001</v>
      </c>
      <c r="I29" s="13">
        <f>+'422 Maintenance'!I26</f>
        <v>22930.35</v>
      </c>
      <c r="J29" s="13">
        <f>+'422 Maintenance'!J26</f>
        <v>10841.6</v>
      </c>
      <c r="K29" s="40">
        <f>+'422 Maintenance'!K26</f>
        <v>18000</v>
      </c>
      <c r="L29" s="13">
        <f>+'422 Maintenance'!L26</f>
        <v>29457.1</v>
      </c>
      <c r="M29" s="40">
        <f>+'422 Maintenance'!M26</f>
        <v>18000</v>
      </c>
      <c r="N29" s="13">
        <f>+'422 Maintenance'!N26</f>
        <v>15340.91</v>
      </c>
      <c r="O29" s="40">
        <f>+'422 Maintenance'!O26</f>
        <v>18500</v>
      </c>
      <c r="P29" s="13">
        <f>+'422 Maintenance'!P26</f>
        <v>3661</v>
      </c>
      <c r="Q29" s="40">
        <f>+'422 Maintenance'!Q26</f>
        <v>18500</v>
      </c>
      <c r="R29" s="40">
        <f>+'422 Maintenance'!R26</f>
        <v>0</v>
      </c>
      <c r="S29" s="40">
        <f>+'422 Maintenance'!S26</f>
        <v>0</v>
      </c>
    </row>
    <row r="30" spans="1:19" x14ac:dyDescent="0.2">
      <c r="A30" s="779">
        <v>5320</v>
      </c>
      <c r="B30" s="12" t="s">
        <v>1302</v>
      </c>
      <c r="C30" s="13"/>
      <c r="D30" s="13"/>
      <c r="E30" s="13"/>
      <c r="F30" s="13"/>
      <c r="G30" s="13"/>
      <c r="H30" s="13"/>
      <c r="I30" s="13">
        <f>+'422 Maintenance'!I27</f>
        <v>19083.580000000002</v>
      </c>
      <c r="J30" s="13">
        <f>+'422 Maintenance'!J27</f>
        <v>27622.11</v>
      </c>
      <c r="K30" s="40">
        <f>+'422 Maintenance'!K27</f>
        <v>22000</v>
      </c>
      <c r="L30" s="13">
        <f>+'422 Maintenance'!L27</f>
        <v>25903.26</v>
      </c>
      <c r="M30" s="40">
        <f>+'422 Maintenance'!M27</f>
        <v>28000</v>
      </c>
      <c r="N30" s="13">
        <f>+'422 Maintenance'!N27</f>
        <v>23797.75</v>
      </c>
      <c r="O30" s="40">
        <f>+'422 Maintenance'!O27</f>
        <v>28000</v>
      </c>
      <c r="P30" s="40">
        <f>+'422 Maintenance'!P27</f>
        <v>3065.83</v>
      </c>
      <c r="Q30" s="40">
        <f>+'422 Maintenance'!Q27</f>
        <v>28000</v>
      </c>
      <c r="R30" s="40">
        <f>+'422 Maintenance'!R27</f>
        <v>0</v>
      </c>
      <c r="S30" s="40"/>
    </row>
    <row r="31" spans="1:19" x14ac:dyDescent="0.2">
      <c r="A31" s="779">
        <v>5341</v>
      </c>
      <c r="B31" s="12" t="s">
        <v>1303</v>
      </c>
      <c r="C31" s="13">
        <f>+'422 Maintenance'!C28</f>
        <v>3078.49</v>
      </c>
      <c r="D31" s="13">
        <f>+'422 Maintenance'!D28</f>
        <v>3210.87</v>
      </c>
      <c r="E31" s="13">
        <f>+'422 Maintenance'!E28</f>
        <v>3419.12</v>
      </c>
      <c r="F31" s="13">
        <f>+'422 Maintenance'!F28</f>
        <v>3544.05</v>
      </c>
      <c r="G31" s="13">
        <f>+'422 Maintenance'!G28</f>
        <v>3468.11</v>
      </c>
      <c r="H31" s="13">
        <f>+'422 Maintenance'!H28</f>
        <v>1848.31</v>
      </c>
      <c r="I31" s="13">
        <f>+'422 Maintenance'!I28</f>
        <v>1750.2</v>
      </c>
      <c r="J31" s="13">
        <f>+'422 Maintenance'!J28</f>
        <v>1771.2</v>
      </c>
      <c r="K31" s="40">
        <f>+'422 Maintenance'!K28</f>
        <v>3500</v>
      </c>
      <c r="L31" s="13">
        <f>+'422 Maintenance'!L28</f>
        <v>2094.5300000000002</v>
      </c>
      <c r="M31" s="40">
        <f>+'422 Maintenance'!M28</f>
        <v>3500</v>
      </c>
      <c r="N31" s="13">
        <f>+'422 Maintenance'!N28</f>
        <v>2200.96</v>
      </c>
      <c r="O31" s="40">
        <f>+'422 Maintenance'!O28</f>
        <v>3000</v>
      </c>
      <c r="P31" s="13">
        <f>+'422 Maintenance'!P28</f>
        <v>1544.27</v>
      </c>
      <c r="Q31" s="40">
        <f>+'422 Maintenance'!Q28</f>
        <v>3000</v>
      </c>
      <c r="R31" s="40">
        <f>+'422 Maintenance'!R28</f>
        <v>0</v>
      </c>
      <c r="S31" s="40">
        <f>+'422 Maintenance'!S28</f>
        <v>0</v>
      </c>
    </row>
    <row r="32" spans="1:19" x14ac:dyDescent="0.2">
      <c r="A32" s="779">
        <v>5344</v>
      </c>
      <c r="B32" s="12" t="s">
        <v>832</v>
      </c>
      <c r="C32" s="13">
        <f>+'422 Maintenance'!C29</f>
        <v>60.4</v>
      </c>
      <c r="D32" s="13">
        <f>+'422 Maintenance'!D29</f>
        <v>78.47</v>
      </c>
      <c r="E32" s="13">
        <f>+'422 Maintenance'!E29</f>
        <v>55</v>
      </c>
      <c r="F32" s="13">
        <f>+'422 Maintenance'!F29</f>
        <v>28.15</v>
      </c>
      <c r="G32" s="13">
        <f>+'422 Maintenance'!G29</f>
        <v>20.82</v>
      </c>
      <c r="H32" s="13">
        <f>+'422 Maintenance'!H29</f>
        <v>58.25</v>
      </c>
      <c r="I32" s="13">
        <f>+'422 Maintenance'!I29</f>
        <v>31.22</v>
      </c>
      <c r="J32" s="13">
        <f>+'422 Maintenance'!J29</f>
        <v>22</v>
      </c>
      <c r="K32" s="40">
        <f>+'422 Maintenance'!K29</f>
        <v>100</v>
      </c>
      <c r="L32" s="13">
        <f>+'422 Maintenance'!L29</f>
        <v>17.47</v>
      </c>
      <c r="M32" s="40">
        <f>+'422 Maintenance'!M29</f>
        <v>100</v>
      </c>
      <c r="N32" s="13">
        <f>+'422 Maintenance'!N29</f>
        <v>131.34</v>
      </c>
      <c r="O32" s="40">
        <f>+'422 Maintenance'!O29</f>
        <v>100</v>
      </c>
      <c r="P32" s="13">
        <f>+'422 Maintenance'!P29</f>
        <v>12</v>
      </c>
      <c r="Q32" s="40">
        <f>+'422 Maintenance'!Q29</f>
        <v>100</v>
      </c>
      <c r="R32" s="40">
        <f>+'422 Maintenance'!R29</f>
        <v>0</v>
      </c>
      <c r="S32" s="40">
        <f>+'422 Maintenance'!S29</f>
        <v>0</v>
      </c>
    </row>
    <row r="33" spans="1:19" x14ac:dyDescent="0.2">
      <c r="A33" s="779">
        <v>5345</v>
      </c>
      <c r="B33" s="12" t="s">
        <v>863</v>
      </c>
      <c r="C33" s="13">
        <f>+'422 Maintenance'!C30</f>
        <v>50.81</v>
      </c>
      <c r="D33" s="13">
        <f>+'422 Maintenance'!D30</f>
        <v>237.71</v>
      </c>
      <c r="E33" s="13">
        <f>+'422 Maintenance'!E30</f>
        <v>835.56</v>
      </c>
      <c r="F33" s="13">
        <f>+'422 Maintenance'!F30</f>
        <v>1284.3399999999999</v>
      </c>
      <c r="G33" s="13">
        <f>+'422 Maintenance'!G30</f>
        <v>1533.36</v>
      </c>
      <c r="H33" s="13">
        <f>+'422 Maintenance'!H30</f>
        <v>1075.22</v>
      </c>
      <c r="I33" s="13">
        <f>+'422 Maintenance'!I30</f>
        <v>3390.59</v>
      </c>
      <c r="J33" s="13">
        <f>+'422 Maintenance'!J30</f>
        <v>1518.32</v>
      </c>
      <c r="K33" s="40">
        <f>+'422 Maintenance'!K30</f>
        <v>2500</v>
      </c>
      <c r="L33" s="13">
        <f>+'422 Maintenance'!L30</f>
        <v>1531.24</v>
      </c>
      <c r="M33" s="40">
        <f>+'422 Maintenance'!M30</f>
        <v>2500</v>
      </c>
      <c r="N33" s="13">
        <f>+'422 Maintenance'!N30</f>
        <v>2514.33</v>
      </c>
      <c r="O33" s="40">
        <f>+'422 Maintenance'!O30</f>
        <v>2500</v>
      </c>
      <c r="P33" s="13">
        <f>+'422 Maintenance'!P30</f>
        <v>523.02</v>
      </c>
      <c r="Q33" s="40">
        <f>+'422 Maintenance'!Q30</f>
        <v>2500</v>
      </c>
      <c r="R33" s="40">
        <f>+'422 Maintenance'!R30</f>
        <v>0</v>
      </c>
      <c r="S33" s="40">
        <f>+'422 Maintenance'!S30</f>
        <v>0</v>
      </c>
    </row>
    <row r="34" spans="1:19" x14ac:dyDescent="0.2">
      <c r="A34" s="779">
        <v>5420</v>
      </c>
      <c r="B34" s="12" t="s">
        <v>864</v>
      </c>
      <c r="C34" s="18">
        <f>+'422 Maintenance'!C31</f>
        <v>965.81</v>
      </c>
      <c r="D34" s="18">
        <f>+'422 Maintenance'!D31</f>
        <v>694.26</v>
      </c>
      <c r="E34" s="18">
        <f>+'422 Maintenance'!E31</f>
        <v>1611.93</v>
      </c>
      <c r="F34" s="18">
        <f>+'422 Maintenance'!F31</f>
        <v>1141.1500000000001</v>
      </c>
      <c r="G34" s="18">
        <f>+'422 Maintenance'!G31</f>
        <v>953.7</v>
      </c>
      <c r="H34" s="18">
        <f>+'422 Maintenance'!H31</f>
        <v>1938.24</v>
      </c>
      <c r="I34" s="18">
        <f>+'422 Maintenance'!I31</f>
        <v>1793.4</v>
      </c>
      <c r="J34" s="18">
        <f>+'422 Maintenance'!J31</f>
        <v>861.64</v>
      </c>
      <c r="K34" s="34">
        <f>+'422 Maintenance'!K31</f>
        <v>1750</v>
      </c>
      <c r="L34" s="18">
        <f>+'422 Maintenance'!L31</f>
        <v>2708.1</v>
      </c>
      <c r="M34" s="34">
        <f>+'422 Maintenance'!M31</f>
        <v>4000</v>
      </c>
      <c r="N34" s="18">
        <f>+'422 Maintenance'!N31</f>
        <v>1700.87</v>
      </c>
      <c r="O34" s="34">
        <f>+'422 Maintenance'!O31</f>
        <v>3500</v>
      </c>
      <c r="P34" s="18">
        <f>+'422 Maintenance'!P31</f>
        <v>1219.44</v>
      </c>
      <c r="Q34" s="34">
        <f>+'422 Maintenance'!Q31</f>
        <v>3500</v>
      </c>
      <c r="R34" s="34">
        <f>+'422 Maintenance'!R31</f>
        <v>0</v>
      </c>
      <c r="S34" s="34">
        <f>+'422 Maintenance'!S31</f>
        <v>0</v>
      </c>
    </row>
    <row r="35" spans="1:19" x14ac:dyDescent="0.2">
      <c r="A35" s="779">
        <v>5430</v>
      </c>
      <c r="B35" s="12" t="s">
        <v>1304</v>
      </c>
      <c r="C35" s="13">
        <f>+'192 Public Bldgs'!C18+'422 Maintenance'!C32</f>
        <v>2626.15</v>
      </c>
      <c r="D35" s="13">
        <f>+'192 Public Bldgs'!D18+'422 Maintenance'!D32</f>
        <v>2970.4399999999996</v>
      </c>
      <c r="E35" s="13">
        <f>+'192 Public Bldgs'!E18+'422 Maintenance'!E32</f>
        <v>1967.79</v>
      </c>
      <c r="F35" s="13">
        <f>+'192 Public Bldgs'!F18+'422 Maintenance'!F32</f>
        <v>2444.42</v>
      </c>
      <c r="G35" s="13">
        <f>+'192 Public Bldgs'!G18+'422 Maintenance'!G32</f>
        <v>6742.5399999999991</v>
      </c>
      <c r="H35" s="13">
        <f>+'192 Public Bldgs'!H18+'422 Maintenance'!H32</f>
        <v>3466.7300000000005</v>
      </c>
      <c r="I35" s="13">
        <f>+'192 Public Bldgs'!I18+'422 Maintenance'!I32</f>
        <v>2579.1600000000003</v>
      </c>
      <c r="J35" s="13">
        <f>+'192 Public Bldgs'!J18+'422 Maintenance'!J32</f>
        <v>3482.2000000000003</v>
      </c>
      <c r="K35" s="40">
        <f>+'192 Public Bldgs'!K18+'422 Maintenance'!K32</f>
        <v>6500</v>
      </c>
      <c r="L35" s="13">
        <f>+'192 Public Bldgs'!L18+'422 Maintenance'!L32</f>
        <v>1496.88</v>
      </c>
      <c r="M35" s="40">
        <f>+'192 Public Bldgs'!M18+'422 Maintenance'!M32</f>
        <v>6500</v>
      </c>
      <c r="N35" s="13">
        <f>+'192 Public Bldgs'!N18+'422 Maintenance'!N32</f>
        <v>4649.29</v>
      </c>
      <c r="O35" s="40">
        <f>+'192 Public Bldgs'!O18+'422 Maintenance'!O32</f>
        <v>5500</v>
      </c>
      <c r="P35" s="13">
        <f>+'192 Public Bldgs'!P18+'422 Maintenance'!P32</f>
        <v>166.75</v>
      </c>
      <c r="Q35" s="40">
        <f>+'192 Public Bldgs'!Q18+'422 Maintenance'!Q32</f>
        <v>5500</v>
      </c>
      <c r="R35" s="40">
        <f>+'192 Public Bldgs'!R18+'422 Maintenance'!R32</f>
        <v>0</v>
      </c>
      <c r="S35" s="40">
        <f>+'192 Public Bldgs'!S18+'422 Maintenance'!S32</f>
        <v>0</v>
      </c>
    </row>
    <row r="36" spans="1:19" x14ac:dyDescent="0.2">
      <c r="A36" s="779">
        <v>5432</v>
      </c>
      <c r="B36" s="12" t="s">
        <v>1305</v>
      </c>
      <c r="C36" s="13">
        <f>+'422 Maintenance'!C33</f>
        <v>37.119999999999997</v>
      </c>
      <c r="D36" s="13">
        <f>+'422 Maintenance'!D33</f>
        <v>13.95</v>
      </c>
      <c r="E36" s="13">
        <f>+'422 Maintenance'!E33</f>
        <v>0</v>
      </c>
      <c r="F36" s="13">
        <f>+'422 Maintenance'!F33</f>
        <v>55.85</v>
      </c>
      <c r="G36" s="13">
        <f>+'422 Maintenance'!G33</f>
        <v>0</v>
      </c>
      <c r="H36" s="13">
        <f>+'422 Maintenance'!H33</f>
        <v>0</v>
      </c>
      <c r="I36" s="13">
        <f>+'422 Maintenance'!I33</f>
        <v>0</v>
      </c>
      <c r="J36" s="13">
        <f>+'422 Maintenance'!J33</f>
        <v>0</v>
      </c>
      <c r="K36" s="40">
        <f>+'422 Maintenance'!K33</f>
        <v>0</v>
      </c>
      <c r="L36" s="13">
        <f>+'422 Maintenance'!L33</f>
        <v>0</v>
      </c>
      <c r="M36" s="40">
        <f>+'422 Maintenance'!M33</f>
        <v>0</v>
      </c>
      <c r="N36" s="13">
        <f>+'422 Maintenance'!N33</f>
        <v>0</v>
      </c>
      <c r="O36" s="40">
        <f>+'422 Maintenance'!O33</f>
        <v>0</v>
      </c>
      <c r="P36" s="13">
        <f>+'422 Maintenance'!P33</f>
        <v>0</v>
      </c>
      <c r="Q36" s="40">
        <f>+'422 Maintenance'!Q33</f>
        <v>0</v>
      </c>
      <c r="R36" s="40">
        <f>+'422 Maintenance'!R33</f>
        <v>0</v>
      </c>
      <c r="S36" s="40">
        <f>+'422 Maintenance'!S33</f>
        <v>0</v>
      </c>
    </row>
    <row r="37" spans="1:19" x14ac:dyDescent="0.2">
      <c r="A37" s="779">
        <v>5435</v>
      </c>
      <c r="B37" s="12" t="s">
        <v>1306</v>
      </c>
      <c r="C37" s="13">
        <f>+'422 Maintenance'!C34</f>
        <v>2223.06</v>
      </c>
      <c r="D37" s="13">
        <f>+'422 Maintenance'!D34</f>
        <v>1519.3</v>
      </c>
      <c r="E37" s="13">
        <f>+'422 Maintenance'!E34</f>
        <v>2230.3200000000002</v>
      </c>
      <c r="F37" s="13">
        <f>+'422 Maintenance'!F34</f>
        <v>3011.96</v>
      </c>
      <c r="G37" s="13">
        <f>+'422 Maintenance'!G34</f>
        <v>2113.88</v>
      </c>
      <c r="H37" s="13">
        <f>+'422 Maintenance'!H34</f>
        <v>6885.49</v>
      </c>
      <c r="I37" s="13">
        <f>+'422 Maintenance'!I34</f>
        <v>3971.26</v>
      </c>
      <c r="J37" s="13">
        <f>+'422 Maintenance'!J34</f>
        <v>9171.73</v>
      </c>
      <c r="K37" s="40">
        <f>+'422 Maintenance'!K34</f>
        <v>5000</v>
      </c>
      <c r="L37" s="13">
        <f>+'422 Maintenance'!L34</f>
        <v>2848.01</v>
      </c>
      <c r="M37" s="40">
        <f>+'422 Maintenance'!M34</f>
        <v>5000</v>
      </c>
      <c r="N37" s="13">
        <f>+'422 Maintenance'!N34</f>
        <v>4877.91</v>
      </c>
      <c r="O37" s="40">
        <f>+'422 Maintenance'!O34</f>
        <v>5000</v>
      </c>
      <c r="P37" s="13">
        <f>+'422 Maintenance'!P34</f>
        <v>2258.4299999999998</v>
      </c>
      <c r="Q37" s="40">
        <f>+'422 Maintenance'!Q34</f>
        <v>5000</v>
      </c>
      <c r="R37" s="40">
        <f>+'422 Maintenance'!R34</f>
        <v>0</v>
      </c>
      <c r="S37" s="40">
        <f>+'422 Maintenance'!S34</f>
        <v>0</v>
      </c>
    </row>
    <row r="38" spans="1:19" x14ac:dyDescent="0.2">
      <c r="A38" s="779">
        <v>5440</v>
      </c>
      <c r="B38" s="12" t="s">
        <v>1307</v>
      </c>
      <c r="C38" s="13">
        <f>+'422 Maintenance'!C35</f>
        <v>4022.66</v>
      </c>
      <c r="D38" s="13">
        <f>+'422 Maintenance'!D35</f>
        <v>4443.3500000000004</v>
      </c>
      <c r="E38" s="13">
        <f>+'422 Maintenance'!E35</f>
        <v>6122.27</v>
      </c>
      <c r="F38" s="13">
        <f>+'422 Maintenance'!F35</f>
        <v>4464.0600000000004</v>
      </c>
      <c r="G38" s="13">
        <f>+'422 Maintenance'!G35</f>
        <v>2584.31</v>
      </c>
      <c r="H38" s="13">
        <f>+'422 Maintenance'!H35</f>
        <v>8262.68</v>
      </c>
      <c r="I38" s="13">
        <f>+'422 Maintenance'!I35</f>
        <v>5721.25</v>
      </c>
      <c r="J38" s="13">
        <f>+'422 Maintenance'!J35</f>
        <v>9061.2199999999993</v>
      </c>
      <c r="K38" s="40">
        <f>+'422 Maintenance'!K35</f>
        <v>7000</v>
      </c>
      <c r="L38" s="13">
        <f>+'422 Maintenance'!L35</f>
        <v>6192.19</v>
      </c>
      <c r="M38" s="40">
        <f>+'422 Maintenance'!M35</f>
        <v>8000</v>
      </c>
      <c r="N38" s="13">
        <f>+'422 Maintenance'!N35</f>
        <v>7341.42</v>
      </c>
      <c r="O38" s="40">
        <f>+'422 Maintenance'!O35</f>
        <v>8000</v>
      </c>
      <c r="P38" s="13">
        <f>+'422 Maintenance'!P35</f>
        <v>2352.25</v>
      </c>
      <c r="Q38" s="40">
        <f>+'422 Maintenance'!Q35</f>
        <v>10000</v>
      </c>
      <c r="R38" s="40">
        <f>+'422 Maintenance'!R35</f>
        <v>0</v>
      </c>
      <c r="S38" s="40">
        <f>+'422 Maintenance'!S35</f>
        <v>0</v>
      </c>
    </row>
    <row r="39" spans="1:19" x14ac:dyDescent="0.2">
      <c r="A39" s="779">
        <v>5443</v>
      </c>
      <c r="B39" s="12" t="s">
        <v>1308</v>
      </c>
      <c r="C39" s="13">
        <f>+'192 Public Bldgs'!C19+'422 Maintenance'!C36+'652 Parks'!C16</f>
        <v>21800.489999999998</v>
      </c>
      <c r="D39" s="13">
        <f>+'192 Public Bldgs'!D19+'422 Maintenance'!D36+'652 Parks'!D16</f>
        <v>26072.620000000003</v>
      </c>
      <c r="E39" s="13">
        <f>+'192 Public Bldgs'!E19+'422 Maintenance'!E36+'652 Parks'!E16</f>
        <v>25671.309999999998</v>
      </c>
      <c r="F39" s="13">
        <f>+'192 Public Bldgs'!F19+'422 Maintenance'!F36+'652 Parks'!F16</f>
        <v>53738</v>
      </c>
      <c r="G39" s="13">
        <f>+'192 Public Bldgs'!G19+'422 Maintenance'!G36+'652 Parks'!G16</f>
        <v>31883.269999999997</v>
      </c>
      <c r="H39" s="13">
        <f>+'192 Public Bldgs'!H19+'422 Maintenance'!H36+'652 Parks'!H16</f>
        <v>44588.79</v>
      </c>
      <c r="I39" s="13">
        <f>+'192 Public Bldgs'!I19+'422 Maintenance'!I36+'652 Parks'!I16</f>
        <v>38715.33</v>
      </c>
      <c r="J39" s="13">
        <f>+'192 Public Bldgs'!J19+'422 Maintenance'!J36+'652 Parks'!J16</f>
        <v>56626.25</v>
      </c>
      <c r="K39" s="40">
        <f>+'192 Public Bldgs'!K19+'422 Maintenance'!K36+'652 Parks'!K16</f>
        <v>48000</v>
      </c>
      <c r="L39" s="13">
        <f>+'192 Public Bldgs'!L19+'422 Maintenance'!L36+'652 Parks'!L16</f>
        <v>60340.03</v>
      </c>
      <c r="M39" s="40">
        <f>+'192 Public Bldgs'!M19+'422 Maintenance'!M36+'652 Parks'!M16</f>
        <v>52500</v>
      </c>
      <c r="N39" s="13">
        <f>+'192 Public Bldgs'!N19+'422 Maintenance'!N36+'652 Parks'!N16</f>
        <v>39658.479999999996</v>
      </c>
      <c r="O39" s="40">
        <f>+'192 Public Bldgs'!O19+'422 Maintenance'!O36+'652 Parks'!O16</f>
        <v>70500</v>
      </c>
      <c r="P39" s="13">
        <f>+'192 Public Bldgs'!P19+'422 Maintenance'!P36+'652 Parks'!P16</f>
        <v>22534.870000000003</v>
      </c>
      <c r="Q39" s="40">
        <f>+'192 Public Bldgs'!Q19+'422 Maintenance'!Q36+'652 Parks'!Q16</f>
        <v>70500</v>
      </c>
      <c r="R39" s="40">
        <f>+'192 Public Bldgs'!R19+'422 Maintenance'!R36+'652 Parks'!R16</f>
        <v>0</v>
      </c>
      <c r="S39" s="40">
        <f>+'192 Public Bldgs'!S19+'422 Maintenance'!S36+'652 Parks'!S16</f>
        <v>0</v>
      </c>
    </row>
    <row r="40" spans="1:19" x14ac:dyDescent="0.2">
      <c r="A40" s="779">
        <v>5451</v>
      </c>
      <c r="B40" s="12" t="s">
        <v>1165</v>
      </c>
      <c r="C40" s="13">
        <f>+'192 Public Bldgs'!C21</f>
        <v>5018.82</v>
      </c>
      <c r="D40" s="13">
        <f>+'192 Public Bldgs'!D21</f>
        <v>5254.01</v>
      </c>
      <c r="E40" s="13">
        <f>+'192 Public Bldgs'!E21</f>
        <v>5220.07</v>
      </c>
      <c r="F40" s="13">
        <f>+'192 Public Bldgs'!F21</f>
        <v>4714.6000000000004</v>
      </c>
      <c r="G40" s="13">
        <f>+'192 Public Bldgs'!G21</f>
        <v>7479.13</v>
      </c>
      <c r="H40" s="13">
        <f>+'192 Public Bldgs'!H21</f>
        <v>7438.02</v>
      </c>
      <c r="I40" s="13">
        <f>+'192 Public Bldgs'!I21</f>
        <v>7961.22</v>
      </c>
      <c r="J40" s="13">
        <f>+'192 Public Bldgs'!J21</f>
        <v>7547.15</v>
      </c>
      <c r="K40" s="40">
        <f>+'192 Public Bldgs'!K21</f>
        <v>8000</v>
      </c>
      <c r="L40" s="13">
        <f>+'192 Public Bldgs'!L21</f>
        <v>5319.19</v>
      </c>
      <c r="M40" s="40">
        <f>+'192 Public Bldgs'!M21</f>
        <v>9000</v>
      </c>
      <c r="N40" s="13">
        <f>+'192 Public Bldgs'!N21</f>
        <v>5820.13</v>
      </c>
      <c r="O40" s="40">
        <f>+'192 Public Bldgs'!O21</f>
        <v>8500</v>
      </c>
      <c r="P40" s="13">
        <f>+'192 Public Bldgs'!P21</f>
        <v>4219.92</v>
      </c>
      <c r="Q40" s="40">
        <f>+'192 Public Bldgs'!Q21</f>
        <v>8500</v>
      </c>
      <c r="R40" s="40">
        <f>+'192 Public Bldgs'!R21</f>
        <v>0</v>
      </c>
      <c r="S40" s="40">
        <f>+'192 Public Bldgs'!S21</f>
        <v>0</v>
      </c>
    </row>
    <row r="41" spans="1:19" x14ac:dyDescent="0.2">
      <c r="A41" s="779">
        <v>5460</v>
      </c>
      <c r="B41" s="12" t="s">
        <v>1309</v>
      </c>
      <c r="C41" s="13">
        <f>+'652 Parks'!C17</f>
        <v>512</v>
      </c>
      <c r="D41" s="13">
        <f>+'652 Parks'!D17</f>
        <v>2052.3200000000002</v>
      </c>
      <c r="E41" s="13">
        <f>+'652 Parks'!E17</f>
        <v>0</v>
      </c>
      <c r="F41" s="13">
        <f>+'652 Parks'!F17</f>
        <v>40</v>
      </c>
      <c r="G41" s="13">
        <f>+'652 Parks'!G17</f>
        <v>0</v>
      </c>
      <c r="H41" s="13">
        <f>+'652 Parks'!H17</f>
        <v>0</v>
      </c>
      <c r="I41" s="13">
        <f>+'652 Parks'!I17</f>
        <v>0</v>
      </c>
      <c r="J41" s="13">
        <f>+'652 Parks'!J17</f>
        <v>0</v>
      </c>
      <c r="K41" s="40">
        <f>+'652 Parks'!K17</f>
        <v>2000</v>
      </c>
      <c r="L41" s="13">
        <f>+'652 Parks'!L17</f>
        <v>0</v>
      </c>
      <c r="M41" s="40">
        <f>+'652 Parks'!M17</f>
        <v>2000</v>
      </c>
      <c r="N41" s="13">
        <f>+'652 Parks'!N17</f>
        <v>3694.08</v>
      </c>
      <c r="O41" s="40">
        <f>+'652 Parks'!O17</f>
        <v>2000</v>
      </c>
      <c r="P41" s="13">
        <f>+'652 Parks'!P17</f>
        <v>3663.94</v>
      </c>
      <c r="Q41" s="40">
        <f>+'652 Parks'!Q17</f>
        <v>3000</v>
      </c>
      <c r="R41" s="40">
        <f>+'652 Parks'!R17</f>
        <v>0</v>
      </c>
      <c r="S41" s="40">
        <f>+'652 Parks'!S17</f>
        <v>0</v>
      </c>
    </row>
    <row r="42" spans="1:19" x14ac:dyDescent="0.2">
      <c r="A42" s="779">
        <v>5481</v>
      </c>
      <c r="B42" s="12" t="s">
        <v>1167</v>
      </c>
      <c r="C42" s="13">
        <f>+'422 Maintenance'!C37</f>
        <v>23072.400000000001</v>
      </c>
      <c r="D42" s="13">
        <f>+'422 Maintenance'!D37</f>
        <v>32924.959999999999</v>
      </c>
      <c r="E42" s="13">
        <f>+'422 Maintenance'!E37</f>
        <v>27697.48</v>
      </c>
      <c r="F42" s="13">
        <f>+'422 Maintenance'!F37</f>
        <v>18370.16</v>
      </c>
      <c r="G42" s="13">
        <f>+'422 Maintenance'!G37</f>
        <v>11746.54</v>
      </c>
      <c r="H42" s="13">
        <f>+'422 Maintenance'!H37</f>
        <v>27057.85</v>
      </c>
      <c r="I42" s="13">
        <f>+'422 Maintenance'!I37</f>
        <v>32961.730000000003</v>
      </c>
      <c r="J42" s="13">
        <f>+'422 Maintenance'!J37</f>
        <v>24671.91</v>
      </c>
      <c r="K42" s="40">
        <f>+'422 Maintenance'!K37</f>
        <v>45000</v>
      </c>
      <c r="L42" s="13">
        <f>+'422 Maintenance'!L37</f>
        <v>18138.169999999998</v>
      </c>
      <c r="M42" s="40">
        <f>+'422 Maintenance'!M37</f>
        <v>45000</v>
      </c>
      <c r="N42" s="13">
        <f>+'422 Maintenance'!N37</f>
        <v>20371.330000000002</v>
      </c>
      <c r="O42" s="40">
        <f>+'422 Maintenance'!O37</f>
        <v>45000</v>
      </c>
      <c r="P42" s="13">
        <f>+'422 Maintenance'!P37</f>
        <v>16172.35</v>
      </c>
      <c r="Q42" s="40">
        <f>+'422 Maintenance'!Q37</f>
        <v>63140</v>
      </c>
      <c r="R42" s="40">
        <f>+'422 Maintenance'!R37</f>
        <v>0</v>
      </c>
      <c r="S42" s="40">
        <f>+'422 Maintenance'!S37</f>
        <v>0</v>
      </c>
    </row>
    <row r="43" spans="1:19" x14ac:dyDescent="0.2">
      <c r="A43" s="779">
        <v>5482</v>
      </c>
      <c r="B43" s="12" t="s">
        <v>1310</v>
      </c>
      <c r="C43" s="13">
        <f>+'422 Maintenance'!C38</f>
        <v>55086.99</v>
      </c>
      <c r="D43" s="13">
        <f>+'422 Maintenance'!D38</f>
        <v>73803.73</v>
      </c>
      <c r="E43" s="13">
        <f>+'422 Maintenance'!E38</f>
        <v>75053.789999999994</v>
      </c>
      <c r="F43" s="13">
        <f>+'422 Maintenance'!F38</f>
        <v>49247.73</v>
      </c>
      <c r="G43" s="13">
        <f>+'422 Maintenance'!G38</f>
        <v>30907.05</v>
      </c>
      <c r="H43" s="13">
        <f>+'422 Maintenance'!H38</f>
        <v>32653.5</v>
      </c>
      <c r="I43" s="13">
        <f>+'422 Maintenance'!I38</f>
        <v>50089.25</v>
      </c>
      <c r="J43" s="13">
        <f>+'422 Maintenance'!J38</f>
        <v>42648.88</v>
      </c>
      <c r="K43" s="40">
        <f>+'422 Maintenance'!K38</f>
        <v>60000</v>
      </c>
      <c r="L43" s="13">
        <f>+'422 Maintenance'!L38</f>
        <v>20446</v>
      </c>
      <c r="M43" s="40">
        <f>+'422 Maintenance'!M38</f>
        <v>53000</v>
      </c>
      <c r="N43" s="13">
        <f>+'422 Maintenance'!N38</f>
        <v>34760.06</v>
      </c>
      <c r="O43" s="40">
        <f>+'422 Maintenance'!O38</f>
        <v>53000</v>
      </c>
      <c r="P43" s="13">
        <f>+'422 Maintenance'!P38</f>
        <v>33044.78</v>
      </c>
      <c r="Q43" s="40">
        <f>+'422 Maintenance'!Q38</f>
        <v>67200</v>
      </c>
      <c r="R43" s="40">
        <f>+'422 Maintenance'!R38</f>
        <v>0</v>
      </c>
      <c r="S43" s="40">
        <f>+'422 Maintenance'!S38</f>
        <v>0</v>
      </c>
    </row>
    <row r="44" spans="1:19" x14ac:dyDescent="0.2">
      <c r="A44" s="779">
        <v>5484</v>
      </c>
      <c r="B44" s="12" t="s">
        <v>1311</v>
      </c>
      <c r="C44" s="13">
        <f>+'422 Maintenance'!C39</f>
        <v>41019.53</v>
      </c>
      <c r="D44" s="13">
        <f>+'422 Maintenance'!D39</f>
        <v>46732</v>
      </c>
      <c r="E44" s="13">
        <f>+'422 Maintenance'!E39</f>
        <v>75705.59</v>
      </c>
      <c r="F44" s="13">
        <f>+'422 Maintenance'!F39</f>
        <v>71319.490000000005</v>
      </c>
      <c r="G44" s="13">
        <f>+'422 Maintenance'!G39</f>
        <v>70335.48</v>
      </c>
      <c r="H44" s="13">
        <f>+'422 Maintenance'!H39</f>
        <v>78729.27</v>
      </c>
      <c r="I44" s="13">
        <f>+'422 Maintenance'!I39</f>
        <v>89573.71</v>
      </c>
      <c r="J44" s="13">
        <f>+'422 Maintenance'!J39</f>
        <v>93738.67</v>
      </c>
      <c r="K44" s="40">
        <f>+'422 Maintenance'!K39</f>
        <v>80000</v>
      </c>
      <c r="L44" s="13">
        <f>+'422 Maintenance'!L39</f>
        <v>79364.2</v>
      </c>
      <c r="M44" s="40">
        <f>+'422 Maintenance'!M39</f>
        <v>85000</v>
      </c>
      <c r="N44" s="13">
        <f>+'422 Maintenance'!N39</f>
        <v>96232.29</v>
      </c>
      <c r="O44" s="40">
        <f>+'422 Maintenance'!O39</f>
        <v>85000</v>
      </c>
      <c r="P44" s="13">
        <f>+'422 Maintenance'!P39</f>
        <v>42429.88</v>
      </c>
      <c r="Q44" s="40">
        <f>+'422 Maintenance'!Q39</f>
        <v>85000</v>
      </c>
      <c r="R44" s="40">
        <f>+'422 Maintenance'!R39</f>
        <v>0</v>
      </c>
      <c r="S44" s="40">
        <f>+'422 Maintenance'!S39</f>
        <v>0</v>
      </c>
    </row>
    <row r="45" spans="1:19" x14ac:dyDescent="0.2">
      <c r="A45" s="779">
        <v>5500</v>
      </c>
      <c r="B45" s="12" t="s">
        <v>1312</v>
      </c>
      <c r="C45" s="13">
        <f>+'422 Maintenance'!C40</f>
        <v>0</v>
      </c>
      <c r="D45" s="13">
        <f>+'422 Maintenance'!D40</f>
        <v>0</v>
      </c>
      <c r="E45" s="13">
        <f>+'422 Maintenance'!E40</f>
        <v>11.94</v>
      </c>
      <c r="F45" s="13">
        <f>+'422 Maintenance'!F40</f>
        <v>0</v>
      </c>
      <c r="G45" s="13">
        <f>+'422 Maintenance'!G40</f>
        <v>0</v>
      </c>
      <c r="H45" s="13">
        <f>+'422 Maintenance'!H40</f>
        <v>0</v>
      </c>
      <c r="I45" s="13">
        <f>+'422 Maintenance'!I40</f>
        <v>127.13</v>
      </c>
      <c r="J45" s="13">
        <f>+'422 Maintenance'!J40</f>
        <v>947.82</v>
      </c>
      <c r="K45" s="40">
        <f>+'422 Maintenance'!K40</f>
        <v>150</v>
      </c>
      <c r="L45" s="13">
        <f>+'422 Maintenance'!L40</f>
        <v>381.74</v>
      </c>
      <c r="M45" s="40">
        <f>+'422 Maintenance'!M40</f>
        <v>150</v>
      </c>
      <c r="N45" s="13">
        <f>+'422 Maintenance'!N40</f>
        <v>219.17</v>
      </c>
      <c r="O45" s="40">
        <f>+'422 Maintenance'!O40</f>
        <v>150</v>
      </c>
      <c r="P45" s="13">
        <f>+'422 Maintenance'!P40</f>
        <v>163.53</v>
      </c>
      <c r="Q45" s="40">
        <f>+'422 Maintenance'!Q40</f>
        <v>200</v>
      </c>
      <c r="R45" s="40">
        <f>+'422 Maintenance'!R40</f>
        <v>0</v>
      </c>
      <c r="S45" s="40">
        <f>+'422 Maintenance'!S40</f>
        <v>0</v>
      </c>
    </row>
    <row r="46" spans="1:19" x14ac:dyDescent="0.2">
      <c r="A46" s="779">
        <v>5530</v>
      </c>
      <c r="B46" s="12" t="s">
        <v>1313</v>
      </c>
      <c r="C46" s="13">
        <f>+'422 Maintenance'!C41</f>
        <v>43029.4</v>
      </c>
      <c r="D46" s="13">
        <f>+'422 Maintenance'!D41</f>
        <v>45445.69</v>
      </c>
      <c r="E46" s="13">
        <f>+'422 Maintenance'!E41</f>
        <v>36322.94</v>
      </c>
      <c r="F46" s="13">
        <f>+'422 Maintenance'!F41</f>
        <v>43379.03</v>
      </c>
      <c r="G46" s="13">
        <f>+'422 Maintenance'!G41</f>
        <v>24572.81</v>
      </c>
      <c r="H46" s="13">
        <f>+'422 Maintenance'!H41</f>
        <v>31418.53</v>
      </c>
      <c r="I46" s="13">
        <f>+'422 Maintenance'!I41</f>
        <v>30491.41</v>
      </c>
      <c r="J46" s="13">
        <f>+'422 Maintenance'!J41</f>
        <v>29182.49</v>
      </c>
      <c r="K46" s="40">
        <f>+'422 Maintenance'!K41</f>
        <v>55000</v>
      </c>
      <c r="L46" s="13">
        <f>+'422 Maintenance'!L41</f>
        <v>47021.23</v>
      </c>
      <c r="M46" s="40">
        <f>+'422 Maintenance'!M41</f>
        <v>55000</v>
      </c>
      <c r="N46" s="13">
        <f>+'422 Maintenance'!N41</f>
        <v>63954.71</v>
      </c>
      <c r="O46" s="40">
        <f>+'422 Maintenance'!O41</f>
        <v>71500</v>
      </c>
      <c r="P46" s="13">
        <f>+'422 Maintenance'!P41</f>
        <v>32583.87</v>
      </c>
      <c r="Q46" s="40">
        <f>+'422 Maintenance'!Q41</f>
        <v>71500</v>
      </c>
      <c r="R46" s="40">
        <f>+'422 Maintenance'!R41</f>
        <v>0</v>
      </c>
      <c r="S46" s="226">
        <f>+'422 Maintenance'!S41</f>
        <v>0</v>
      </c>
    </row>
    <row r="47" spans="1:19" x14ac:dyDescent="0.2">
      <c r="A47" s="779">
        <v>5534</v>
      </c>
      <c r="B47" s="12" t="s">
        <v>1314</v>
      </c>
      <c r="C47" s="13">
        <f>+'422 Maintenance'!C42</f>
        <v>125</v>
      </c>
      <c r="D47" s="13">
        <f>+'422 Maintenance'!D42</f>
        <v>0</v>
      </c>
      <c r="E47" s="13">
        <f>+'422 Maintenance'!E42</f>
        <v>0</v>
      </c>
      <c r="F47" s="13">
        <f>+'422 Maintenance'!F42</f>
        <v>0</v>
      </c>
      <c r="G47" s="13">
        <f>+'422 Maintenance'!G42</f>
        <v>0</v>
      </c>
      <c r="H47" s="13">
        <f>+'422 Maintenance'!H42</f>
        <v>0</v>
      </c>
      <c r="I47" s="13">
        <f>+'422 Maintenance'!I42</f>
        <v>0</v>
      </c>
      <c r="J47" s="13">
        <f>+'422 Maintenance'!J42</f>
        <v>0</v>
      </c>
      <c r="K47" s="40">
        <f>+'422 Maintenance'!K42</f>
        <v>0</v>
      </c>
      <c r="L47" s="13">
        <f>+'422 Maintenance'!L42</f>
        <v>0</v>
      </c>
      <c r="M47" s="40">
        <f>+'422 Maintenance'!M42</f>
        <v>0</v>
      </c>
      <c r="N47" s="13">
        <f>+'422 Maintenance'!N42</f>
        <v>0</v>
      </c>
      <c r="O47" s="40">
        <f>+'422 Maintenance'!O42</f>
        <v>0</v>
      </c>
      <c r="P47" s="13">
        <f>+'422 Maintenance'!P42</f>
        <v>0</v>
      </c>
      <c r="Q47" s="40">
        <f>+'422 Maintenance'!Q42</f>
        <v>0</v>
      </c>
      <c r="R47" s="40">
        <f>+'422 Maintenance'!R42</f>
        <v>0</v>
      </c>
      <c r="S47" s="40">
        <f>+'422 Maintenance'!S42</f>
        <v>0</v>
      </c>
    </row>
    <row r="48" spans="1:19" x14ac:dyDescent="0.2">
      <c r="A48" s="779">
        <v>5580</v>
      </c>
      <c r="B48" s="12" t="s">
        <v>868</v>
      </c>
      <c r="C48" s="13"/>
      <c r="D48" s="13"/>
      <c r="E48" s="13"/>
      <c r="F48" s="13"/>
      <c r="G48" s="13"/>
      <c r="H48" s="13">
        <f>+'422 Maintenance'!H43</f>
        <v>0</v>
      </c>
      <c r="I48" s="13">
        <f>+'422 Maintenance'!I43</f>
        <v>12646.36</v>
      </c>
      <c r="J48" s="13">
        <f>+'422 Maintenance'!J43</f>
        <v>0</v>
      </c>
      <c r="K48" s="13">
        <f>+'422 Maintenance'!K43</f>
        <v>0</v>
      </c>
      <c r="L48" s="13">
        <f>+'422 Maintenance'!L43</f>
        <v>0</v>
      </c>
      <c r="M48" s="13">
        <f>+'422 Maintenance'!M43</f>
        <v>0</v>
      </c>
      <c r="N48" s="13">
        <f>+'422 Maintenance'!N43</f>
        <v>0</v>
      </c>
      <c r="O48" s="13">
        <f>+'422 Maintenance'!O43</f>
        <v>0</v>
      </c>
      <c r="P48" s="13">
        <f>+'422 Maintenance'!P43</f>
        <v>0</v>
      </c>
      <c r="Q48" s="13">
        <f>+'422 Maintenance'!Q43</f>
        <v>0</v>
      </c>
      <c r="R48" s="13">
        <f>+'422 Maintenance'!R43</f>
        <v>0</v>
      </c>
      <c r="S48" s="40"/>
    </row>
    <row r="49" spans="1:25" x14ac:dyDescent="0.2">
      <c r="A49" s="779">
        <v>5582</v>
      </c>
      <c r="B49" s="12" t="s">
        <v>1170</v>
      </c>
      <c r="C49" s="13">
        <f>+'422 Maintenance'!C44</f>
        <v>2596.34</v>
      </c>
      <c r="D49" s="13">
        <f>+'422 Maintenance'!D44</f>
        <v>2080.9699999999998</v>
      </c>
      <c r="E49" s="13">
        <f>+'422 Maintenance'!E44</f>
        <v>3880.7</v>
      </c>
      <c r="F49" s="13">
        <f>+'422 Maintenance'!F44</f>
        <v>4245.47</v>
      </c>
      <c r="G49" s="13">
        <f>+'422 Maintenance'!G44</f>
        <v>4901.04</v>
      </c>
      <c r="H49" s="13">
        <f>+'422 Maintenance'!H44</f>
        <v>5798.09</v>
      </c>
      <c r="I49" s="13">
        <f>+'422 Maintenance'!I44</f>
        <v>5887.39</v>
      </c>
      <c r="J49" s="13">
        <f>+'422 Maintenance'!J44</f>
        <v>12423.84</v>
      </c>
      <c r="K49" s="40">
        <f>+'422 Maintenance'!K44</f>
        <v>14000</v>
      </c>
      <c r="L49" s="13">
        <f>+'422 Maintenance'!L44</f>
        <v>13865.13</v>
      </c>
      <c r="M49" s="40">
        <f>+'422 Maintenance'!M44</f>
        <v>14000</v>
      </c>
      <c r="N49" s="13">
        <f>+'422 Maintenance'!N44</f>
        <v>16235.69</v>
      </c>
      <c r="O49" s="40">
        <f>+'422 Maintenance'!O44</f>
        <v>15500</v>
      </c>
      <c r="P49" s="13">
        <f>+'422 Maintenance'!P44</f>
        <v>7080.56</v>
      </c>
      <c r="Q49" s="40">
        <f>+'422 Maintenance'!Q44</f>
        <v>15500</v>
      </c>
      <c r="R49" s="40">
        <f>+'422 Maintenance'!R44</f>
        <v>0</v>
      </c>
      <c r="S49" s="40">
        <f>+'422 Maintenance'!S44</f>
        <v>0</v>
      </c>
      <c r="X49" s="220"/>
    </row>
    <row r="50" spans="1:25" x14ac:dyDescent="0.2">
      <c r="A50" s="779">
        <v>5588</v>
      </c>
      <c r="B50" s="12" t="s">
        <v>1315</v>
      </c>
      <c r="C50" s="13">
        <f>+'422 Maintenance'!C45</f>
        <v>0</v>
      </c>
      <c r="D50" s="13">
        <f>+'422 Maintenance'!D45</f>
        <v>0</v>
      </c>
      <c r="E50" s="13">
        <f>+'422 Maintenance'!E45</f>
        <v>0</v>
      </c>
      <c r="F50" s="13">
        <f>+'422 Maintenance'!F45</f>
        <v>0</v>
      </c>
      <c r="G50" s="13">
        <f>+'422 Maintenance'!G45</f>
        <v>164</v>
      </c>
      <c r="H50" s="13">
        <f>+'422 Maintenance'!H45</f>
        <v>0</v>
      </c>
      <c r="I50" s="13">
        <f>+'422 Maintenance'!I45</f>
        <v>0</v>
      </c>
      <c r="J50" s="13">
        <f>+'422 Maintenance'!J45</f>
        <v>0</v>
      </c>
      <c r="K50" s="40">
        <f>+'422 Maintenance'!K45</f>
        <v>1000</v>
      </c>
      <c r="L50" s="13">
        <f>+'422 Maintenance'!L45</f>
        <v>0</v>
      </c>
      <c r="M50" s="40">
        <f>+'422 Maintenance'!M45</f>
        <v>1000</v>
      </c>
      <c r="N50" s="13">
        <f>+'422 Maintenance'!N45</f>
        <v>0</v>
      </c>
      <c r="O50" s="40">
        <f>+'422 Maintenance'!O45</f>
        <v>500</v>
      </c>
      <c r="P50" s="13">
        <f>+'422 Maintenance'!P45</f>
        <v>0</v>
      </c>
      <c r="Q50" s="40">
        <f>+'422 Maintenance'!Q45</f>
        <v>500</v>
      </c>
      <c r="R50" s="40">
        <f>+'422 Maintenance'!R45</f>
        <v>0</v>
      </c>
      <c r="S50" s="40">
        <f>+'422 Maintenance'!S45</f>
        <v>0</v>
      </c>
      <c r="X50" s="220"/>
    </row>
    <row r="51" spans="1:25" x14ac:dyDescent="0.2">
      <c r="A51" s="779">
        <v>5710</v>
      </c>
      <c r="B51" s="12" t="s">
        <v>869</v>
      </c>
      <c r="C51" s="18">
        <f>+'422 Maintenance'!C46</f>
        <v>44.78</v>
      </c>
      <c r="D51" s="18">
        <f>+'422 Maintenance'!D46</f>
        <v>22.6</v>
      </c>
      <c r="E51" s="18">
        <f>+'422 Maintenance'!E46</f>
        <v>0</v>
      </c>
      <c r="F51" s="18">
        <f>+'422 Maintenance'!F46</f>
        <v>0</v>
      </c>
      <c r="G51" s="18">
        <f>+'422 Maintenance'!G46</f>
        <v>0</v>
      </c>
      <c r="H51" s="18">
        <f>+'422 Maintenance'!H46</f>
        <v>0</v>
      </c>
      <c r="I51" s="18">
        <f>+'422 Maintenance'!I46</f>
        <v>0</v>
      </c>
      <c r="J51" s="18">
        <f>+'422 Maintenance'!J46</f>
        <v>0</v>
      </c>
      <c r="K51" s="34">
        <f>+'422 Maintenance'!K46</f>
        <v>125</v>
      </c>
      <c r="L51" s="18">
        <f>+'422 Maintenance'!L46</f>
        <v>0</v>
      </c>
      <c r="M51" s="34">
        <f>+'422 Maintenance'!M46</f>
        <v>125</v>
      </c>
      <c r="N51" s="18">
        <f>+'422 Maintenance'!N46</f>
        <v>103.9</v>
      </c>
      <c r="O51" s="34">
        <f>+'422 Maintenance'!O46</f>
        <v>125</v>
      </c>
      <c r="P51" s="18">
        <f>+'422 Maintenance'!P46</f>
        <v>0</v>
      </c>
      <c r="Q51" s="34">
        <f>+'422 Maintenance'!Q46</f>
        <v>125</v>
      </c>
      <c r="R51" s="34">
        <f>+'422 Maintenance'!R46</f>
        <v>0</v>
      </c>
      <c r="S51" s="34">
        <f>+'422 Maintenance'!S46</f>
        <v>0</v>
      </c>
      <c r="X51" s="220"/>
    </row>
    <row r="52" spans="1:25" x14ac:dyDescent="0.2">
      <c r="A52" s="779">
        <v>5730</v>
      </c>
      <c r="B52" s="12" t="s">
        <v>1316</v>
      </c>
      <c r="C52" s="13">
        <f>+'422 Maintenance'!C47</f>
        <v>361</v>
      </c>
      <c r="D52" s="13">
        <f>+'422 Maintenance'!D47</f>
        <v>233</v>
      </c>
      <c r="E52" s="13">
        <f>+'422 Maintenance'!E47</f>
        <v>381</v>
      </c>
      <c r="F52" s="13">
        <f>+'422 Maintenance'!F47</f>
        <v>381</v>
      </c>
      <c r="G52" s="13">
        <f>+'422 Maintenance'!G47</f>
        <v>356</v>
      </c>
      <c r="H52" s="13">
        <f>+'422 Maintenance'!H47</f>
        <v>125</v>
      </c>
      <c r="I52" s="13">
        <f>+'422 Maintenance'!I47</f>
        <v>125</v>
      </c>
      <c r="J52" s="13">
        <f>+'422 Maintenance'!J47</f>
        <v>125</v>
      </c>
      <c r="K52" s="40">
        <f>+'422 Maintenance'!K47</f>
        <v>500</v>
      </c>
      <c r="L52" s="13">
        <f>+'422 Maintenance'!L47</f>
        <v>431</v>
      </c>
      <c r="M52" s="40">
        <f>+'422 Maintenance'!M47</f>
        <v>500</v>
      </c>
      <c r="N52" s="13">
        <f>+'422 Maintenance'!N47</f>
        <v>850</v>
      </c>
      <c r="O52" s="40">
        <f>+'422 Maintenance'!O47</f>
        <v>500</v>
      </c>
      <c r="P52" s="13">
        <f>+'422 Maintenance'!P47</f>
        <v>1619</v>
      </c>
      <c r="Q52" s="40">
        <f>+'422 Maintenance'!Q47</f>
        <v>500</v>
      </c>
      <c r="R52" s="40">
        <f>+'422 Maintenance'!R47</f>
        <v>0</v>
      </c>
      <c r="S52" s="40">
        <f>+'422 Maintenance'!S47</f>
        <v>0</v>
      </c>
      <c r="X52" s="220"/>
    </row>
    <row r="53" spans="1:25" x14ac:dyDescent="0.2">
      <c r="A53" s="779">
        <v>5783</v>
      </c>
      <c r="B53" s="12" t="s">
        <v>1317</v>
      </c>
      <c r="C53" s="13">
        <f>+'422 Maintenance'!C49</f>
        <v>780</v>
      </c>
      <c r="D53" s="13">
        <f>+'422 Maintenance'!D49</f>
        <v>1710</v>
      </c>
      <c r="E53" s="13">
        <f>+'422 Maintenance'!E49</f>
        <v>1440</v>
      </c>
      <c r="F53" s="13">
        <f>+'422 Maintenance'!F49</f>
        <v>724</v>
      </c>
      <c r="G53" s="13">
        <f>+'422 Maintenance'!G49</f>
        <v>567.9</v>
      </c>
      <c r="H53" s="13">
        <f>+'422 Maintenance'!H49</f>
        <v>1328.7</v>
      </c>
      <c r="I53" s="13">
        <f>+'422 Maintenance'!I49</f>
        <v>1056</v>
      </c>
      <c r="J53" s="13">
        <f>+'422 Maintenance'!J49</f>
        <v>1204.95</v>
      </c>
      <c r="K53" s="40">
        <f>+'422 Maintenance'!K49</f>
        <v>1500</v>
      </c>
      <c r="L53" s="13">
        <f>+'422 Maintenance'!L49</f>
        <v>950</v>
      </c>
      <c r="M53" s="40">
        <f>+'422 Maintenance'!M49</f>
        <v>1500</v>
      </c>
      <c r="N53" s="13">
        <f>+'422 Maintenance'!N49</f>
        <v>1025.58</v>
      </c>
      <c r="O53" s="40">
        <f>+'422 Maintenance'!O49</f>
        <v>1500</v>
      </c>
      <c r="P53" s="13">
        <f>+'422 Maintenance'!P49</f>
        <v>531.53</v>
      </c>
      <c r="Q53" s="40">
        <f>+'422 Maintenance'!Q49</f>
        <v>1500</v>
      </c>
      <c r="R53" s="40">
        <f>+'422 Maintenance'!R49</f>
        <v>1500</v>
      </c>
      <c r="S53" s="40">
        <f>+'422 Maintenance'!S49</f>
        <v>0</v>
      </c>
      <c r="X53" s="220"/>
    </row>
    <row r="54" spans="1:25" ht="13.5" thickBot="1" x14ac:dyDescent="0.25">
      <c r="A54" s="779"/>
      <c r="B54" s="12" t="s">
        <v>1172</v>
      </c>
      <c r="C54" s="15"/>
      <c r="D54" s="15"/>
      <c r="E54" s="15"/>
      <c r="F54" s="15"/>
      <c r="G54" s="15"/>
      <c r="H54" s="15"/>
      <c r="I54" s="15"/>
      <c r="J54" s="15"/>
      <c r="K54" s="41"/>
      <c r="L54" s="15">
        <f>+'192 Public Bldgs'!L20+'422 Maintenance'!L48+'652 Parks'!L15</f>
        <v>7263.85</v>
      </c>
      <c r="M54" s="41"/>
      <c r="N54" s="15">
        <f>+'192 Public Bldgs'!N20+'422 Maintenance'!N48+'652 Parks'!N15</f>
        <v>0</v>
      </c>
      <c r="O54" s="41"/>
      <c r="P54" s="15"/>
      <c r="Q54" s="41"/>
      <c r="R54" s="41"/>
      <c r="S54" s="41"/>
      <c r="X54" s="220"/>
    </row>
    <row r="55" spans="1:25" x14ac:dyDescent="0.2">
      <c r="A55" s="779"/>
      <c r="B55" s="17" t="s">
        <v>838</v>
      </c>
      <c r="C55" s="28">
        <f t="shared" ref="C55:Q55" si="5">SUM(C19:C54)</f>
        <v>285136.54000000004</v>
      </c>
      <c r="D55" s="28">
        <f t="shared" si="5"/>
        <v>332717.53999999998</v>
      </c>
      <c r="E55" s="28">
        <f t="shared" si="5"/>
        <v>399597.73000000004</v>
      </c>
      <c r="F55" s="28">
        <f t="shared" si="5"/>
        <v>382107.43999999994</v>
      </c>
      <c r="G55" s="28">
        <f t="shared" si="5"/>
        <v>316782.28999999998</v>
      </c>
      <c r="H55" s="28">
        <f t="shared" si="5"/>
        <v>356131.57000000007</v>
      </c>
      <c r="I55" s="28">
        <f t="shared" si="5"/>
        <v>427074.30000000005</v>
      </c>
      <c r="J55" s="28">
        <f t="shared" ref="J55" si="6">SUM(J19:J54)</f>
        <v>430017.62000000005</v>
      </c>
      <c r="K55" s="180">
        <f t="shared" ref="K55:O55" si="7">SUM(K19:K54)</f>
        <v>473825</v>
      </c>
      <c r="L55" s="28">
        <f t="shared" si="7"/>
        <v>407776.17</v>
      </c>
      <c r="M55" s="180">
        <f t="shared" ref="M55:N55" si="8">SUM(M19:M54)</f>
        <v>496075</v>
      </c>
      <c r="N55" s="28">
        <f t="shared" si="8"/>
        <v>432058.60000000003</v>
      </c>
      <c r="O55" s="180">
        <f t="shared" si="7"/>
        <v>533175</v>
      </c>
      <c r="P55" s="28">
        <f t="shared" si="5"/>
        <v>205234.53</v>
      </c>
      <c r="Q55" s="180">
        <f t="shared" si="5"/>
        <v>569365</v>
      </c>
      <c r="R55" s="180">
        <f>+Q55</f>
        <v>569365</v>
      </c>
      <c r="S55" s="180">
        <f>+Q55</f>
        <v>569365</v>
      </c>
      <c r="U55">
        <f>+Q55-K55</f>
        <v>95540</v>
      </c>
      <c r="X55" s="220"/>
    </row>
    <row r="56" spans="1:25" x14ac:dyDescent="0.2">
      <c r="A56" s="779"/>
      <c r="B56" s="17"/>
      <c r="C56" s="28"/>
      <c r="D56" s="28"/>
      <c r="E56" s="28"/>
      <c r="F56" s="13"/>
      <c r="G56" s="13"/>
      <c r="H56" s="13"/>
      <c r="I56" s="13"/>
      <c r="J56" s="13"/>
      <c r="K56" s="40"/>
      <c r="L56" s="13"/>
      <c r="M56" s="40"/>
      <c r="N56" s="13"/>
      <c r="O56" s="40"/>
      <c r="P56" s="13"/>
      <c r="Q56" s="40"/>
      <c r="R56" s="40"/>
      <c r="S56" s="40"/>
      <c r="X56" s="220"/>
    </row>
    <row r="57" spans="1:25" ht="13.5" thickBot="1" x14ac:dyDescent="0.25">
      <c r="A57" s="779">
        <v>5800</v>
      </c>
      <c r="B57" s="12" t="s">
        <v>1318</v>
      </c>
      <c r="C57" s="28"/>
      <c r="D57" s="28"/>
      <c r="E57" s="28"/>
      <c r="F57" s="15"/>
      <c r="G57" s="15"/>
      <c r="H57" s="15"/>
      <c r="I57" s="15">
        <f>+'422 Maintenance'!I52</f>
        <v>21320.41</v>
      </c>
      <c r="J57" s="15">
        <f>+'422 Maintenance'!J52</f>
        <v>21320.41</v>
      </c>
      <c r="K57" s="41">
        <f>+'422 Maintenance'!K52</f>
        <v>24090</v>
      </c>
      <c r="L57" s="15">
        <f>+'422 Maintenance'!L52</f>
        <v>21320.41</v>
      </c>
      <c r="M57" s="41">
        <f>+'422 Maintenance'!M52</f>
        <v>21321</v>
      </c>
      <c r="N57" s="15">
        <f>+'422 Maintenance'!N52</f>
        <v>21320.41</v>
      </c>
      <c r="O57" s="41">
        <f>+'422 Maintenance'!O52</f>
        <v>0</v>
      </c>
      <c r="P57" s="41">
        <f>+'422 Maintenance'!P52</f>
        <v>0</v>
      </c>
      <c r="Q57" s="41">
        <f>+'422 Maintenance'!Q53</f>
        <v>0</v>
      </c>
      <c r="R57" s="41">
        <f>+Q57</f>
        <v>0</v>
      </c>
      <c r="S57" s="41">
        <f>+'422 Maintenance'!S53</f>
        <v>0</v>
      </c>
      <c r="X57" s="220"/>
    </row>
    <row r="58" spans="1:25" x14ac:dyDescent="0.2">
      <c r="A58" s="779"/>
      <c r="B58" s="17" t="s">
        <v>952</v>
      </c>
      <c r="C58" s="28"/>
      <c r="D58" s="28"/>
      <c r="E58" s="28"/>
      <c r="F58" s="18"/>
      <c r="G58" s="18"/>
      <c r="H58" s="18"/>
      <c r="I58" s="18">
        <f>+I57</f>
        <v>21320.41</v>
      </c>
      <c r="J58" s="18">
        <f>+J57</f>
        <v>21320.41</v>
      </c>
      <c r="K58" s="34">
        <f>+K57</f>
        <v>24090</v>
      </c>
      <c r="L58" s="18">
        <f t="shared" ref="L58:O58" si="9">+L57</f>
        <v>21320.41</v>
      </c>
      <c r="M58" s="34">
        <f>+M57</f>
        <v>21321</v>
      </c>
      <c r="N58" s="18">
        <f t="shared" ref="N58" si="10">+N57</f>
        <v>21320.41</v>
      </c>
      <c r="O58" s="34">
        <f t="shared" si="9"/>
        <v>0</v>
      </c>
      <c r="P58" s="18">
        <f>+P57</f>
        <v>0</v>
      </c>
      <c r="Q58" s="34">
        <f>+Q57</f>
        <v>0</v>
      </c>
      <c r="R58" s="34">
        <f>+R57</f>
        <v>0</v>
      </c>
      <c r="S58" s="34">
        <f>+Q58</f>
        <v>0</v>
      </c>
      <c r="X58" s="220"/>
    </row>
    <row r="59" spans="1:25" x14ac:dyDescent="0.2">
      <c r="A59" s="779"/>
      <c r="B59" s="12"/>
      <c r="C59" s="35"/>
      <c r="D59" s="35"/>
      <c r="E59" s="35"/>
      <c r="F59" s="35"/>
      <c r="G59" s="35"/>
      <c r="H59" s="35"/>
      <c r="I59" s="35"/>
      <c r="J59" s="35"/>
      <c r="K59" s="89"/>
      <c r="L59" s="35"/>
      <c r="M59" s="89"/>
      <c r="N59" s="35"/>
      <c r="O59" s="89"/>
      <c r="P59" s="35"/>
      <c r="Q59" s="89"/>
      <c r="R59" s="89"/>
      <c r="S59" s="89"/>
      <c r="X59" s="220"/>
    </row>
    <row r="60" spans="1:25" ht="13.5" thickBot="1" x14ac:dyDescent="0.25">
      <c r="A60" s="780"/>
      <c r="B60" s="20" t="s">
        <v>1010</v>
      </c>
      <c r="C60" s="21">
        <f t="shared" ref="C60:H60" si="11">+C55+C17</f>
        <v>961847.43</v>
      </c>
      <c r="D60" s="21">
        <f t="shared" si="11"/>
        <v>1059583.8599999999</v>
      </c>
      <c r="E60" s="21">
        <f t="shared" si="11"/>
        <v>1131643.6700000004</v>
      </c>
      <c r="F60" s="21">
        <f t="shared" si="11"/>
        <v>1126607.77</v>
      </c>
      <c r="G60" s="21">
        <f t="shared" si="11"/>
        <v>1120246.68</v>
      </c>
      <c r="H60" s="21">
        <f t="shared" si="11"/>
        <v>1203442.93</v>
      </c>
      <c r="I60" s="21">
        <f t="shared" ref="I60:S60" si="12">+I55+I17+I58</f>
        <v>1313961.4099999999</v>
      </c>
      <c r="J60" s="21">
        <f t="shared" si="12"/>
        <v>1376050.41</v>
      </c>
      <c r="K60" s="39">
        <f t="shared" si="12"/>
        <v>1465498</v>
      </c>
      <c r="L60" s="21">
        <f t="shared" ref="L60:O60" si="13">+L55+L17+L58</f>
        <v>1375179.96</v>
      </c>
      <c r="M60" s="39">
        <f t="shared" si="13"/>
        <v>1540146</v>
      </c>
      <c r="N60" s="21">
        <f t="shared" ref="N60" si="14">+N55+N17+N58</f>
        <v>1419474.49</v>
      </c>
      <c r="O60" s="39">
        <f t="shared" si="13"/>
        <v>1571829</v>
      </c>
      <c r="P60" s="558">
        <f t="shared" si="12"/>
        <v>682699.92</v>
      </c>
      <c r="Q60" s="39">
        <f t="shared" si="12"/>
        <v>1746505.8</v>
      </c>
      <c r="R60" s="39">
        <f t="shared" ref="R60" si="15">+R55+R17+R58</f>
        <v>1746505.8</v>
      </c>
      <c r="S60" s="39">
        <f t="shared" si="12"/>
        <v>1746505.8</v>
      </c>
      <c r="X60" s="220"/>
    </row>
    <row r="61" spans="1:25" ht="16.5" thickTop="1" x14ac:dyDescent="0.25">
      <c r="A61" s="774"/>
      <c r="B61" s="4"/>
      <c r="C61" s="56"/>
      <c r="D61" s="23"/>
      <c r="E61" s="23"/>
      <c r="F61" s="23"/>
      <c r="G61" s="23"/>
      <c r="H61" s="23"/>
      <c r="I61" s="23"/>
      <c r="J61" s="23"/>
      <c r="K61" s="23"/>
      <c r="L61" s="23"/>
      <c r="M61" s="23"/>
      <c r="N61" s="23"/>
      <c r="O61" s="23"/>
      <c r="P61" s="199" t="s">
        <v>843</v>
      </c>
      <c r="Q61" s="1116">
        <f>+Q60-O60</f>
        <v>174676.80000000005</v>
      </c>
      <c r="R61" s="1117">
        <f>ROUND((+Q61/O60),4)</f>
        <v>0.1111</v>
      </c>
      <c r="S61" s="319"/>
      <c r="T61" s="23"/>
      <c r="U61" s="25"/>
      <c r="V61" s="201"/>
      <c r="W61" s="25"/>
      <c r="X61" s="25"/>
      <c r="Y61" s="25"/>
    </row>
    <row r="62" spans="1:25" x14ac:dyDescent="0.2">
      <c r="A62" s="774"/>
      <c r="B62" s="4"/>
      <c r="C62" s="56"/>
      <c r="D62" s="23"/>
      <c r="E62" s="23"/>
      <c r="F62" s="23"/>
      <c r="G62" s="23"/>
      <c r="H62" s="23"/>
      <c r="I62" s="23"/>
      <c r="J62" s="23"/>
      <c r="K62" s="23"/>
      <c r="L62" s="23"/>
      <c r="M62" s="23"/>
      <c r="N62" s="23"/>
      <c r="O62" s="23"/>
      <c r="P62" s="23"/>
      <c r="Q62" s="277"/>
      <c r="R62" s="277"/>
      <c r="S62" s="567"/>
      <c r="T62" s="25"/>
      <c r="U62" s="25"/>
      <c r="V62" s="25"/>
      <c r="W62" s="25"/>
      <c r="X62" s="25"/>
      <c r="Y62" s="25"/>
    </row>
    <row r="63" spans="1:25" x14ac:dyDescent="0.2">
      <c r="A63" s="774"/>
      <c r="B63" s="4"/>
      <c r="C63" s="56"/>
      <c r="D63" s="23"/>
      <c r="E63" s="23"/>
      <c r="F63" s="23"/>
      <c r="G63" s="23"/>
      <c r="H63" s="23"/>
      <c r="I63" s="23"/>
      <c r="J63" s="23"/>
      <c r="K63" s="23"/>
      <c r="L63" s="23"/>
      <c r="M63" s="23"/>
      <c r="N63" s="23"/>
      <c r="O63" s="23"/>
      <c r="P63" s="23"/>
      <c r="Q63" s="23"/>
      <c r="R63" s="23"/>
      <c r="S63" s="23"/>
      <c r="T63" s="23"/>
      <c r="U63" s="25"/>
      <c r="V63" s="25"/>
      <c r="W63" s="25"/>
      <c r="X63" s="25"/>
      <c r="Y63" s="25"/>
    </row>
    <row r="64" spans="1:25" x14ac:dyDescent="0.2">
      <c r="A64" s="774"/>
      <c r="B64" s="4"/>
      <c r="C64" s="56"/>
      <c r="D64" s="23"/>
      <c r="E64" s="23"/>
      <c r="F64" s="23"/>
      <c r="G64" s="23"/>
      <c r="H64" s="23"/>
      <c r="I64" s="23"/>
      <c r="J64" s="23"/>
      <c r="K64" s="23"/>
      <c r="L64" s="23"/>
      <c r="M64" s="23"/>
      <c r="N64" s="23"/>
      <c r="O64" s="23"/>
      <c r="P64" s="23"/>
      <c r="Q64" s="23"/>
      <c r="R64" s="23"/>
      <c r="S64" s="23"/>
      <c r="T64" s="23"/>
      <c r="U64" s="25"/>
      <c r="V64" s="25"/>
      <c r="W64" s="25"/>
      <c r="X64" s="25"/>
      <c r="Y64" s="25"/>
    </row>
    <row r="65" spans="1:25" x14ac:dyDescent="0.2">
      <c r="A65" s="774"/>
      <c r="B65" s="4"/>
      <c r="C65" s="23"/>
      <c r="D65" s="23"/>
      <c r="E65" s="23"/>
      <c r="F65" s="23"/>
      <c r="G65" s="23"/>
      <c r="H65" s="23"/>
      <c r="I65" s="23"/>
      <c r="J65" s="23"/>
      <c r="K65" s="23"/>
      <c r="L65" s="23"/>
      <c r="M65" s="23"/>
      <c r="N65" s="23"/>
      <c r="O65" s="23"/>
      <c r="P65" s="23"/>
      <c r="Q65" s="23"/>
      <c r="R65" s="23"/>
      <c r="S65" s="23"/>
      <c r="T65" s="23"/>
      <c r="U65" s="25"/>
      <c r="V65" s="25"/>
      <c r="W65" s="25"/>
      <c r="X65" s="25"/>
      <c r="Y65" s="25"/>
    </row>
    <row r="66" spans="1:25" ht="13.5" thickBot="1" x14ac:dyDescent="0.25">
      <c r="A66" s="774" t="s">
        <v>911</v>
      </c>
      <c r="B66" s="4"/>
      <c r="C66" s="212"/>
      <c r="D66" s="1"/>
      <c r="E66" s="1"/>
      <c r="F66" s="1"/>
      <c r="G66" s="1"/>
      <c r="H66" s="1"/>
      <c r="I66" s="1"/>
      <c r="J66" s="1"/>
      <c r="K66" s="1"/>
      <c r="L66" s="1"/>
      <c r="M66" s="1"/>
      <c r="N66" s="1"/>
      <c r="O66" s="1"/>
      <c r="P66"/>
      <c r="Q66" t="s">
        <v>27</v>
      </c>
      <c r="R66" t="s">
        <v>882</v>
      </c>
      <c r="S66" s="220" t="s">
        <v>1319</v>
      </c>
      <c r="X66" s="220"/>
    </row>
    <row r="67" spans="1:25" ht="13.5" thickTop="1" x14ac:dyDescent="0.2">
      <c r="A67" s="781" t="s">
        <v>872</v>
      </c>
      <c r="B67" s="98"/>
      <c r="D67" s="212"/>
      <c r="E67" s="212"/>
      <c r="F67" s="212"/>
      <c r="G67" s="212"/>
      <c r="H67" s="212"/>
      <c r="I67" s="212"/>
      <c r="J67" s="212"/>
      <c r="K67" s="212"/>
      <c r="L67" s="212"/>
      <c r="M67" s="269" t="s">
        <v>873</v>
      </c>
      <c r="N67" s="138" t="s">
        <v>874</v>
      </c>
      <c r="O67" s="150" t="s">
        <v>1243</v>
      </c>
      <c r="P67" s="150" t="s">
        <v>875</v>
      </c>
      <c r="Q67"/>
      <c r="R67" s="205"/>
      <c r="S67" s="25"/>
      <c r="X67" s="220"/>
    </row>
    <row r="68" spans="1:25" ht="13.5" thickBot="1" x14ac:dyDescent="0.25">
      <c r="A68" s="782" t="s">
        <v>877</v>
      </c>
      <c r="B68" s="100" t="s">
        <v>878</v>
      </c>
      <c r="D68" s="212"/>
      <c r="E68" s="212"/>
      <c r="F68" s="212"/>
      <c r="G68" s="212"/>
      <c r="H68" s="212"/>
      <c r="I68" s="212"/>
      <c r="J68" s="212"/>
      <c r="K68" s="212"/>
      <c r="L68" s="212"/>
      <c r="M68" s="287">
        <v>45108</v>
      </c>
      <c r="N68" s="141" t="s">
        <v>879</v>
      </c>
      <c r="O68" s="142" t="s">
        <v>954</v>
      </c>
      <c r="P68" s="142" t="s">
        <v>881</v>
      </c>
      <c r="Q68"/>
      <c r="R68" s="220"/>
      <c r="S68" s="4"/>
      <c r="X68" s="220"/>
    </row>
    <row r="69" spans="1:25" ht="13.5" thickTop="1" x14ac:dyDescent="0.2">
      <c r="A69" s="903">
        <v>38021</v>
      </c>
      <c r="B69" s="1067" t="s">
        <v>1320</v>
      </c>
      <c r="D69" s="212"/>
      <c r="E69" s="212"/>
      <c r="F69" s="212"/>
      <c r="G69" s="212"/>
      <c r="H69" s="212"/>
      <c r="I69" s="212"/>
      <c r="J69" s="212"/>
      <c r="K69" s="212"/>
      <c r="L69" s="212"/>
      <c r="M69" s="97" t="s">
        <v>1321</v>
      </c>
      <c r="N69" s="149"/>
      <c r="O69" s="23"/>
      <c r="P69" s="137">
        <f>+'NAGE &amp; Non-Union Wages'!L12</f>
        <v>102672</v>
      </c>
      <c r="Q69" s="612"/>
      <c r="R69" s="903">
        <v>38021</v>
      </c>
      <c r="S69" s="912">
        <v>20</v>
      </c>
      <c r="X69" s="220"/>
    </row>
    <row r="70" spans="1:25" x14ac:dyDescent="0.2">
      <c r="A70" s="903">
        <v>44410</v>
      </c>
      <c r="B70" s="74" t="s">
        <v>1322</v>
      </c>
      <c r="D70" s="212"/>
      <c r="E70" s="212"/>
      <c r="F70" s="212"/>
      <c r="G70" s="212"/>
      <c r="H70" s="212"/>
      <c r="I70" s="212"/>
      <c r="J70" s="212"/>
      <c r="K70" s="212"/>
      <c r="L70" s="212"/>
      <c r="M70" s="97" t="s">
        <v>1323</v>
      </c>
      <c r="N70" s="149">
        <f>+'NAGE &amp; Non-Union Wages'!I8</f>
        <v>28.16</v>
      </c>
      <c r="O70" s="25">
        <f>+'To Do and Changes'!$E$24</f>
        <v>2080</v>
      </c>
      <c r="P70" s="137">
        <f t="shared" ref="P70:P89" si="16">ROUND((+N70*O70),2)</f>
        <v>58572.800000000003</v>
      </c>
      <c r="Q70" s="944"/>
      <c r="R70" s="903">
        <v>44410</v>
      </c>
      <c r="S70" s="912">
        <v>2</v>
      </c>
      <c r="X70" s="220"/>
    </row>
    <row r="71" spans="1:25" x14ac:dyDescent="0.2">
      <c r="A71" s="903">
        <v>43382</v>
      </c>
      <c r="B71" s="74" t="s">
        <v>1324</v>
      </c>
      <c r="D71" s="212"/>
      <c r="E71" s="212"/>
      <c r="F71" s="212"/>
      <c r="G71" s="212"/>
      <c r="H71" s="212"/>
      <c r="I71" s="212"/>
      <c r="J71" s="212"/>
      <c r="K71" s="212"/>
      <c r="L71" s="212"/>
      <c r="M71" s="97" t="s">
        <v>1325</v>
      </c>
      <c r="N71" s="149">
        <f>+'NAGE &amp; Non-Union Wages'!H19</f>
        <v>33.43</v>
      </c>
      <c r="O71" s="25">
        <f>+'To Do and Changes'!$E$24</f>
        <v>2080</v>
      </c>
      <c r="P71" s="137">
        <f t="shared" si="16"/>
        <v>69534.399999999994</v>
      </c>
      <c r="Q71" s="944">
        <v>300</v>
      </c>
      <c r="R71" s="903">
        <v>43382</v>
      </c>
      <c r="S71" s="912">
        <v>5</v>
      </c>
      <c r="X71" s="220"/>
    </row>
    <row r="72" spans="1:25" x14ac:dyDescent="0.2">
      <c r="A72" s="903">
        <v>44360</v>
      </c>
      <c r="B72" s="74" t="s">
        <v>1326</v>
      </c>
      <c r="D72" s="212"/>
      <c r="E72" s="212"/>
      <c r="F72" s="212"/>
      <c r="G72" s="212"/>
      <c r="H72" s="212"/>
      <c r="I72" s="212"/>
      <c r="J72" s="212"/>
      <c r="K72" s="212"/>
      <c r="L72" s="212"/>
      <c r="M72" s="97" t="s">
        <v>1327</v>
      </c>
      <c r="N72" s="149">
        <f>+'NAGE &amp; Non-Union Wages'!H8</f>
        <v>27.6</v>
      </c>
      <c r="O72" s="25">
        <f>+'To Do and Changes'!$E$24</f>
        <v>2080</v>
      </c>
      <c r="P72" s="137">
        <f t="shared" si="16"/>
        <v>57408</v>
      </c>
      <c r="Q72" s="944"/>
      <c r="R72" s="903">
        <v>44360</v>
      </c>
      <c r="S72" s="912"/>
      <c r="X72" s="220"/>
    </row>
    <row r="73" spans="1:25" x14ac:dyDescent="0.2">
      <c r="A73" s="903">
        <v>42569</v>
      </c>
      <c r="B73" s="4" t="s">
        <v>1328</v>
      </c>
      <c r="D73" s="212"/>
      <c r="E73" s="212"/>
      <c r="F73" s="212"/>
      <c r="G73" s="212"/>
      <c r="H73" s="212"/>
      <c r="I73" s="212"/>
      <c r="J73" s="212"/>
      <c r="K73" s="212"/>
      <c r="L73" s="212"/>
      <c r="M73" s="25" t="s">
        <v>1329</v>
      </c>
      <c r="N73" s="149">
        <f>+'UE Wages'!F9</f>
        <v>24.45</v>
      </c>
      <c r="O73" s="25">
        <f>+'To Do and Changes'!$E$24</f>
        <v>2080</v>
      </c>
      <c r="P73" s="137">
        <f t="shared" si="16"/>
        <v>50856</v>
      </c>
      <c r="Q73" s="612">
        <v>300</v>
      </c>
      <c r="R73" s="903">
        <v>42569</v>
      </c>
      <c r="S73" s="912">
        <v>7</v>
      </c>
      <c r="X73" s="220"/>
    </row>
    <row r="74" spans="1:25" x14ac:dyDescent="0.2">
      <c r="A74" s="903">
        <v>40574</v>
      </c>
      <c r="B74" s="499" t="s">
        <v>1330</v>
      </c>
      <c r="D74" s="212"/>
      <c r="E74" s="212"/>
      <c r="F74" s="212"/>
      <c r="G74" s="212"/>
      <c r="H74" s="212"/>
      <c r="I74" s="212"/>
      <c r="J74" s="212"/>
      <c r="K74" s="212"/>
      <c r="L74" s="212"/>
      <c r="M74" s="25" t="s">
        <v>1331</v>
      </c>
      <c r="N74" s="149">
        <f>+'UE Wages'!L8</f>
        <v>25.52</v>
      </c>
      <c r="O74" s="25">
        <f>+'To Do and Changes'!$E$24</f>
        <v>2080</v>
      </c>
      <c r="P74" s="137">
        <f t="shared" si="16"/>
        <v>53081.599999999999</v>
      </c>
      <c r="Q74" s="612">
        <v>500</v>
      </c>
      <c r="R74" s="903">
        <v>40574</v>
      </c>
      <c r="S74" s="912">
        <v>13</v>
      </c>
      <c r="X74" s="220"/>
    </row>
    <row r="75" spans="1:25" x14ac:dyDescent="0.2">
      <c r="A75" s="903"/>
      <c r="B75" s="499" t="s">
        <v>2239</v>
      </c>
      <c r="D75" s="212"/>
      <c r="E75" s="212"/>
      <c r="F75" s="212"/>
      <c r="G75" s="212"/>
      <c r="H75" s="212"/>
      <c r="I75" s="212"/>
      <c r="J75" s="212"/>
      <c r="K75" s="212"/>
      <c r="L75" s="212"/>
      <c r="M75" s="320" t="s">
        <v>2240</v>
      </c>
      <c r="N75" s="23">
        <f>+'UE Wages'!E8</f>
        <v>21.9</v>
      </c>
      <c r="O75" s="25">
        <f>+'To Do and Changes'!$E$24</f>
        <v>2080</v>
      </c>
      <c r="P75" s="137">
        <f t="shared" si="16"/>
        <v>45552</v>
      </c>
      <c r="Q75" s="944"/>
      <c r="R75" s="1033"/>
      <c r="S75" s="912"/>
      <c r="X75" s="220"/>
    </row>
    <row r="76" spans="1:25" x14ac:dyDescent="0.2">
      <c r="A76" s="903">
        <v>44753</v>
      </c>
      <c r="B76" s="499" t="s">
        <v>1332</v>
      </c>
      <c r="D76" s="212"/>
      <c r="E76" s="212"/>
      <c r="F76" s="212"/>
      <c r="G76" s="212"/>
      <c r="H76" s="212"/>
      <c r="I76" s="212"/>
      <c r="J76" s="212"/>
      <c r="K76" s="212"/>
      <c r="L76" s="212"/>
      <c r="M76" s="25" t="s">
        <v>1333</v>
      </c>
      <c r="N76" s="149">
        <f>+'UE Wages'!L6</f>
        <v>20.12</v>
      </c>
      <c r="O76" s="25">
        <f>+'To Do and Changes'!$E$24</f>
        <v>2080</v>
      </c>
      <c r="P76" s="137">
        <f t="shared" si="16"/>
        <v>41849.599999999999</v>
      </c>
      <c r="Q76" s="944"/>
      <c r="R76" s="903">
        <v>44753</v>
      </c>
      <c r="S76" s="912">
        <v>2</v>
      </c>
      <c r="X76" s="220"/>
    </row>
    <row r="77" spans="1:25" x14ac:dyDescent="0.2">
      <c r="A77" s="903">
        <v>44459</v>
      </c>
      <c r="B77" s="500" t="s">
        <v>1334</v>
      </c>
      <c r="D77" s="212"/>
      <c r="E77" s="212"/>
      <c r="F77" s="212"/>
      <c r="G77" s="212"/>
      <c r="H77" s="212"/>
      <c r="I77" s="212"/>
      <c r="J77" s="212"/>
      <c r="K77" s="212"/>
      <c r="L77" s="212"/>
      <c r="M77" s="25" t="s">
        <v>1335</v>
      </c>
      <c r="N77" s="149">
        <f>+'UE Wages'!G8</f>
        <v>23.01</v>
      </c>
      <c r="O77" s="25">
        <f>+'To Do and Changes'!$E$24</f>
        <v>2080</v>
      </c>
      <c r="P77" s="137">
        <f t="shared" si="16"/>
        <v>47860.800000000003</v>
      </c>
      <c r="Q77" s="944"/>
      <c r="R77" s="903">
        <v>44459</v>
      </c>
      <c r="S77" s="912">
        <v>2</v>
      </c>
      <c r="X77" s="220"/>
    </row>
    <row r="78" spans="1:25" x14ac:dyDescent="0.2">
      <c r="A78" s="903">
        <v>44459</v>
      </c>
      <c r="B78" s="500" t="s">
        <v>1336</v>
      </c>
      <c r="C78" s="283"/>
      <c r="D78" s="345"/>
      <c r="E78" s="345"/>
      <c r="F78" s="212"/>
      <c r="G78" s="212"/>
      <c r="H78" s="212"/>
      <c r="I78" s="212"/>
      <c r="J78" s="212"/>
      <c r="K78" s="212"/>
      <c r="L78" s="212"/>
      <c r="M78" s="97" t="s">
        <v>1337</v>
      </c>
      <c r="N78" s="149">
        <f>+'UE Wages'!D8</f>
        <v>21.36</v>
      </c>
      <c r="O78" s="25">
        <f>+'To Do and Changes'!$E$24</f>
        <v>2080</v>
      </c>
      <c r="P78" s="137">
        <f t="shared" si="16"/>
        <v>44428.800000000003</v>
      </c>
      <c r="Q78" s="612"/>
      <c r="R78" s="903">
        <v>44459</v>
      </c>
      <c r="S78" s="912">
        <v>2</v>
      </c>
      <c r="X78" s="220"/>
    </row>
    <row r="79" spans="1:25" x14ac:dyDescent="0.2">
      <c r="A79" s="903">
        <v>41645</v>
      </c>
      <c r="B79" s="500" t="s">
        <v>2446</v>
      </c>
      <c r="C79" s="283"/>
      <c r="D79" s="345"/>
      <c r="E79" s="345"/>
      <c r="F79" s="212"/>
      <c r="G79" s="212"/>
      <c r="H79" s="212"/>
      <c r="I79" s="212"/>
      <c r="J79" s="212"/>
      <c r="K79" s="212"/>
      <c r="L79" s="212"/>
      <c r="M79" s="25" t="s">
        <v>1188</v>
      </c>
      <c r="N79" s="149">
        <f>+'UE Wages'!J9</f>
        <v>26.74</v>
      </c>
      <c r="O79" s="25">
        <f>+'To Do and Changes'!$E$24</f>
        <v>2080</v>
      </c>
      <c r="P79" s="137">
        <f t="shared" si="16"/>
        <v>55619.199999999997</v>
      </c>
      <c r="Q79" s="612">
        <v>500</v>
      </c>
      <c r="R79" s="903">
        <v>41645</v>
      </c>
      <c r="S79" s="912">
        <v>10</v>
      </c>
      <c r="X79" s="220"/>
    </row>
    <row r="80" spans="1:25" x14ac:dyDescent="0.2">
      <c r="A80" s="903">
        <v>42711</v>
      </c>
      <c r="B80" s="498" t="s">
        <v>1338</v>
      </c>
      <c r="C80" s="283"/>
      <c r="D80" s="345"/>
      <c r="E80" s="345"/>
      <c r="F80" s="212"/>
      <c r="G80" s="212"/>
      <c r="H80" s="212"/>
      <c r="I80" s="212"/>
      <c r="J80" s="212"/>
      <c r="K80" s="212"/>
      <c r="L80" s="212"/>
      <c r="M80" s="97" t="s">
        <v>1339</v>
      </c>
      <c r="N80" s="97">
        <f>+'UE Wages'!E6</f>
        <v>17.27</v>
      </c>
      <c r="O80" s="1066">
        <v>780</v>
      </c>
      <c r="P80" s="137">
        <f t="shared" si="16"/>
        <v>13470.6</v>
      </c>
      <c r="Q80" s="612"/>
      <c r="R80" s="903">
        <v>42711</v>
      </c>
      <c r="S80" s="913">
        <v>7</v>
      </c>
      <c r="X80" s="220"/>
    </row>
    <row r="81" spans="1:26" x14ac:dyDescent="0.2">
      <c r="A81" s="903">
        <v>42821</v>
      </c>
      <c r="B81" s="4" t="s">
        <v>1340</v>
      </c>
      <c r="C81" s="283"/>
      <c r="D81" s="345"/>
      <c r="E81" s="345"/>
      <c r="F81" s="212"/>
      <c r="G81" s="212"/>
      <c r="H81" s="212"/>
      <c r="I81" s="212"/>
      <c r="J81" s="212"/>
      <c r="K81" s="212"/>
      <c r="L81" s="212"/>
      <c r="M81" s="25" t="s">
        <v>1329</v>
      </c>
      <c r="N81" s="149"/>
      <c r="O81" s="25">
        <f>+'To Do and Changes'!$E$24</f>
        <v>2080</v>
      </c>
      <c r="P81" s="137">
        <f t="shared" si="16"/>
        <v>0</v>
      </c>
      <c r="Q81" s="616"/>
      <c r="R81" s="903"/>
      <c r="S81" s="914"/>
      <c r="X81" s="220"/>
    </row>
    <row r="82" spans="1:26" x14ac:dyDescent="0.2">
      <c r="A82" s="903">
        <v>42688</v>
      </c>
      <c r="B82" s="4" t="s">
        <v>1341</v>
      </c>
      <c r="C82" s="283"/>
      <c r="D82" s="345"/>
      <c r="E82" s="345"/>
      <c r="F82" s="212"/>
      <c r="G82" s="212"/>
      <c r="H82" s="212"/>
      <c r="I82" s="212"/>
      <c r="J82" s="212"/>
      <c r="K82" s="212"/>
      <c r="L82" s="212"/>
      <c r="M82" s="25" t="s">
        <v>1329</v>
      </c>
      <c r="N82" s="149">
        <f>+'UE Wages'!F9</f>
        <v>24.45</v>
      </c>
      <c r="O82" s="25">
        <f>+'To Do and Changes'!$E$24</f>
        <v>2080</v>
      </c>
      <c r="P82" s="137">
        <f t="shared" si="16"/>
        <v>50856</v>
      </c>
      <c r="Q82" s="612">
        <v>300</v>
      </c>
      <c r="R82" s="903">
        <v>42688</v>
      </c>
      <c r="S82" s="912">
        <v>7</v>
      </c>
      <c r="X82" s="220"/>
    </row>
    <row r="83" spans="1:26" x14ac:dyDescent="0.2">
      <c r="A83" s="1105">
        <v>42457</v>
      </c>
      <c r="B83" s="4" t="s">
        <v>1342</v>
      </c>
      <c r="C83" s="283"/>
      <c r="D83" s="345"/>
      <c r="E83" s="345"/>
      <c r="F83" s="212"/>
      <c r="G83" s="212"/>
      <c r="H83" s="212"/>
      <c r="I83" s="212"/>
      <c r="J83" s="212"/>
      <c r="K83" s="212"/>
      <c r="L83" s="212"/>
      <c r="M83" s="25" t="s">
        <v>1343</v>
      </c>
      <c r="N83" s="149">
        <f>+'UE Wages'!G9</f>
        <v>25.08</v>
      </c>
      <c r="O83" s="25">
        <f>+'To Do and Changes'!$E$24</f>
        <v>2080</v>
      </c>
      <c r="P83" s="137">
        <f t="shared" si="16"/>
        <v>52166.400000000001</v>
      </c>
      <c r="Q83" s="944">
        <v>300</v>
      </c>
      <c r="R83" s="911">
        <v>42457</v>
      </c>
      <c r="S83" s="913">
        <v>7</v>
      </c>
      <c r="X83" s="220"/>
    </row>
    <row r="84" spans="1:26" x14ac:dyDescent="0.2">
      <c r="A84" s="1105"/>
      <c r="B84" s="4" t="s">
        <v>2440</v>
      </c>
      <c r="C84" s="283"/>
      <c r="D84" s="345"/>
      <c r="E84" s="345"/>
      <c r="F84" s="212"/>
      <c r="G84" s="212"/>
      <c r="H84" s="212"/>
      <c r="I84" s="212"/>
      <c r="J84" s="212"/>
      <c r="K84" s="212"/>
      <c r="L84" s="212"/>
      <c r="M84" s="25" t="s">
        <v>2439</v>
      </c>
      <c r="N84" s="149">
        <f>+'UE Wages'!F10</f>
        <v>26.4</v>
      </c>
      <c r="O84" s="25">
        <f>+'To Do and Changes'!$E$24</f>
        <v>2080</v>
      </c>
      <c r="P84" s="137">
        <f t="shared" ref="P84" si="17">ROUND((+N84*O84),2)</f>
        <v>54912</v>
      </c>
      <c r="Q84" s="944">
        <v>300</v>
      </c>
      <c r="R84" s="911"/>
      <c r="S84" s="913"/>
      <c r="X84" s="220"/>
    </row>
    <row r="85" spans="1:26" x14ac:dyDescent="0.2">
      <c r="A85" s="903">
        <v>43578</v>
      </c>
      <c r="B85" s="4" t="s">
        <v>1344</v>
      </c>
      <c r="C85" s="283"/>
      <c r="D85" s="345"/>
      <c r="E85" s="345"/>
      <c r="F85" s="212"/>
      <c r="G85" s="212"/>
      <c r="H85" s="212"/>
      <c r="I85" s="212"/>
      <c r="J85" s="212"/>
      <c r="K85" s="212"/>
      <c r="L85" s="212"/>
      <c r="M85" s="25" t="s">
        <v>1345</v>
      </c>
      <c r="N85" s="149">
        <f>+'UE Wages'!F8</f>
        <v>22.43</v>
      </c>
      <c r="O85" s="25">
        <f>+'To Do and Changes'!$E$24</f>
        <v>2080</v>
      </c>
      <c r="P85" s="137">
        <f t="shared" si="16"/>
        <v>46654.400000000001</v>
      </c>
      <c r="Q85" s="612">
        <v>300</v>
      </c>
      <c r="R85" s="903">
        <v>43578</v>
      </c>
      <c r="S85" s="912">
        <v>5</v>
      </c>
      <c r="X85" s="220"/>
    </row>
    <row r="86" spans="1:26" x14ac:dyDescent="0.2">
      <c r="A86" s="903"/>
      <c r="B86" s="4" t="s">
        <v>1346</v>
      </c>
      <c r="C86" s="283"/>
      <c r="D86" s="345"/>
      <c r="E86" s="345"/>
      <c r="F86" s="345"/>
      <c r="G86" s="345"/>
      <c r="H86" s="345"/>
      <c r="I86" s="345"/>
      <c r="J86" s="345"/>
      <c r="K86" s="345"/>
      <c r="L86" s="345"/>
      <c r="M86" s="199" t="s">
        <v>1345</v>
      </c>
      <c r="N86" s="149">
        <f>+'UE Wages'!F8</f>
        <v>22.43</v>
      </c>
      <c r="O86" s="25">
        <f>+'To Do and Changes'!$E$24</f>
        <v>2080</v>
      </c>
      <c r="P86" s="137">
        <f t="shared" si="16"/>
        <v>46654.400000000001</v>
      </c>
      <c r="Q86" s="944"/>
      <c r="R86" s="903"/>
      <c r="S86" s="912"/>
      <c r="X86" s="220"/>
    </row>
    <row r="87" spans="1:26" x14ac:dyDescent="0.2">
      <c r="A87" s="903"/>
      <c r="B87" s="4" t="s">
        <v>1346</v>
      </c>
      <c r="D87" s="212"/>
      <c r="E87" s="212"/>
      <c r="F87" s="212"/>
      <c r="G87" s="212"/>
      <c r="H87" s="212"/>
      <c r="I87" s="212"/>
      <c r="J87" s="212"/>
      <c r="K87" s="212"/>
      <c r="L87" s="212"/>
      <c r="M87" s="25" t="s">
        <v>1345</v>
      </c>
      <c r="N87" s="149">
        <f>+'UE Wages'!F8</f>
        <v>22.43</v>
      </c>
      <c r="O87" s="25">
        <f>+'To Do and Changes'!$E$24</f>
        <v>2080</v>
      </c>
      <c r="P87" s="137">
        <f t="shared" si="16"/>
        <v>46654.400000000001</v>
      </c>
      <c r="Q87" s="612"/>
      <c r="R87" s="903"/>
      <c r="S87" s="912"/>
      <c r="X87" s="220"/>
    </row>
    <row r="88" spans="1:26" x14ac:dyDescent="0.2">
      <c r="A88" s="903">
        <v>39203</v>
      </c>
      <c r="B88" s="4" t="s">
        <v>1347</v>
      </c>
      <c r="D88" s="212"/>
      <c r="E88" s="212"/>
      <c r="F88" s="212"/>
      <c r="G88" s="212"/>
      <c r="H88" s="212"/>
      <c r="I88" s="212"/>
      <c r="J88" s="212"/>
      <c r="K88" s="212"/>
      <c r="L88" s="212"/>
      <c r="M88" s="25" t="s">
        <v>1331</v>
      </c>
      <c r="N88" s="149">
        <f>+'UE Wages'!L8</f>
        <v>25.52</v>
      </c>
      <c r="O88" s="25">
        <f>+'To Do and Changes'!$E$24</f>
        <v>2080</v>
      </c>
      <c r="P88" s="137">
        <f t="shared" si="16"/>
        <v>53081.599999999999</v>
      </c>
      <c r="Q88" s="612">
        <v>900</v>
      </c>
      <c r="R88" s="903">
        <v>39203</v>
      </c>
      <c r="S88" s="912">
        <v>16</v>
      </c>
      <c r="X88" s="220"/>
    </row>
    <row r="89" spans="1:26" s="4" customFormat="1" x14ac:dyDescent="0.2">
      <c r="A89" s="903">
        <v>44263</v>
      </c>
      <c r="B89" s="4" t="s">
        <v>1348</v>
      </c>
      <c r="M89" s="4" t="s">
        <v>1349</v>
      </c>
      <c r="N89" s="149">
        <f>+'UE Wages'!K8</f>
        <v>25.02</v>
      </c>
      <c r="O89" s="25">
        <f>+'To Do and Changes'!$E$24</f>
        <v>2080</v>
      </c>
      <c r="P89" s="137">
        <f t="shared" si="16"/>
        <v>52041.599999999999</v>
      </c>
      <c r="Q89" s="616"/>
      <c r="R89" s="903">
        <v>44263</v>
      </c>
      <c r="S89" s="914">
        <v>2</v>
      </c>
      <c r="Z89" s="25"/>
    </row>
    <row r="90" spans="1:26" s="4" customFormat="1" x14ac:dyDescent="0.2">
      <c r="A90" s="903"/>
      <c r="B90" s="4" t="s">
        <v>2442</v>
      </c>
      <c r="M90" s="4" t="s">
        <v>2443</v>
      </c>
      <c r="N90" s="149">
        <f>+'UE Wages'!G10</f>
        <v>27.06</v>
      </c>
      <c r="O90" s="25">
        <v>2080</v>
      </c>
      <c r="P90" s="137">
        <f t="shared" ref="P90" si="18">ROUND((+N90*O90),2)</f>
        <v>56284.800000000003</v>
      </c>
      <c r="Q90" s="616"/>
      <c r="R90" s="903"/>
      <c r="S90" s="914"/>
      <c r="Z90" s="25"/>
    </row>
    <row r="91" spans="1:26" s="4" customFormat="1" x14ac:dyDescent="0.2">
      <c r="A91" s="903"/>
      <c r="B91" s="4" t="s">
        <v>2241</v>
      </c>
      <c r="N91" s="149"/>
      <c r="O91" s="25"/>
      <c r="P91" s="137">
        <v>7200</v>
      </c>
      <c r="Q91" s="616"/>
      <c r="R91" s="903"/>
      <c r="S91" s="914"/>
      <c r="Z91" s="25"/>
    </row>
    <row r="92" spans="1:26" s="4" customFormat="1" x14ac:dyDescent="0.2">
      <c r="A92" s="774"/>
      <c r="B92" s="4" t="s">
        <v>2241</v>
      </c>
      <c r="N92" s="149"/>
      <c r="O92" s="25"/>
      <c r="P92" s="137">
        <v>7200</v>
      </c>
      <c r="Q92" s="616"/>
      <c r="R92" s="54"/>
      <c r="S92" s="914"/>
      <c r="Z92" s="25"/>
    </row>
    <row r="93" spans="1:26" s="4" customFormat="1" x14ac:dyDescent="0.2">
      <c r="A93" s="774"/>
      <c r="B93" s="4" t="s">
        <v>2241</v>
      </c>
      <c r="N93" s="149"/>
      <c r="O93" s="25"/>
      <c r="P93" s="137">
        <v>7200</v>
      </c>
      <c r="Q93" s="616"/>
      <c r="R93" s="54"/>
      <c r="S93" s="341"/>
      <c r="Z93" s="25"/>
    </row>
    <row r="94" spans="1:26" s="4" customFormat="1" x14ac:dyDescent="0.2">
      <c r="A94" s="774"/>
      <c r="C94" s="23"/>
      <c r="D94" s="23"/>
      <c r="F94" s="23"/>
      <c r="M94" s="23"/>
      <c r="N94" s="23" t="s">
        <v>1350</v>
      </c>
      <c r="O94" s="23"/>
      <c r="P94" s="23"/>
      <c r="Q94" s="616">
        <f>SUM(Q69:Q89)</f>
        <v>3700</v>
      </c>
      <c r="R94" s="23"/>
      <c r="S94" s="23"/>
      <c r="Z94" s="25"/>
    </row>
    <row r="95" spans="1:26" s="4" customFormat="1" x14ac:dyDescent="0.2">
      <c r="A95" s="774"/>
      <c r="B95" s="74"/>
      <c r="C95" s="97"/>
      <c r="D95" s="97"/>
      <c r="E95" s="97"/>
      <c r="F95" s="23"/>
      <c r="K95" s="23"/>
      <c r="L95" s="23"/>
      <c r="M95" s="23"/>
      <c r="N95" s="23"/>
      <c r="O95" s="23" t="s">
        <v>193</v>
      </c>
      <c r="P95" s="23">
        <f>SUM(P69:P94)</f>
        <v>1121811.3999999999</v>
      </c>
      <c r="R95" s="23"/>
      <c r="S95" s="23"/>
      <c r="Z95" s="25"/>
    </row>
    <row r="96" spans="1:26" s="4" customFormat="1" x14ac:dyDescent="0.2">
      <c r="A96" s="774"/>
      <c r="B96" s="74"/>
      <c r="C96" s="97"/>
      <c r="D96" s="97"/>
      <c r="E96" s="97"/>
      <c r="F96" s="23"/>
      <c r="K96" s="23"/>
      <c r="L96" s="23"/>
      <c r="M96" s="23"/>
      <c r="N96" s="23"/>
      <c r="O96" s="23" t="s">
        <v>2242</v>
      </c>
      <c r="P96" s="23">
        <f>-P93-P92-P91</f>
        <v>-21600</v>
      </c>
      <c r="R96" s="23"/>
      <c r="S96" s="23"/>
      <c r="Z96" s="25"/>
    </row>
    <row r="97" spans="1:26" s="4" customFormat="1" x14ac:dyDescent="0.2">
      <c r="A97" s="1134">
        <v>44950</v>
      </c>
      <c r="B97" s="4" t="s">
        <v>2441</v>
      </c>
      <c r="C97" s="23"/>
      <c r="D97" s="149"/>
      <c r="E97" s="149"/>
      <c r="F97" s="25"/>
      <c r="K97" s="25"/>
      <c r="L97" s="25"/>
      <c r="M97" s="25"/>
      <c r="N97" s="25"/>
      <c r="O97" s="762">
        <v>433</v>
      </c>
      <c r="P97" s="137">
        <f>-'433 Solid Waste'!Q10</f>
        <v>-13471</v>
      </c>
      <c r="Z97" s="25"/>
    </row>
    <row r="98" spans="1:26" s="4" customFormat="1" x14ac:dyDescent="0.2">
      <c r="A98" s="63">
        <v>44950</v>
      </c>
      <c r="B98" s="4" t="s">
        <v>2444</v>
      </c>
      <c r="C98" s="23"/>
      <c r="D98" s="149"/>
      <c r="E98" s="149"/>
      <c r="F98" s="25"/>
      <c r="H98" s="25"/>
      <c r="K98" s="25"/>
      <c r="L98" s="25"/>
      <c r="M98" s="25"/>
      <c r="N98" s="25"/>
      <c r="O98" s="762">
        <v>420</v>
      </c>
      <c r="P98" s="137">
        <f>SUM(P95:P97)</f>
        <v>1086740.3999999999</v>
      </c>
      <c r="R98" s="318">
        <f>SUM(R69:R97)</f>
        <v>683532</v>
      </c>
      <c r="Z98" s="25"/>
    </row>
    <row r="99" spans="1:26" s="4" customFormat="1" x14ac:dyDescent="0.2">
      <c r="A99" s="63">
        <v>44985</v>
      </c>
      <c r="B99" s="4" t="s">
        <v>2501</v>
      </c>
      <c r="C99" s="23"/>
      <c r="D99" s="149"/>
      <c r="E99" s="149"/>
      <c r="F99" s="25"/>
      <c r="H99" s="25"/>
      <c r="K99" s="25"/>
      <c r="L99" s="25"/>
      <c r="M99" s="25"/>
      <c r="N99" s="25"/>
      <c r="O99" s="762"/>
      <c r="P99" s="149"/>
      <c r="R99" s="318"/>
      <c r="Z99" s="25"/>
    </row>
    <row r="100" spans="1:26" s="4" customFormat="1" x14ac:dyDescent="0.2">
      <c r="A100" s="774"/>
      <c r="B100" s="4" t="s">
        <v>1351</v>
      </c>
      <c r="C100" s="23"/>
      <c r="I100" s="23"/>
      <c r="J100" s="23"/>
      <c r="K100" s="23"/>
      <c r="L100" s="23"/>
      <c r="M100" s="23"/>
      <c r="N100" s="23"/>
      <c r="O100" s="23"/>
      <c r="P100" s="25"/>
      <c r="Z100" s="25"/>
    </row>
    <row r="101" spans="1:26" s="4" customFormat="1" x14ac:dyDescent="0.2">
      <c r="A101" s="774"/>
      <c r="C101" s="23"/>
      <c r="D101" s="25"/>
      <c r="E101" s="25"/>
      <c r="F101" s="25"/>
      <c r="G101" s="25"/>
      <c r="H101" s="25"/>
      <c r="I101" s="23"/>
      <c r="J101" s="23"/>
      <c r="K101" s="23"/>
      <c r="L101" s="23"/>
      <c r="M101" s="23"/>
      <c r="N101" s="23"/>
      <c r="O101" s="23"/>
      <c r="P101" s="25"/>
      <c r="S101" s="25"/>
      <c r="T101" s="25"/>
      <c r="Y101" s="25">
        <f>ROUND((SUM(Y69:Y100)),0)</f>
        <v>0</v>
      </c>
      <c r="Z101" s="25"/>
    </row>
    <row r="102" spans="1:26" x14ac:dyDescent="0.2">
      <c r="A102" s="774" t="s">
        <v>1352</v>
      </c>
      <c r="B102" s="4"/>
    </row>
    <row r="103" spans="1:26" x14ac:dyDescent="0.2">
      <c r="A103" s="774" t="s">
        <v>1353</v>
      </c>
      <c r="B103" s="4"/>
    </row>
    <row r="104" spans="1:26" x14ac:dyDescent="0.2">
      <c r="A104" s="774" t="s">
        <v>1354</v>
      </c>
      <c r="B104" s="4"/>
    </row>
    <row r="105" spans="1:26" x14ac:dyDescent="0.2">
      <c r="A105" s="774" t="s">
        <v>1355</v>
      </c>
      <c r="B105" s="4"/>
    </row>
    <row r="106" spans="1:26" x14ac:dyDescent="0.2">
      <c r="A106" s="784" t="s">
        <v>1356</v>
      </c>
      <c r="B106" s="4"/>
    </row>
    <row r="107" spans="1:26" x14ac:dyDescent="0.2">
      <c r="A107" s="774" t="s">
        <v>1203</v>
      </c>
      <c r="B107" s="4"/>
    </row>
    <row r="108" spans="1:26" x14ac:dyDescent="0.2">
      <c r="A108" s="774" t="s">
        <v>1357</v>
      </c>
      <c r="B108" s="4"/>
    </row>
    <row r="109" spans="1:26" x14ac:dyDescent="0.2">
      <c r="A109" s="774" t="s">
        <v>1358</v>
      </c>
      <c r="B109" s="4"/>
    </row>
    <row r="110" spans="1:26" x14ac:dyDescent="0.2">
      <c r="A110" s="774"/>
      <c r="B110" s="4"/>
    </row>
    <row r="111" spans="1:26" x14ac:dyDescent="0.2">
      <c r="A111" s="774"/>
      <c r="B111" s="4"/>
    </row>
    <row r="112" spans="1:26" x14ac:dyDescent="0.2">
      <c r="A112" s="774"/>
      <c r="B112" s="4"/>
    </row>
    <row r="113" spans="1:2" x14ac:dyDescent="0.2">
      <c r="A113" s="774"/>
      <c r="B113" s="4"/>
    </row>
    <row r="114" spans="1:2" x14ac:dyDescent="0.2">
      <c r="A114" s="774"/>
      <c r="B114" s="4"/>
    </row>
    <row r="115" spans="1:2" x14ac:dyDescent="0.2">
      <c r="A115" s="774"/>
      <c r="B115" s="4"/>
    </row>
    <row r="116" spans="1:2" x14ac:dyDescent="0.2">
      <c r="A116" s="774"/>
      <c r="B116" s="4"/>
    </row>
    <row r="117" spans="1:2" x14ac:dyDescent="0.2">
      <c r="A117" s="774"/>
      <c r="B117" s="4"/>
    </row>
    <row r="118" spans="1:2" ht="15" x14ac:dyDescent="0.25">
      <c r="A118" s="785"/>
      <c r="B118" s="221"/>
    </row>
    <row r="119" spans="1:2" ht="15" x14ac:dyDescent="0.25">
      <c r="A119" s="785"/>
      <c r="B119" s="221"/>
    </row>
    <row r="120" spans="1:2" ht="15" x14ac:dyDescent="0.25">
      <c r="A120" s="785"/>
      <c r="B120" s="221"/>
    </row>
    <row r="121" spans="1:2" ht="15" x14ac:dyDescent="0.25">
      <c r="A121" s="785"/>
      <c r="B121" s="221"/>
    </row>
    <row r="122" spans="1:2" ht="15" x14ac:dyDescent="0.25">
      <c r="A122" s="785"/>
      <c r="B122" s="221"/>
    </row>
    <row r="123" spans="1:2" ht="15" x14ac:dyDescent="0.25">
      <c r="A123" s="785"/>
      <c r="B123" s="221"/>
    </row>
  </sheetData>
  <phoneticPr fontId="0" type="noConversion"/>
  <hyperlinks>
    <hyperlink ref="A1" location="'Working Budget with funding det'!A1" display="Main " xr:uid="{00000000-0004-0000-2200-000000000000}"/>
    <hyperlink ref="B1" location="'Table of Contents'!A1" display="TOC" xr:uid="{00000000-0004-0000-2200-000001000000}"/>
  </hyperlinks>
  <pageMargins left="0.75" right="0.75" top="1" bottom="1" header="0.5" footer="0.5"/>
  <pageSetup scale="89" fitToHeight="3" orientation="landscape" r:id="rId1"/>
  <headerFooter alignWithMargins="0">
    <oddFooter>&amp;L&amp;D     &amp;T&amp;C&amp;F&amp;R&amp;A  &amp;P</oddFooter>
  </headerFooter>
  <rowBreaks count="2" manualBreakCount="2">
    <brk id="63" max="15" man="1"/>
    <brk id="101" max="11"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A1:W164"/>
  <sheetViews>
    <sheetView zoomScaleNormal="100" workbookViewId="0">
      <selection activeCell="P15" sqref="P15"/>
    </sheetView>
  </sheetViews>
  <sheetFormatPr defaultRowHeight="12.75" x14ac:dyDescent="0.2"/>
  <cols>
    <col min="1" max="1" width="8.83203125" style="783"/>
    <col min="2" max="2" width="36.6640625" customWidth="1"/>
    <col min="3" max="3" width="14.5" style="1" hidden="1" customWidth="1"/>
    <col min="4" max="12" width="14.5" style="106" hidden="1" customWidth="1"/>
    <col min="13" max="15" width="14.5" style="106" customWidth="1"/>
    <col min="16" max="16" width="14.5" customWidth="1"/>
    <col min="17" max="19" width="14.5" style="1" customWidth="1"/>
    <col min="20" max="22" width="14.5" customWidth="1"/>
    <col min="23" max="23" width="14.6640625" style="2" customWidth="1"/>
  </cols>
  <sheetData>
    <row r="1" spans="1:22" x14ac:dyDescent="0.2">
      <c r="A1" s="772" t="s">
        <v>1359</v>
      </c>
      <c r="B1" s="308" t="s">
        <v>197</v>
      </c>
      <c r="D1" s="212"/>
      <c r="E1" s="212"/>
      <c r="F1" s="212"/>
      <c r="G1" s="212"/>
      <c r="H1" s="212"/>
      <c r="I1" s="212"/>
      <c r="J1" s="212"/>
      <c r="K1" s="212"/>
      <c r="L1" s="212"/>
      <c r="M1" s="212"/>
      <c r="N1" s="212"/>
      <c r="O1" s="212"/>
      <c r="S1"/>
    </row>
    <row r="2" spans="1:22" ht="15" x14ac:dyDescent="0.25">
      <c r="A2" s="773" t="s">
        <v>1286</v>
      </c>
      <c r="B2" s="43"/>
      <c r="D2" s="212"/>
      <c r="E2" s="126"/>
      <c r="F2" s="212"/>
      <c r="G2" s="212"/>
      <c r="H2" s="212"/>
      <c r="I2" s="126" t="s">
        <v>816</v>
      </c>
      <c r="J2" s="126"/>
      <c r="K2" s="126"/>
      <c r="L2" s="126"/>
      <c r="M2" s="126"/>
      <c r="N2" s="126"/>
      <c r="O2" s="126"/>
      <c r="P2" s="58" t="s">
        <v>1360</v>
      </c>
      <c r="S2" s="44" t="s">
        <v>1361</v>
      </c>
    </row>
    <row r="3" spans="1:22" ht="13.5" thickBot="1" x14ac:dyDescent="0.25">
      <c r="A3" s="774"/>
      <c r="B3" s="4"/>
      <c r="C3" s="23"/>
      <c r="D3" s="23"/>
      <c r="E3" s="23"/>
      <c r="F3" s="23"/>
      <c r="G3" s="23"/>
      <c r="H3" s="23"/>
      <c r="I3" s="23"/>
      <c r="J3" s="23"/>
      <c r="K3" s="23"/>
      <c r="L3" s="23"/>
      <c r="M3" s="23"/>
      <c r="N3" s="23"/>
      <c r="O3" s="23"/>
      <c r="P3" s="4"/>
      <c r="Q3" s="23"/>
      <c r="R3" s="23"/>
      <c r="S3" s="4"/>
      <c r="V3" s="4"/>
    </row>
    <row r="4" spans="1:22"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2"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2" x14ac:dyDescent="0.2">
      <c r="A6" s="776"/>
      <c r="B6" s="202"/>
      <c r="C6" s="113"/>
      <c r="D6" s="113"/>
      <c r="E6" s="113"/>
      <c r="F6" s="113"/>
      <c r="G6" s="113"/>
      <c r="H6" s="113"/>
      <c r="I6" s="83"/>
      <c r="J6" s="83"/>
      <c r="K6" s="83"/>
      <c r="L6" s="83"/>
      <c r="M6" s="83"/>
      <c r="N6" s="83"/>
      <c r="O6" s="83"/>
      <c r="P6" s="113"/>
      <c r="Q6" s="83" t="s">
        <v>823</v>
      </c>
      <c r="R6" s="83" t="s">
        <v>585</v>
      </c>
      <c r="S6" s="45" t="s">
        <v>824</v>
      </c>
    </row>
    <row r="7" spans="1:22"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2" ht="13.5" thickTop="1" x14ac:dyDescent="0.2">
      <c r="A8" s="796"/>
      <c r="B8" s="203"/>
      <c r="C8" s="118"/>
      <c r="D8" s="18"/>
      <c r="E8" s="18"/>
      <c r="F8" s="18"/>
      <c r="G8" s="18"/>
      <c r="H8" s="18"/>
      <c r="I8" s="18"/>
      <c r="J8" s="18"/>
      <c r="K8" s="19"/>
      <c r="L8" s="19"/>
      <c r="M8" s="19"/>
      <c r="N8" s="19"/>
      <c r="O8" s="19"/>
      <c r="P8" s="18"/>
      <c r="Q8" s="19"/>
      <c r="R8" s="19"/>
      <c r="S8" s="19"/>
    </row>
    <row r="9" spans="1:22" x14ac:dyDescent="0.2">
      <c r="A9" s="779">
        <v>5112</v>
      </c>
      <c r="B9" s="60" t="s">
        <v>1362</v>
      </c>
      <c r="C9" s="329">
        <v>63971.3</v>
      </c>
      <c r="D9" s="13">
        <f>4702.2+65911.5</f>
        <v>70613.7</v>
      </c>
      <c r="E9" s="128">
        <v>72732</v>
      </c>
      <c r="F9" s="128">
        <v>74739</v>
      </c>
      <c r="G9" s="128">
        <v>100017.29</v>
      </c>
      <c r="H9" s="128">
        <v>106004.5</v>
      </c>
      <c r="I9" s="13">
        <v>110121.8</v>
      </c>
      <c r="J9" s="13">
        <v>120932.3</v>
      </c>
      <c r="K9" s="14">
        <v>125128</v>
      </c>
      <c r="L9" s="13">
        <v>125128.3</v>
      </c>
      <c r="M9" s="14">
        <v>129397</v>
      </c>
      <c r="N9" s="13">
        <v>118994.59</v>
      </c>
      <c r="O9" s="14">
        <f>5310+133099</f>
        <v>138409</v>
      </c>
      <c r="P9" s="13">
        <v>46714.8</v>
      </c>
      <c r="Q9" s="14">
        <f>ROUND((+'420 DPW'!P74+'420 DPW'!P75+'420 DPW'!P76),0)</f>
        <v>140483</v>
      </c>
      <c r="R9" s="14"/>
      <c r="S9" s="14"/>
    </row>
    <row r="10" spans="1:22" x14ac:dyDescent="0.2">
      <c r="A10" s="779">
        <v>5132</v>
      </c>
      <c r="B10" s="60" t="s">
        <v>1291</v>
      </c>
      <c r="C10" s="587">
        <v>3287.13</v>
      </c>
      <c r="D10" s="35">
        <f>283.47+4109.44</f>
        <v>4392.91</v>
      </c>
      <c r="E10" s="218">
        <v>2212.44</v>
      </c>
      <c r="F10" s="218">
        <v>1440</v>
      </c>
      <c r="G10" s="218">
        <v>1576.97</v>
      </c>
      <c r="H10" s="218">
        <v>2867</v>
      </c>
      <c r="I10" s="35">
        <v>2574.35</v>
      </c>
      <c r="J10" s="35">
        <v>2495.06</v>
      </c>
      <c r="K10" s="36">
        <v>4000</v>
      </c>
      <c r="L10" s="35">
        <v>2848.86</v>
      </c>
      <c r="M10" s="36">
        <v>4000</v>
      </c>
      <c r="N10" s="35">
        <v>2510.92</v>
      </c>
      <c r="O10" s="36">
        <v>4000</v>
      </c>
      <c r="P10" s="35">
        <v>2407.21</v>
      </c>
      <c r="Q10" s="36">
        <v>4000</v>
      </c>
      <c r="R10" s="36"/>
      <c r="S10" s="36"/>
    </row>
    <row r="11" spans="1:22" ht="13.5" thickBot="1" x14ac:dyDescent="0.25">
      <c r="A11" s="779">
        <v>5142</v>
      </c>
      <c r="B11" s="60" t="s">
        <v>1146</v>
      </c>
      <c r="C11" s="587">
        <v>196.41</v>
      </c>
      <c r="D11" s="35">
        <v>226.1</v>
      </c>
      <c r="E11" s="218">
        <v>201.6</v>
      </c>
      <c r="F11" s="218">
        <v>210</v>
      </c>
      <c r="G11" s="218">
        <v>1.2</v>
      </c>
      <c r="H11" s="218"/>
      <c r="I11" s="35">
        <v>63.06</v>
      </c>
      <c r="J11" s="35"/>
      <c r="K11" s="36">
        <v>250</v>
      </c>
      <c r="L11" s="35">
        <v>15</v>
      </c>
      <c r="M11" s="36">
        <v>250</v>
      </c>
      <c r="N11" s="35">
        <v>235.22</v>
      </c>
      <c r="O11" s="36">
        <v>175</v>
      </c>
      <c r="P11" s="35"/>
      <c r="Q11" s="36">
        <v>175</v>
      </c>
      <c r="R11" s="36"/>
      <c r="S11" s="36"/>
    </row>
    <row r="12" spans="1:22" x14ac:dyDescent="0.2">
      <c r="A12" s="779"/>
      <c r="B12" s="61" t="s">
        <v>828</v>
      </c>
      <c r="C12" s="599">
        <f t="shared" ref="C12:S12" si="0">SUM(C9:C11)</f>
        <v>67454.840000000011</v>
      </c>
      <c r="D12" s="30">
        <f t="shared" si="0"/>
        <v>75232.710000000006</v>
      </c>
      <c r="E12" s="30">
        <f t="shared" si="0"/>
        <v>75146.040000000008</v>
      </c>
      <c r="F12" s="30">
        <f>SUM(F9:F11)</f>
        <v>76389</v>
      </c>
      <c r="G12" s="30">
        <f>SUM(G9:G11)</f>
        <v>101595.45999999999</v>
      </c>
      <c r="H12" s="30">
        <f>SUM(H9:H11)</f>
        <v>108871.5</v>
      </c>
      <c r="I12" s="30">
        <f t="shared" si="0"/>
        <v>112759.21</v>
      </c>
      <c r="J12" s="30">
        <f t="shared" si="0"/>
        <v>123427.36</v>
      </c>
      <c r="K12" s="31">
        <f>SUM(K9:K11)</f>
        <v>129378</v>
      </c>
      <c r="L12" s="30">
        <f t="shared" ref="L12:O12" si="1">SUM(L9:L11)</f>
        <v>127992.16</v>
      </c>
      <c r="M12" s="31">
        <f t="shared" si="1"/>
        <v>133647</v>
      </c>
      <c r="N12" s="30">
        <f t="shared" si="1"/>
        <v>121740.73</v>
      </c>
      <c r="O12" s="31">
        <f t="shared" si="1"/>
        <v>142584</v>
      </c>
      <c r="P12" s="30">
        <f t="shared" si="0"/>
        <v>49122.01</v>
      </c>
      <c r="Q12" s="31">
        <f>SUM(Q9:Q11)</f>
        <v>144658</v>
      </c>
      <c r="R12" s="31"/>
      <c r="S12" s="31">
        <f t="shared" si="0"/>
        <v>0</v>
      </c>
    </row>
    <row r="13" spans="1:22" x14ac:dyDescent="0.2">
      <c r="A13" s="779"/>
      <c r="B13" s="60"/>
      <c r="C13" s="329"/>
      <c r="D13" s="13"/>
      <c r="E13" s="13"/>
      <c r="F13" s="13"/>
      <c r="G13" s="13"/>
      <c r="H13" s="13"/>
      <c r="I13" s="13"/>
      <c r="J13" s="13"/>
      <c r="K13" s="14"/>
      <c r="L13" s="13"/>
      <c r="M13" s="14"/>
      <c r="N13" s="13"/>
      <c r="O13" s="14"/>
      <c r="P13" s="13"/>
      <c r="Q13" s="14"/>
      <c r="R13" s="14"/>
      <c r="S13" s="14"/>
    </row>
    <row r="14" spans="1:22" x14ac:dyDescent="0.2">
      <c r="A14" s="779">
        <v>5241</v>
      </c>
      <c r="B14" s="60" t="s">
        <v>1292</v>
      </c>
      <c r="C14" s="329"/>
      <c r="D14" s="18"/>
      <c r="E14" s="112">
        <v>2228</v>
      </c>
      <c r="F14" s="112">
        <v>2295</v>
      </c>
      <c r="G14" s="112">
        <v>2364</v>
      </c>
      <c r="H14" s="112">
        <v>2434</v>
      </c>
      <c r="I14" s="18">
        <v>2508</v>
      </c>
      <c r="J14" s="18">
        <v>2583</v>
      </c>
      <c r="K14" s="19">
        <v>3000</v>
      </c>
      <c r="L14" s="18">
        <v>2660</v>
      </c>
      <c r="M14" s="19">
        <v>3000</v>
      </c>
      <c r="N14" s="18">
        <v>2740</v>
      </c>
      <c r="O14" s="19">
        <v>3000</v>
      </c>
      <c r="P14" s="13">
        <v>2822</v>
      </c>
      <c r="Q14" s="19">
        <v>3000</v>
      </c>
      <c r="R14" s="19"/>
      <c r="S14" s="19"/>
    </row>
    <row r="15" spans="1:22" x14ac:dyDescent="0.2">
      <c r="A15" s="779">
        <v>5242</v>
      </c>
      <c r="B15" s="60" t="s">
        <v>1293</v>
      </c>
      <c r="C15" s="329">
        <v>12678.44</v>
      </c>
      <c r="D15" s="18">
        <v>14234.46</v>
      </c>
      <c r="E15" s="112">
        <v>21584.59</v>
      </c>
      <c r="F15" s="112">
        <v>12784.57</v>
      </c>
      <c r="G15" s="112">
        <v>9805.6299999999992</v>
      </c>
      <c r="H15" s="112">
        <v>13534.16</v>
      </c>
      <c r="I15" s="18">
        <v>14854.66</v>
      </c>
      <c r="J15" s="18">
        <v>18102.38</v>
      </c>
      <c r="K15" s="19">
        <v>16000</v>
      </c>
      <c r="L15" s="18">
        <v>16510.34</v>
      </c>
      <c r="M15" s="19">
        <v>18000</v>
      </c>
      <c r="N15" s="18">
        <v>20320.259999999998</v>
      </c>
      <c r="O15" s="19">
        <v>18000</v>
      </c>
      <c r="P15" s="13">
        <v>7596.37</v>
      </c>
      <c r="Q15" s="19">
        <v>18000</v>
      </c>
      <c r="R15" s="19"/>
      <c r="S15" s="19"/>
    </row>
    <row r="16" spans="1:22" x14ac:dyDescent="0.2">
      <c r="A16" s="779">
        <v>5243</v>
      </c>
      <c r="B16" s="60" t="s">
        <v>1363</v>
      </c>
      <c r="C16" s="329">
        <v>15167.36</v>
      </c>
      <c r="D16" s="18">
        <v>12103.44</v>
      </c>
      <c r="E16" s="112">
        <v>42549.06</v>
      </c>
      <c r="F16" s="112">
        <v>23614.560000000001</v>
      </c>
      <c r="G16" s="112">
        <v>31462.560000000001</v>
      </c>
      <c r="H16" s="112">
        <v>20342.38</v>
      </c>
      <c r="I16" s="18">
        <v>33925.94</v>
      </c>
      <c r="J16" s="18">
        <v>27147.34</v>
      </c>
      <c r="K16" s="19">
        <v>25000</v>
      </c>
      <c r="L16" s="18">
        <v>15937.72</v>
      </c>
      <c r="M16" s="19">
        <v>25000</v>
      </c>
      <c r="N16" s="18">
        <v>19355.099999999999</v>
      </c>
      <c r="O16" s="19">
        <v>25000</v>
      </c>
      <c r="P16" s="13">
        <v>1382</v>
      </c>
      <c r="Q16" s="19">
        <v>25000</v>
      </c>
      <c r="R16" s="19"/>
      <c r="S16" s="19"/>
    </row>
    <row r="17" spans="1:22" x14ac:dyDescent="0.2">
      <c r="A17" s="779">
        <v>5251</v>
      </c>
      <c r="B17" s="60" t="s">
        <v>1297</v>
      </c>
      <c r="C17" s="329">
        <v>692.5</v>
      </c>
      <c r="D17" s="18">
        <v>0</v>
      </c>
      <c r="E17" s="112"/>
      <c r="F17" s="112"/>
      <c r="G17" s="112">
        <v>5710.13</v>
      </c>
      <c r="H17" s="112">
        <v>493.99</v>
      </c>
      <c r="I17" s="18">
        <v>0</v>
      </c>
      <c r="J17" s="18">
        <v>1260.6500000000001</v>
      </c>
      <c r="K17" s="19">
        <v>800</v>
      </c>
      <c r="L17" s="18"/>
      <c r="M17" s="19">
        <v>800</v>
      </c>
      <c r="N17" s="18">
        <v>1997.55</v>
      </c>
      <c r="O17" s="19">
        <v>800</v>
      </c>
      <c r="P17" s="13"/>
      <c r="Q17" s="19">
        <v>800</v>
      </c>
      <c r="R17" s="19"/>
      <c r="S17" s="19"/>
    </row>
    <row r="18" spans="1:22" x14ac:dyDescent="0.2">
      <c r="A18" s="779">
        <v>5430</v>
      </c>
      <c r="B18" s="60" t="s">
        <v>1304</v>
      </c>
      <c r="C18" s="329">
        <v>1946.02</v>
      </c>
      <c r="D18" s="18">
        <v>2231.6999999999998</v>
      </c>
      <c r="E18" s="112">
        <v>1296.46</v>
      </c>
      <c r="F18" s="112">
        <v>2045.7</v>
      </c>
      <c r="G18" s="112">
        <v>2138.9699999999998</v>
      </c>
      <c r="H18" s="112">
        <v>3025.76</v>
      </c>
      <c r="I18" s="18">
        <v>2059.59</v>
      </c>
      <c r="J18" s="18">
        <v>2932.38</v>
      </c>
      <c r="K18" s="19">
        <v>4000</v>
      </c>
      <c r="L18" s="18">
        <v>1210.99</v>
      </c>
      <c r="M18" s="19">
        <v>4000</v>
      </c>
      <c r="N18" s="18">
        <v>3209.29</v>
      </c>
      <c r="O18" s="19">
        <v>3000</v>
      </c>
      <c r="P18" s="13">
        <v>166.75</v>
      </c>
      <c r="Q18" s="19">
        <v>3000</v>
      </c>
      <c r="R18" s="19"/>
      <c r="S18" s="19"/>
    </row>
    <row r="19" spans="1:22" x14ac:dyDescent="0.2">
      <c r="A19" s="779">
        <v>5443</v>
      </c>
      <c r="B19" s="12" t="s">
        <v>1308</v>
      </c>
      <c r="C19" s="128">
        <v>601.75</v>
      </c>
      <c r="D19" s="18">
        <v>526.84</v>
      </c>
      <c r="E19" s="112">
        <v>1059.18</v>
      </c>
      <c r="F19" s="112">
        <v>1706.79</v>
      </c>
      <c r="G19" s="112">
        <v>1642.64</v>
      </c>
      <c r="H19" s="112">
        <v>10884.74</v>
      </c>
      <c r="I19" s="18">
        <v>2866.67</v>
      </c>
      <c r="J19" s="18">
        <v>7294.42</v>
      </c>
      <c r="K19" s="19">
        <v>4000</v>
      </c>
      <c r="L19" s="18">
        <v>3446.97</v>
      </c>
      <c r="M19" s="19">
        <v>4500</v>
      </c>
      <c r="N19" s="18">
        <v>3902.1</v>
      </c>
      <c r="O19" s="19">
        <v>4500</v>
      </c>
      <c r="P19" s="13">
        <v>1440.54</v>
      </c>
      <c r="Q19" s="19">
        <v>4500</v>
      </c>
      <c r="R19" s="19"/>
      <c r="S19" s="19"/>
    </row>
    <row r="20" spans="1:22" hidden="1" x14ac:dyDescent="0.2">
      <c r="A20" s="779"/>
      <c r="B20" s="12" t="s">
        <v>1172</v>
      </c>
      <c r="C20" s="218"/>
      <c r="D20" s="28"/>
      <c r="E20" s="272"/>
      <c r="F20" s="272"/>
      <c r="G20" s="272"/>
      <c r="H20" s="272"/>
      <c r="I20" s="28"/>
      <c r="J20" s="28"/>
      <c r="K20" s="29"/>
      <c r="L20" s="28">
        <v>2839.82</v>
      </c>
      <c r="M20" s="29"/>
      <c r="N20" s="28"/>
      <c r="O20" s="29"/>
      <c r="P20" s="35"/>
      <c r="Q20" s="29"/>
      <c r="R20" s="29"/>
      <c r="S20" s="29"/>
    </row>
    <row r="21" spans="1:22" ht="13.5" thickBot="1" x14ac:dyDescent="0.25">
      <c r="A21" s="779">
        <v>5451</v>
      </c>
      <c r="B21" s="12" t="s">
        <v>1165</v>
      </c>
      <c r="C21" s="270">
        <v>5018.82</v>
      </c>
      <c r="D21" s="15">
        <v>5254.01</v>
      </c>
      <c r="E21" s="270">
        <v>5220.07</v>
      </c>
      <c r="F21" s="270">
        <v>4714.6000000000004</v>
      </c>
      <c r="G21" s="270">
        <v>7479.13</v>
      </c>
      <c r="H21" s="270">
        <v>7438.02</v>
      </c>
      <c r="I21" s="15">
        <v>7961.22</v>
      </c>
      <c r="J21" s="15">
        <v>7547.15</v>
      </c>
      <c r="K21" s="16">
        <v>8000</v>
      </c>
      <c r="L21" s="15">
        <v>5319.19</v>
      </c>
      <c r="M21" s="16">
        <v>9000</v>
      </c>
      <c r="N21" s="15">
        <v>5820.13</v>
      </c>
      <c r="O21" s="16">
        <v>8500</v>
      </c>
      <c r="P21" s="15">
        <v>4219.92</v>
      </c>
      <c r="Q21" s="16">
        <v>8500</v>
      </c>
      <c r="R21" s="16"/>
      <c r="S21" s="16"/>
    </row>
    <row r="22" spans="1:22" x14ac:dyDescent="0.2">
      <c r="A22" s="779"/>
      <c r="B22" s="17" t="s">
        <v>838</v>
      </c>
      <c r="C22" s="18">
        <f>SUM(C15:C21)</f>
        <v>36104.89</v>
      </c>
      <c r="D22" s="18">
        <f>SUM(D15:D21)</f>
        <v>34350.450000000004</v>
      </c>
      <c r="E22" s="18">
        <f t="shared" ref="E22:S22" si="2">SUM(E14:E21)</f>
        <v>73937.359999999986</v>
      </c>
      <c r="F22" s="18">
        <f t="shared" si="2"/>
        <v>47161.22</v>
      </c>
      <c r="G22" s="18">
        <f t="shared" si="2"/>
        <v>60603.06</v>
      </c>
      <c r="H22" s="18">
        <f t="shared" si="2"/>
        <v>58153.05</v>
      </c>
      <c r="I22" s="18">
        <f t="shared" si="2"/>
        <v>64176.08</v>
      </c>
      <c r="J22" s="18">
        <f t="shared" ref="J22" si="3">SUM(J14:J21)</f>
        <v>66867.319999999992</v>
      </c>
      <c r="K22" s="34">
        <f t="shared" si="2"/>
        <v>60800</v>
      </c>
      <c r="L22" s="18">
        <f t="shared" ref="L22:O22" si="4">SUM(L14:L21)</f>
        <v>47925.03</v>
      </c>
      <c r="M22" s="34">
        <f t="shared" si="4"/>
        <v>64300</v>
      </c>
      <c r="N22" s="18">
        <f t="shared" ref="N22" si="5">SUM(N14:N21)</f>
        <v>57344.43</v>
      </c>
      <c r="O22" s="34">
        <f t="shared" si="4"/>
        <v>62800</v>
      </c>
      <c r="P22" s="18">
        <f t="shared" si="2"/>
        <v>17627.580000000002</v>
      </c>
      <c r="Q22" s="34">
        <f t="shared" si="2"/>
        <v>62800</v>
      </c>
      <c r="R22" s="34"/>
      <c r="S22" s="34">
        <f t="shared" si="2"/>
        <v>0</v>
      </c>
    </row>
    <row r="23" spans="1:22" x14ac:dyDescent="0.2">
      <c r="A23" s="779"/>
      <c r="B23" s="12"/>
      <c r="C23" s="13"/>
      <c r="D23" s="13"/>
      <c r="E23" s="13"/>
      <c r="F23" s="13"/>
      <c r="G23" s="13"/>
      <c r="H23" s="13"/>
      <c r="I23" s="13"/>
      <c r="J23" s="13"/>
      <c r="K23" s="14"/>
      <c r="L23" s="13"/>
      <c r="M23" s="14"/>
      <c r="N23" s="13"/>
      <c r="O23" s="14"/>
      <c r="P23" s="13"/>
      <c r="Q23" s="14"/>
      <c r="R23" s="14"/>
      <c r="S23" s="14"/>
    </row>
    <row r="24" spans="1:22" ht="13.5" thickBot="1" x14ac:dyDescent="0.25">
      <c r="A24" s="780"/>
      <c r="B24" s="20" t="s">
        <v>1364</v>
      </c>
      <c r="C24" s="21">
        <f t="shared" ref="C24:R24" si="6">+C22+C12</f>
        <v>103559.73000000001</v>
      </c>
      <c r="D24" s="21">
        <f t="shared" si="6"/>
        <v>109583.16</v>
      </c>
      <c r="E24" s="21">
        <f t="shared" si="6"/>
        <v>149083.4</v>
      </c>
      <c r="F24" s="21">
        <f t="shared" si="6"/>
        <v>123550.22</v>
      </c>
      <c r="G24" s="21">
        <f t="shared" si="6"/>
        <v>162198.51999999999</v>
      </c>
      <c r="H24" s="21">
        <f t="shared" si="6"/>
        <v>167024.54999999999</v>
      </c>
      <c r="I24" s="21">
        <f t="shared" si="6"/>
        <v>176935.29</v>
      </c>
      <c r="J24" s="21">
        <f t="shared" ref="J24" si="7">+J22+J12</f>
        <v>190294.68</v>
      </c>
      <c r="K24" s="22">
        <f t="shared" si="6"/>
        <v>190178</v>
      </c>
      <c r="L24" s="21">
        <f t="shared" ref="L24:O24" si="8">+L22+L12</f>
        <v>175917.19</v>
      </c>
      <c r="M24" s="22">
        <f t="shared" si="8"/>
        <v>197947</v>
      </c>
      <c r="N24" s="21">
        <f t="shared" ref="N24" si="9">+N22+N12</f>
        <v>179085.16</v>
      </c>
      <c r="O24" s="22">
        <f t="shared" si="8"/>
        <v>205384</v>
      </c>
      <c r="P24" s="21">
        <f t="shared" si="6"/>
        <v>66749.59</v>
      </c>
      <c r="Q24" s="22">
        <f t="shared" si="6"/>
        <v>207458</v>
      </c>
      <c r="R24" s="22">
        <f t="shared" si="6"/>
        <v>0</v>
      </c>
      <c r="S24" s="22">
        <f>+Q24</f>
        <v>207458</v>
      </c>
    </row>
    <row r="25" spans="1:22" ht="13.5" thickTop="1" x14ac:dyDescent="0.2">
      <c r="A25" s="774"/>
      <c r="B25" s="4"/>
      <c r="C25" s="23"/>
      <c r="D25" s="23"/>
      <c r="E25" s="23"/>
      <c r="F25" s="23"/>
      <c r="G25" s="23"/>
      <c r="H25" s="23"/>
      <c r="I25" s="23"/>
      <c r="J25" s="23"/>
      <c r="K25" s="23"/>
      <c r="L25" s="23"/>
      <c r="M25" s="23"/>
      <c r="N25" s="23"/>
      <c r="O25" s="23"/>
      <c r="P25" s="199" t="s">
        <v>843</v>
      </c>
      <c r="Q25" s="1116">
        <f>+Q24-O24</f>
        <v>2074</v>
      </c>
      <c r="R25" s="1117">
        <f>ROUND((+Q25/O24),4)</f>
        <v>1.01E-2</v>
      </c>
      <c r="S25" s="23"/>
      <c r="T25" s="25"/>
      <c r="U25" s="25"/>
      <c r="V25" s="25"/>
    </row>
    <row r="26" spans="1:22" ht="15" x14ac:dyDescent="0.25">
      <c r="A26" s="810"/>
      <c r="B26" s="4"/>
      <c r="C26" s="23"/>
      <c r="D26" s="23"/>
      <c r="E26" s="23"/>
      <c r="F26" s="23"/>
      <c r="G26" s="23"/>
      <c r="H26" s="23"/>
      <c r="I26" s="23"/>
      <c r="J26" s="23"/>
      <c r="K26" s="23"/>
      <c r="L26" s="23"/>
      <c r="M26" s="23"/>
      <c r="N26" s="23"/>
      <c r="O26" s="23"/>
      <c r="P26" s="25"/>
      <c r="Q26" s="23"/>
      <c r="R26" s="23"/>
      <c r="S26" s="23"/>
      <c r="T26" s="25"/>
      <c r="U26" s="25"/>
      <c r="V26" s="25"/>
    </row>
    <row r="27" spans="1:22" ht="15" x14ac:dyDescent="0.25">
      <c r="A27" s="811"/>
      <c r="B27" s="4"/>
      <c r="C27" s="23"/>
      <c r="D27" s="23"/>
      <c r="E27" s="23"/>
      <c r="F27" s="23"/>
      <c r="G27" s="23"/>
      <c r="H27" s="23"/>
      <c r="I27" s="23"/>
      <c r="J27" s="23"/>
      <c r="K27" s="23"/>
      <c r="L27" s="23"/>
      <c r="M27" s="23"/>
      <c r="N27" s="23"/>
      <c r="O27" s="23"/>
      <c r="P27" s="25"/>
      <c r="Q27" s="23"/>
      <c r="R27" s="23"/>
      <c r="S27" s="23"/>
      <c r="T27" s="25"/>
      <c r="U27" s="25"/>
      <c r="V27" s="25"/>
    </row>
    <row r="28" spans="1:22" ht="15.75" thickBot="1" x14ac:dyDescent="0.3">
      <c r="A28" s="812"/>
      <c r="B28" s="4"/>
      <c r="C28" s="23"/>
      <c r="D28" s="23"/>
      <c r="E28" s="23"/>
      <c r="F28" s="23"/>
      <c r="G28" s="23"/>
      <c r="H28" s="23"/>
      <c r="I28" s="23"/>
      <c r="J28" s="23"/>
      <c r="K28" s="23"/>
      <c r="L28" s="23"/>
      <c r="M28" s="23"/>
      <c r="N28" s="23"/>
      <c r="O28" s="23"/>
      <c r="P28" s="25"/>
      <c r="Q28" s="23"/>
      <c r="R28" s="23"/>
      <c r="S28" s="23"/>
      <c r="T28" s="25"/>
      <c r="U28" s="25"/>
      <c r="V28" s="25"/>
    </row>
    <row r="29" spans="1:22" ht="13.5" thickTop="1" x14ac:dyDescent="0.2">
      <c r="A29" s="789"/>
      <c r="B29" s="1122" t="s">
        <v>2386</v>
      </c>
      <c r="C29" s="368" t="s">
        <v>280</v>
      </c>
      <c r="D29" s="369" t="s">
        <v>280</v>
      </c>
      <c r="E29" s="369" t="s">
        <v>280</v>
      </c>
      <c r="F29" s="212"/>
      <c r="G29" s="212"/>
      <c r="H29" s="212"/>
      <c r="I29" s="212"/>
      <c r="J29" s="212"/>
      <c r="K29" s="212"/>
      <c r="L29" s="212"/>
      <c r="M29" s="370" t="s">
        <v>279</v>
      </c>
      <c r="N29" s="371" t="s">
        <v>826</v>
      </c>
      <c r="O29" s="372" t="s">
        <v>840</v>
      </c>
      <c r="P29" s="371" t="s">
        <v>841</v>
      </c>
      <c r="Q29" s="373"/>
      <c r="R29" s="569"/>
      <c r="S29" s="372"/>
      <c r="T29" s="25"/>
      <c r="U29" s="25"/>
      <c r="V29" s="25"/>
    </row>
    <row r="30" spans="1:22" ht="13.5" thickBot="1" x14ac:dyDescent="0.25">
      <c r="A30" s="790" t="s">
        <v>825</v>
      </c>
      <c r="B30" s="374"/>
      <c r="C30" s="375" t="s">
        <v>267</v>
      </c>
      <c r="D30" s="375" t="s">
        <v>268</v>
      </c>
      <c r="E30" s="376" t="s">
        <v>269</v>
      </c>
      <c r="F30" s="212"/>
      <c r="G30" s="212"/>
      <c r="H30" s="212"/>
      <c r="I30" s="212"/>
      <c r="J30" s="212"/>
      <c r="K30" s="212"/>
      <c r="L30" s="212"/>
      <c r="M30" s="377" t="s">
        <v>277</v>
      </c>
      <c r="N30" s="377" t="s">
        <v>571</v>
      </c>
      <c r="O30" s="376" t="s">
        <v>843</v>
      </c>
      <c r="P30" s="378" t="s">
        <v>843</v>
      </c>
      <c r="Q30" s="379" t="s">
        <v>844</v>
      </c>
      <c r="R30" s="570"/>
      <c r="S30" s="377"/>
      <c r="T30" s="25"/>
      <c r="U30" s="25"/>
      <c r="V30" s="25"/>
    </row>
    <row r="31" spans="1:22" ht="13.5" thickTop="1" x14ac:dyDescent="0.2">
      <c r="A31" s="797"/>
      <c r="B31" s="394"/>
      <c r="C31" s="383"/>
      <c r="D31" s="383"/>
      <c r="E31" s="383"/>
      <c r="F31" s="212"/>
      <c r="G31" s="212"/>
      <c r="H31" s="212"/>
      <c r="I31" s="212"/>
      <c r="J31" s="212"/>
      <c r="K31" s="212"/>
      <c r="L31" s="212"/>
      <c r="M31" s="384"/>
      <c r="N31" s="403"/>
      <c r="O31" s="404"/>
      <c r="P31" s="402"/>
      <c r="Q31" s="385"/>
      <c r="R31" s="572"/>
      <c r="S31" s="386"/>
      <c r="T31" s="25"/>
      <c r="U31" s="25"/>
      <c r="V31" s="25"/>
    </row>
    <row r="32" spans="1:22" x14ac:dyDescent="0.2">
      <c r="A32" s="795">
        <v>5112</v>
      </c>
      <c r="B32" s="387" t="s">
        <v>1362</v>
      </c>
      <c r="C32" s="391">
        <v>63971.3</v>
      </c>
      <c r="D32" s="391">
        <f>4702.2+65911.5</f>
        <v>70613.7</v>
      </c>
      <c r="E32" s="391">
        <v>72732</v>
      </c>
      <c r="F32" s="212"/>
      <c r="G32" s="212"/>
      <c r="H32" s="212"/>
      <c r="I32" s="212"/>
      <c r="J32" s="212"/>
      <c r="K32" s="212"/>
      <c r="L32" s="212"/>
      <c r="M32" s="610">
        <f>+O9+3911</f>
        <v>142320</v>
      </c>
      <c r="N32" s="411">
        <f>+Q9</f>
        <v>140483</v>
      </c>
      <c r="O32" s="414">
        <f t="shared" ref="O32:O41" si="10">+N32-M32</f>
        <v>-1837</v>
      </c>
      <c r="P32" s="392">
        <f t="shared" ref="P32:P41" si="11">IF(M32+N32&lt;&gt;0,IF(M32&lt;&gt;0,IF(O32&lt;&gt;0,ROUND((+O32/M32),4),""),1),"")</f>
        <v>-1.29E-2</v>
      </c>
      <c r="Q32" s="385" t="s">
        <v>1365</v>
      </c>
      <c r="R32" s="572"/>
      <c r="S32" s="386"/>
      <c r="T32" s="25"/>
      <c r="U32" s="25"/>
      <c r="V32" s="25"/>
    </row>
    <row r="33" spans="1:22" x14ac:dyDescent="0.2">
      <c r="A33" s="795">
        <v>5132</v>
      </c>
      <c r="B33" s="387" t="s">
        <v>1291</v>
      </c>
      <c r="C33" s="393">
        <v>3287.13</v>
      </c>
      <c r="D33" s="393">
        <f>283.47+4109.44</f>
        <v>4392.91</v>
      </c>
      <c r="E33" s="393">
        <v>2212.44</v>
      </c>
      <c r="F33" s="212"/>
      <c r="G33" s="212"/>
      <c r="H33" s="212"/>
      <c r="I33" s="212"/>
      <c r="J33" s="212"/>
      <c r="K33" s="212"/>
      <c r="L33" s="212"/>
      <c r="M33" s="390">
        <f>+O10</f>
        <v>4000</v>
      </c>
      <c r="N33" s="411">
        <f>+Q10</f>
        <v>4000</v>
      </c>
      <c r="O33" s="414">
        <f t="shared" si="10"/>
        <v>0</v>
      </c>
      <c r="P33" s="392" t="str">
        <f t="shared" si="11"/>
        <v/>
      </c>
      <c r="Q33" s="385"/>
      <c r="R33" s="572"/>
      <c r="S33" s="386"/>
      <c r="T33" s="25"/>
      <c r="U33" s="25"/>
      <c r="V33" s="25"/>
    </row>
    <row r="34" spans="1:22" x14ac:dyDescent="0.2">
      <c r="A34" s="795">
        <v>5142</v>
      </c>
      <c r="B34" s="387" t="s">
        <v>1146</v>
      </c>
      <c r="C34" s="393">
        <v>196.41</v>
      </c>
      <c r="D34" s="393">
        <v>226.1</v>
      </c>
      <c r="E34" s="393">
        <v>201.6</v>
      </c>
      <c r="F34" s="212"/>
      <c r="G34" s="212"/>
      <c r="H34" s="212"/>
      <c r="I34" s="212"/>
      <c r="J34" s="212"/>
      <c r="K34" s="212"/>
      <c r="L34" s="212"/>
      <c r="M34" s="390">
        <f>+O11</f>
        <v>175</v>
      </c>
      <c r="N34" s="411">
        <f>+Q11</f>
        <v>175</v>
      </c>
      <c r="O34" s="414">
        <f t="shared" si="10"/>
        <v>0</v>
      </c>
      <c r="P34" s="392" t="str">
        <f t="shared" si="11"/>
        <v/>
      </c>
      <c r="Q34" s="385"/>
      <c r="R34" s="572"/>
      <c r="S34" s="386"/>
      <c r="T34" s="25"/>
      <c r="U34" s="25"/>
      <c r="V34" s="25"/>
    </row>
    <row r="35" spans="1:22" x14ac:dyDescent="0.2">
      <c r="A35" s="795">
        <v>5241</v>
      </c>
      <c r="B35" s="387" t="s">
        <v>1292</v>
      </c>
      <c r="C35" s="391"/>
      <c r="D35" s="383"/>
      <c r="E35" s="383">
        <v>2228</v>
      </c>
      <c r="F35" s="212"/>
      <c r="G35" s="212"/>
      <c r="H35" s="212"/>
      <c r="I35" s="212"/>
      <c r="J35" s="212"/>
      <c r="K35" s="212"/>
      <c r="L35" s="212"/>
      <c r="M35" s="390">
        <f t="shared" ref="M35:M40" si="12">+O14</f>
        <v>3000</v>
      </c>
      <c r="N35" s="411">
        <f t="shared" ref="N35:N40" si="13">+Q14</f>
        <v>3000</v>
      </c>
      <c r="O35" s="414">
        <f t="shared" si="10"/>
        <v>0</v>
      </c>
      <c r="P35" s="392" t="str">
        <f t="shared" si="11"/>
        <v/>
      </c>
      <c r="Q35" s="385"/>
      <c r="R35" s="572"/>
      <c r="S35" s="386"/>
      <c r="T35" s="25"/>
      <c r="U35" s="25"/>
      <c r="V35" s="25"/>
    </row>
    <row r="36" spans="1:22" x14ac:dyDescent="0.2">
      <c r="A36" s="795">
        <v>5242</v>
      </c>
      <c r="B36" s="387" t="s">
        <v>1293</v>
      </c>
      <c r="C36" s="391">
        <v>12678.44</v>
      </c>
      <c r="D36" s="383">
        <v>14234.46</v>
      </c>
      <c r="E36" s="383">
        <v>21584.59</v>
      </c>
      <c r="F36" s="212"/>
      <c r="G36" s="212"/>
      <c r="H36" s="212"/>
      <c r="I36" s="212"/>
      <c r="J36" s="212"/>
      <c r="K36" s="212"/>
      <c r="L36" s="212"/>
      <c r="M36" s="390">
        <f t="shared" si="12"/>
        <v>18000</v>
      </c>
      <c r="N36" s="411">
        <f t="shared" si="13"/>
        <v>18000</v>
      </c>
      <c r="O36" s="414">
        <f t="shared" si="10"/>
        <v>0</v>
      </c>
      <c r="P36" s="392" t="str">
        <f t="shared" si="11"/>
        <v/>
      </c>
      <c r="Q36" s="385"/>
      <c r="R36" s="572"/>
      <c r="S36" s="386"/>
      <c r="T36" s="25"/>
      <c r="U36" s="25"/>
      <c r="V36" s="25"/>
    </row>
    <row r="37" spans="1:22" x14ac:dyDescent="0.2">
      <c r="A37" s="795">
        <v>5243</v>
      </c>
      <c r="B37" s="387" t="s">
        <v>1363</v>
      </c>
      <c r="C37" s="391">
        <v>15167.36</v>
      </c>
      <c r="D37" s="383">
        <v>12103.44</v>
      </c>
      <c r="E37" s="383">
        <v>42549.06</v>
      </c>
      <c r="F37" s="212"/>
      <c r="G37" s="212"/>
      <c r="H37" s="212"/>
      <c r="I37" s="212"/>
      <c r="J37" s="212"/>
      <c r="K37" s="212"/>
      <c r="L37" s="212"/>
      <c r="M37" s="390">
        <f t="shared" si="12"/>
        <v>25000</v>
      </c>
      <c r="N37" s="411">
        <f t="shared" si="13"/>
        <v>25000</v>
      </c>
      <c r="O37" s="414">
        <f t="shared" si="10"/>
        <v>0</v>
      </c>
      <c r="P37" s="392" t="str">
        <f t="shared" si="11"/>
        <v/>
      </c>
      <c r="Q37" s="385"/>
      <c r="R37" s="572"/>
      <c r="S37" s="386"/>
      <c r="T37" s="25"/>
      <c r="U37" s="25"/>
      <c r="V37" s="25"/>
    </row>
    <row r="38" spans="1:22" x14ac:dyDescent="0.2">
      <c r="A38" s="795">
        <v>5251</v>
      </c>
      <c r="B38" s="387" t="s">
        <v>1297</v>
      </c>
      <c r="C38" s="391">
        <v>692.5</v>
      </c>
      <c r="D38" s="383">
        <v>0</v>
      </c>
      <c r="E38" s="383"/>
      <c r="F38" s="212"/>
      <c r="G38" s="212"/>
      <c r="H38" s="212"/>
      <c r="I38" s="212"/>
      <c r="J38" s="212"/>
      <c r="K38" s="212"/>
      <c r="L38" s="212"/>
      <c r="M38" s="390">
        <f t="shared" si="12"/>
        <v>800</v>
      </c>
      <c r="N38" s="411">
        <f t="shared" si="13"/>
        <v>800</v>
      </c>
      <c r="O38" s="414">
        <f t="shared" si="10"/>
        <v>0</v>
      </c>
      <c r="P38" s="392" t="str">
        <f t="shared" si="11"/>
        <v/>
      </c>
      <c r="Q38" s="385"/>
      <c r="R38" s="572"/>
      <c r="S38" s="386"/>
      <c r="T38" s="25"/>
      <c r="U38" s="25"/>
      <c r="V38" s="25"/>
    </row>
    <row r="39" spans="1:22" x14ac:dyDescent="0.2">
      <c r="A39" s="795">
        <v>5430</v>
      </c>
      <c r="B39" s="387" t="s">
        <v>1304</v>
      </c>
      <c r="C39" s="391">
        <v>1946.02</v>
      </c>
      <c r="D39" s="383">
        <v>2231.6999999999998</v>
      </c>
      <c r="E39" s="383">
        <v>1296.46</v>
      </c>
      <c r="F39" s="212"/>
      <c r="G39" s="212"/>
      <c r="H39" s="212"/>
      <c r="I39" s="212"/>
      <c r="J39" s="212"/>
      <c r="K39" s="212"/>
      <c r="L39" s="212"/>
      <c r="M39" s="390">
        <f t="shared" si="12"/>
        <v>3000</v>
      </c>
      <c r="N39" s="411">
        <f t="shared" si="13"/>
        <v>3000</v>
      </c>
      <c r="O39" s="414">
        <f t="shared" si="10"/>
        <v>0</v>
      </c>
      <c r="P39" s="392" t="str">
        <f t="shared" si="11"/>
        <v/>
      </c>
      <c r="Q39" s="385"/>
      <c r="R39" s="572"/>
      <c r="S39" s="386"/>
      <c r="T39" s="25"/>
      <c r="U39" s="25"/>
      <c r="V39" s="25"/>
    </row>
    <row r="40" spans="1:22" x14ac:dyDescent="0.2">
      <c r="A40" s="795">
        <v>5443</v>
      </c>
      <c r="B40" s="387" t="s">
        <v>1308</v>
      </c>
      <c r="C40" s="391">
        <v>601.75</v>
      </c>
      <c r="D40" s="383">
        <v>526.84</v>
      </c>
      <c r="E40" s="383">
        <v>1059.18</v>
      </c>
      <c r="F40" s="212"/>
      <c r="G40" s="212"/>
      <c r="H40" s="212"/>
      <c r="I40" s="212"/>
      <c r="J40" s="212"/>
      <c r="K40" s="212"/>
      <c r="L40" s="212"/>
      <c r="M40" s="390">
        <f t="shared" si="12"/>
        <v>4500</v>
      </c>
      <c r="N40" s="411">
        <f t="shared" si="13"/>
        <v>4500</v>
      </c>
      <c r="O40" s="414">
        <f t="shared" si="10"/>
        <v>0</v>
      </c>
      <c r="P40" s="392" t="str">
        <f t="shared" si="11"/>
        <v/>
      </c>
      <c r="Q40" s="385"/>
      <c r="R40" s="572"/>
      <c r="S40" s="386"/>
      <c r="T40" s="25"/>
      <c r="U40" s="25"/>
      <c r="V40" s="25"/>
    </row>
    <row r="41" spans="1:22" ht="13.5" thickBot="1" x14ac:dyDescent="0.25">
      <c r="A41" s="795">
        <v>5451</v>
      </c>
      <c r="B41" s="387" t="s">
        <v>1165</v>
      </c>
      <c r="C41" s="389">
        <v>5018.82</v>
      </c>
      <c r="D41" s="389">
        <v>5254.01</v>
      </c>
      <c r="E41" s="389">
        <v>5220.07</v>
      </c>
      <c r="F41" s="212"/>
      <c r="G41" s="212"/>
      <c r="H41" s="212"/>
      <c r="I41" s="212"/>
      <c r="J41" s="212"/>
      <c r="K41" s="212"/>
      <c r="L41" s="212"/>
      <c r="M41" s="390">
        <f>+O21</f>
        <v>8500</v>
      </c>
      <c r="N41" s="411">
        <f>+Q21</f>
        <v>8500</v>
      </c>
      <c r="O41" s="414">
        <f t="shared" si="10"/>
        <v>0</v>
      </c>
      <c r="P41" s="392" t="str">
        <f t="shared" si="11"/>
        <v/>
      </c>
      <c r="Q41" s="385"/>
      <c r="R41" s="572"/>
      <c r="S41" s="386"/>
      <c r="T41" s="25"/>
      <c r="U41" s="25"/>
      <c r="V41" s="25"/>
    </row>
    <row r="42" spans="1:22" x14ac:dyDescent="0.2">
      <c r="A42" s="774"/>
      <c r="B42" s="4"/>
      <c r="C42" s="23"/>
      <c r="D42" s="23"/>
      <c r="E42" s="23"/>
      <c r="F42" s="23"/>
      <c r="G42" s="23"/>
      <c r="H42" s="212"/>
      <c r="I42" s="212"/>
      <c r="J42" s="212"/>
      <c r="K42" s="212"/>
      <c r="L42" s="212"/>
      <c r="M42" s="23"/>
      <c r="N42" s="23"/>
      <c r="O42" s="23"/>
      <c r="P42" s="4"/>
      <c r="Q42" s="23"/>
      <c r="R42" s="23"/>
      <c r="S42" s="23"/>
      <c r="T42" s="4"/>
      <c r="U42" s="4"/>
      <c r="V42" s="4"/>
    </row>
    <row r="43" spans="1:22" x14ac:dyDescent="0.2">
      <c r="A43" s="774"/>
      <c r="B43" s="4" t="s">
        <v>846</v>
      </c>
      <c r="C43" s="23"/>
      <c r="D43" s="23"/>
      <c r="E43" s="23"/>
      <c r="F43" s="23"/>
      <c r="G43" s="23"/>
      <c r="H43" s="212"/>
      <c r="I43" s="212"/>
      <c r="J43" s="212"/>
      <c r="K43" s="212"/>
      <c r="L43" s="212"/>
      <c r="M43" s="616">
        <f>SUM(M32:M42)</f>
        <v>209295</v>
      </c>
      <c r="N43" s="616">
        <f>SUM(N32:N42)</f>
        <v>207458</v>
      </c>
      <c r="O43" s="25">
        <f>+N43-M43</f>
        <v>-1837</v>
      </c>
      <c r="P43" s="617">
        <f>IF(M43+N43&lt;&gt;0,IF(M43&lt;&gt;0,IF(O43&lt;&gt;0,ROUND((+O43/M43),4),""),1),"")</f>
        <v>-8.8000000000000005E-3</v>
      </c>
      <c r="Q43" s="23"/>
      <c r="R43" s="23"/>
      <c r="S43" s="23"/>
      <c r="T43" s="4"/>
      <c r="U43" s="4"/>
      <c r="V43" s="4"/>
    </row>
    <row r="44" spans="1:22" x14ac:dyDescent="0.2">
      <c r="A44" s="774"/>
      <c r="B44" s="4"/>
      <c r="C44" s="23"/>
      <c r="D44" s="23"/>
      <c r="E44" s="23"/>
      <c r="F44" s="23"/>
      <c r="G44" s="23"/>
      <c r="H44" s="23"/>
      <c r="I44" s="23"/>
      <c r="J44" s="23"/>
      <c r="K44" s="23"/>
      <c r="L44" s="23"/>
      <c r="M44" s="23"/>
      <c r="N44" s="23"/>
      <c r="O44" s="23"/>
      <c r="P44" s="4"/>
      <c r="Q44" s="23"/>
      <c r="R44" s="23"/>
      <c r="S44" s="23"/>
      <c r="T44" s="4"/>
      <c r="U44" s="4"/>
      <c r="V44" s="4"/>
    </row>
    <row r="45" spans="1:22" x14ac:dyDescent="0.2">
      <c r="A45" s="774"/>
      <c r="B45" s="4"/>
      <c r="C45" s="23"/>
      <c r="D45" s="23"/>
      <c r="E45" s="23"/>
      <c r="F45" s="23"/>
      <c r="G45" s="23"/>
      <c r="H45" s="23"/>
      <c r="I45" s="23"/>
      <c r="J45" s="23"/>
      <c r="K45" s="23"/>
      <c r="L45" s="23"/>
      <c r="M45" s="23"/>
      <c r="N45" s="23"/>
      <c r="O45" s="23"/>
      <c r="P45" s="4"/>
      <c r="Q45" s="23"/>
      <c r="R45" s="23"/>
      <c r="S45" s="23"/>
      <c r="T45" s="4"/>
      <c r="U45" s="4"/>
      <c r="V45" s="4"/>
    </row>
    <row r="46" spans="1:22" x14ac:dyDescent="0.2">
      <c r="A46" s="774"/>
      <c r="B46" s="4"/>
      <c r="C46" s="23"/>
      <c r="D46" s="23"/>
      <c r="E46" s="23"/>
      <c r="F46" s="23"/>
      <c r="G46" s="23"/>
      <c r="H46" s="23"/>
      <c r="I46" s="23"/>
      <c r="J46" s="23"/>
      <c r="K46" s="23"/>
      <c r="L46" s="23"/>
      <c r="M46" s="23"/>
      <c r="N46" s="23"/>
      <c r="O46" s="23"/>
      <c r="P46" s="4"/>
      <c r="Q46" s="23"/>
      <c r="R46" s="23"/>
      <c r="S46" s="23"/>
      <c r="T46" s="4"/>
      <c r="U46" s="4"/>
      <c r="V46" s="4"/>
    </row>
    <row r="47" spans="1:22" x14ac:dyDescent="0.2">
      <c r="A47" s="774"/>
      <c r="B47" s="4"/>
      <c r="C47" s="23"/>
      <c r="D47" s="23"/>
      <c r="E47" s="23"/>
      <c r="F47" s="23"/>
      <c r="G47" s="23"/>
      <c r="H47" s="23"/>
      <c r="I47" s="23"/>
      <c r="J47" s="23"/>
      <c r="K47" s="23"/>
      <c r="L47" s="23"/>
      <c r="M47" s="23"/>
      <c r="N47" s="23"/>
      <c r="O47" s="23"/>
      <c r="P47" s="4"/>
      <c r="Q47" s="23"/>
      <c r="R47" s="23"/>
      <c r="S47" s="23"/>
      <c r="T47" s="4"/>
      <c r="U47" s="4"/>
      <c r="V47" s="4"/>
    </row>
    <row r="48" spans="1:22" x14ac:dyDescent="0.2">
      <c r="A48" s="774"/>
      <c r="B48" s="4"/>
      <c r="C48" s="23"/>
      <c r="D48" s="23"/>
      <c r="E48" s="23"/>
      <c r="F48" s="23"/>
      <c r="G48" s="23"/>
      <c r="H48" s="23"/>
      <c r="I48" s="23"/>
      <c r="J48" s="23"/>
      <c r="K48" s="23"/>
      <c r="L48" s="23"/>
      <c r="M48" s="23"/>
      <c r="N48" s="23"/>
      <c r="O48" s="23"/>
      <c r="P48" s="4"/>
      <c r="Q48" s="23"/>
      <c r="R48" s="23"/>
      <c r="S48" s="23"/>
      <c r="T48" s="4"/>
      <c r="U48" s="4"/>
      <c r="V48" s="4"/>
    </row>
    <row r="49" spans="1:22" x14ac:dyDescent="0.2">
      <c r="A49" s="774"/>
      <c r="B49" s="4"/>
      <c r="C49" s="23"/>
      <c r="D49" s="23"/>
      <c r="E49" s="23"/>
      <c r="F49" s="23"/>
      <c r="G49" s="23"/>
      <c r="H49" s="23"/>
      <c r="I49" s="23"/>
      <c r="J49" s="23"/>
      <c r="K49" s="23"/>
      <c r="L49" s="23"/>
      <c r="M49" s="23"/>
      <c r="N49" s="23"/>
      <c r="O49" s="23"/>
      <c r="P49" s="4"/>
      <c r="Q49" s="23"/>
      <c r="R49" s="23"/>
      <c r="S49" s="23"/>
      <c r="T49" s="4"/>
      <c r="U49" s="4"/>
      <c r="V49" s="4"/>
    </row>
    <row r="50" spans="1:22" x14ac:dyDescent="0.2">
      <c r="A50" s="774"/>
      <c r="B50" s="4"/>
      <c r="C50" s="23"/>
      <c r="D50" s="23"/>
      <c r="E50" s="23"/>
      <c r="F50" s="23"/>
      <c r="G50" s="23"/>
      <c r="H50" s="23"/>
      <c r="I50" s="23"/>
      <c r="J50" s="23"/>
      <c r="K50" s="23"/>
      <c r="L50" s="23"/>
      <c r="M50" s="23"/>
      <c r="N50" s="23"/>
      <c r="O50" s="23"/>
      <c r="P50" s="4"/>
      <c r="Q50" s="23"/>
      <c r="R50" s="23"/>
      <c r="S50" s="23"/>
      <c r="T50" s="4"/>
      <c r="U50" s="4"/>
      <c r="V50" s="4"/>
    </row>
    <row r="51" spans="1:22" x14ac:dyDescent="0.2">
      <c r="A51" s="774"/>
      <c r="B51" s="4"/>
      <c r="C51" s="23"/>
      <c r="D51" s="23"/>
      <c r="E51" s="23"/>
      <c r="F51" s="23"/>
      <c r="G51" s="23"/>
      <c r="H51" s="23"/>
      <c r="I51" s="23"/>
      <c r="J51" s="23"/>
      <c r="K51" s="23"/>
      <c r="L51" s="23"/>
      <c r="M51" s="23"/>
      <c r="N51" s="23"/>
      <c r="O51" s="23"/>
      <c r="P51" s="4"/>
      <c r="Q51" s="23"/>
      <c r="R51" s="23"/>
      <c r="S51" s="23"/>
      <c r="T51" s="4"/>
      <c r="U51" s="4"/>
      <c r="V51" s="4"/>
    </row>
    <row r="52" spans="1:22" x14ac:dyDescent="0.2">
      <c r="A52" s="774"/>
      <c r="B52" s="4"/>
      <c r="C52" s="23"/>
      <c r="D52" s="23"/>
      <c r="E52" s="23"/>
      <c r="F52" s="23"/>
      <c r="G52" s="23"/>
      <c r="H52" s="23"/>
      <c r="I52" s="23"/>
      <c r="J52" s="23"/>
      <c r="K52" s="23"/>
      <c r="L52" s="23"/>
      <c r="M52" s="23"/>
      <c r="N52" s="23"/>
      <c r="O52" s="23"/>
      <c r="P52" s="4"/>
      <c r="Q52" s="23"/>
      <c r="R52" s="23"/>
      <c r="S52" s="23"/>
      <c r="T52" s="4"/>
      <c r="U52" s="4"/>
      <c r="V52" s="4"/>
    </row>
    <row r="53" spans="1:22" x14ac:dyDescent="0.2">
      <c r="A53" s="774"/>
      <c r="B53" s="4"/>
      <c r="C53" s="23"/>
      <c r="D53" s="23"/>
      <c r="E53" s="23"/>
      <c r="F53" s="23"/>
      <c r="G53" s="23"/>
      <c r="H53" s="23"/>
      <c r="I53" s="23"/>
      <c r="J53" s="23"/>
      <c r="K53" s="23"/>
      <c r="L53" s="23"/>
      <c r="M53" s="23"/>
      <c r="N53" s="23"/>
      <c r="O53" s="23"/>
      <c r="P53" s="4"/>
      <c r="Q53" s="23"/>
      <c r="R53" s="23"/>
      <c r="S53" s="23"/>
      <c r="T53" s="4"/>
      <c r="U53" s="4"/>
      <c r="V53" s="4"/>
    </row>
    <row r="54" spans="1:22" x14ac:dyDescent="0.2">
      <c r="A54" s="774"/>
      <c r="B54" s="4"/>
      <c r="C54" s="23"/>
      <c r="D54" s="23"/>
      <c r="E54" s="23"/>
      <c r="F54" s="23"/>
      <c r="G54" s="23"/>
      <c r="H54" s="23"/>
      <c r="I54" s="23"/>
      <c r="J54" s="23"/>
      <c r="K54" s="23"/>
      <c r="L54" s="23"/>
      <c r="M54" s="23"/>
      <c r="N54" s="23"/>
      <c r="O54" s="23"/>
      <c r="P54" s="4"/>
      <c r="Q54" s="23"/>
      <c r="R54" s="23"/>
      <c r="S54" s="23"/>
      <c r="T54" s="4"/>
      <c r="U54" s="4"/>
      <c r="V54" s="4"/>
    </row>
    <row r="55" spans="1:22" x14ac:dyDescent="0.2">
      <c r="A55" s="774"/>
      <c r="B55" s="4"/>
      <c r="C55" s="23"/>
      <c r="D55" s="23"/>
      <c r="E55" s="23"/>
      <c r="F55" s="23"/>
      <c r="G55" s="23"/>
      <c r="H55" s="23"/>
      <c r="I55" s="23"/>
      <c r="J55" s="23"/>
      <c r="K55" s="23"/>
      <c r="L55" s="23"/>
      <c r="M55" s="23"/>
      <c r="N55" s="23"/>
      <c r="O55" s="23"/>
      <c r="P55" s="4"/>
      <c r="Q55" s="23"/>
      <c r="R55" s="23"/>
      <c r="S55" s="23"/>
      <c r="T55" s="4"/>
      <c r="U55" s="4"/>
      <c r="V55" s="4"/>
    </row>
    <row r="56" spans="1:22" x14ac:dyDescent="0.2">
      <c r="A56" s="774"/>
      <c r="B56" s="4"/>
      <c r="C56" s="23"/>
      <c r="D56" s="23"/>
      <c r="E56" s="23"/>
      <c r="F56" s="23"/>
      <c r="G56" s="23"/>
      <c r="H56" s="23"/>
      <c r="I56" s="23"/>
      <c r="J56" s="23"/>
      <c r="K56" s="23"/>
      <c r="L56" s="23"/>
      <c r="M56" s="23"/>
      <c r="N56" s="23"/>
      <c r="O56" s="23"/>
      <c r="P56" s="4"/>
      <c r="Q56" s="23"/>
      <c r="R56" s="23"/>
      <c r="S56" s="23"/>
      <c r="T56" s="4"/>
      <c r="U56" s="4"/>
      <c r="V56" s="4"/>
    </row>
    <row r="57" spans="1:22" x14ac:dyDescent="0.2">
      <c r="A57" s="774"/>
      <c r="B57" s="4"/>
      <c r="C57" s="23"/>
      <c r="D57" s="23"/>
      <c r="E57" s="23"/>
      <c r="F57" s="23"/>
      <c r="G57" s="23"/>
      <c r="H57" s="23"/>
      <c r="I57" s="23"/>
      <c r="J57" s="23"/>
      <c r="K57" s="23"/>
      <c r="L57" s="23"/>
      <c r="M57" s="23"/>
      <c r="N57" s="23"/>
      <c r="O57" s="23"/>
      <c r="P57" s="4"/>
      <c r="Q57" s="23"/>
      <c r="R57" s="23"/>
      <c r="S57" s="23"/>
      <c r="T57" s="4"/>
      <c r="U57" s="4"/>
      <c r="V57" s="4"/>
    </row>
    <row r="58" spans="1:22" x14ac:dyDescent="0.2">
      <c r="A58" s="774"/>
      <c r="B58" s="4"/>
      <c r="C58" s="23"/>
      <c r="D58" s="23"/>
      <c r="E58" s="23"/>
      <c r="F58" s="23"/>
      <c r="G58" s="23"/>
      <c r="H58" s="23"/>
      <c r="I58" s="23"/>
      <c r="J58" s="23"/>
      <c r="K58" s="23"/>
      <c r="L58" s="23"/>
      <c r="M58" s="23"/>
      <c r="N58" s="23"/>
      <c r="O58" s="23"/>
      <c r="P58" s="4"/>
      <c r="Q58" s="23"/>
      <c r="R58" s="23"/>
      <c r="S58" s="23"/>
      <c r="T58" s="4"/>
      <c r="U58" s="4"/>
      <c r="V58" s="4"/>
    </row>
    <row r="59" spans="1:22" x14ac:dyDescent="0.2">
      <c r="A59" s="774"/>
      <c r="B59" s="4"/>
      <c r="C59" s="23"/>
      <c r="D59" s="23"/>
      <c r="E59" s="23"/>
      <c r="F59" s="23"/>
      <c r="G59" s="23"/>
      <c r="H59" s="23"/>
      <c r="I59" s="23"/>
      <c r="J59" s="23"/>
      <c r="K59" s="23"/>
      <c r="L59" s="23"/>
      <c r="M59" s="23"/>
      <c r="N59" s="23"/>
      <c r="O59" s="23"/>
      <c r="P59" s="4"/>
      <c r="Q59" s="23"/>
      <c r="R59" s="23"/>
      <c r="S59" s="23"/>
      <c r="T59" s="4"/>
      <c r="U59" s="4"/>
      <c r="V59" s="4"/>
    </row>
    <row r="60" spans="1:22" x14ac:dyDescent="0.2">
      <c r="A60" s="774"/>
      <c r="B60" s="4"/>
      <c r="C60" s="23"/>
      <c r="D60" s="23"/>
      <c r="E60" s="23"/>
      <c r="F60" s="23"/>
      <c r="G60" s="23"/>
      <c r="H60" s="23"/>
      <c r="I60" s="23"/>
      <c r="J60" s="23"/>
      <c r="K60" s="23"/>
      <c r="L60" s="23"/>
      <c r="M60" s="23"/>
      <c r="N60" s="23"/>
      <c r="O60" s="23"/>
      <c r="P60" s="4"/>
      <c r="Q60" s="23"/>
      <c r="R60" s="23"/>
      <c r="S60" s="23"/>
      <c r="T60" s="4"/>
      <c r="U60" s="4"/>
      <c r="V60" s="4"/>
    </row>
    <row r="61" spans="1:22" x14ac:dyDescent="0.2">
      <c r="A61" s="774"/>
      <c r="B61" s="4"/>
      <c r="C61" s="23"/>
      <c r="D61" s="23"/>
      <c r="E61" s="23"/>
      <c r="F61" s="23"/>
      <c r="G61" s="23"/>
      <c r="H61" s="23"/>
      <c r="I61" s="23"/>
      <c r="J61" s="23"/>
      <c r="K61" s="23"/>
      <c r="L61" s="23"/>
      <c r="M61" s="23"/>
      <c r="N61" s="23"/>
      <c r="O61" s="23"/>
      <c r="P61" s="4"/>
      <c r="Q61" s="23"/>
      <c r="R61" s="23"/>
      <c r="S61" s="23"/>
      <c r="T61" s="4"/>
      <c r="U61" s="4"/>
      <c r="V61" s="4"/>
    </row>
    <row r="62" spans="1:22" x14ac:dyDescent="0.2">
      <c r="A62" s="774"/>
      <c r="B62" s="4"/>
      <c r="C62" s="23"/>
      <c r="D62" s="23"/>
      <c r="E62" s="23"/>
      <c r="F62" s="23"/>
      <c r="G62" s="23"/>
      <c r="H62" s="23"/>
      <c r="I62" s="23"/>
      <c r="J62" s="23"/>
      <c r="K62" s="23"/>
      <c r="L62" s="23"/>
      <c r="M62" s="23"/>
      <c r="N62" s="23"/>
      <c r="O62" s="23"/>
      <c r="P62" s="4"/>
      <c r="Q62" s="23"/>
      <c r="R62" s="23"/>
      <c r="S62" s="23"/>
      <c r="T62" s="4"/>
      <c r="U62" s="4"/>
      <c r="V62" s="4"/>
    </row>
    <row r="63" spans="1:22" x14ac:dyDescent="0.2">
      <c r="A63" s="774"/>
      <c r="B63" s="4"/>
      <c r="C63" s="23"/>
      <c r="D63" s="23"/>
      <c r="E63" s="23"/>
      <c r="F63" s="23"/>
      <c r="G63" s="23"/>
      <c r="H63" s="23"/>
      <c r="I63" s="23"/>
      <c r="J63" s="23"/>
      <c r="K63" s="23"/>
      <c r="L63" s="23"/>
      <c r="M63" s="23"/>
      <c r="N63" s="23"/>
      <c r="O63" s="23"/>
      <c r="P63" s="4"/>
      <c r="Q63" s="23"/>
      <c r="R63" s="23"/>
      <c r="S63" s="23"/>
      <c r="T63" s="4"/>
      <c r="U63" s="4"/>
      <c r="V63" s="4"/>
    </row>
    <row r="64" spans="1:22" x14ac:dyDescent="0.2">
      <c r="A64" s="774"/>
      <c r="B64" s="4"/>
      <c r="C64" s="23"/>
      <c r="D64" s="23"/>
      <c r="E64" s="23"/>
      <c r="F64" s="23"/>
      <c r="G64" s="23"/>
      <c r="H64" s="23"/>
      <c r="I64" s="23"/>
      <c r="J64" s="23"/>
      <c r="K64" s="23"/>
      <c r="L64" s="23"/>
      <c r="M64" s="23"/>
      <c r="N64" s="23"/>
      <c r="O64" s="23"/>
      <c r="P64" s="4"/>
      <c r="Q64" s="23"/>
      <c r="R64" s="23"/>
      <c r="S64" s="23"/>
      <c r="T64" s="4"/>
      <c r="U64" s="4"/>
      <c r="V64" s="4"/>
    </row>
    <row r="65" spans="1:22" x14ac:dyDescent="0.2">
      <c r="A65" s="774"/>
      <c r="B65" s="4"/>
      <c r="C65" s="23"/>
      <c r="D65" s="23"/>
      <c r="E65" s="23"/>
      <c r="F65" s="23"/>
      <c r="G65" s="23"/>
      <c r="H65" s="23"/>
      <c r="I65" s="23"/>
      <c r="J65" s="23"/>
      <c r="K65" s="23"/>
      <c r="L65" s="23"/>
      <c r="M65" s="23"/>
      <c r="N65" s="23"/>
      <c r="O65" s="23"/>
      <c r="P65" s="4"/>
      <c r="Q65" s="23"/>
      <c r="R65" s="23"/>
      <c r="S65" s="23"/>
      <c r="T65" s="4"/>
      <c r="U65" s="4"/>
      <c r="V65" s="4"/>
    </row>
    <row r="66" spans="1:22" x14ac:dyDescent="0.2">
      <c r="A66" s="774"/>
      <c r="B66" s="4"/>
      <c r="C66" s="23"/>
      <c r="D66" s="23"/>
      <c r="E66" s="23"/>
      <c r="F66" s="23"/>
      <c r="G66" s="23"/>
      <c r="H66" s="23"/>
      <c r="I66" s="23"/>
      <c r="J66" s="23"/>
      <c r="K66" s="23"/>
      <c r="L66" s="23"/>
      <c r="M66" s="23"/>
      <c r="N66" s="23"/>
      <c r="O66" s="23"/>
      <c r="P66" s="4"/>
      <c r="Q66" s="23"/>
      <c r="R66" s="23"/>
      <c r="S66" s="23"/>
      <c r="T66" s="4"/>
      <c r="U66" s="4"/>
      <c r="V66" s="4"/>
    </row>
    <row r="67" spans="1:22" x14ac:dyDescent="0.2">
      <c r="A67" s="774"/>
      <c r="B67" s="4"/>
      <c r="C67" s="23"/>
      <c r="D67" s="23"/>
      <c r="E67" s="23"/>
      <c r="F67" s="23"/>
      <c r="G67" s="23"/>
      <c r="H67" s="23"/>
      <c r="I67" s="23"/>
      <c r="J67" s="23"/>
      <c r="K67" s="23"/>
      <c r="L67" s="23"/>
      <c r="M67" s="23"/>
      <c r="N67" s="23"/>
      <c r="O67" s="23"/>
      <c r="P67" s="4"/>
      <c r="Q67" s="23"/>
      <c r="R67" s="23"/>
      <c r="S67" s="23"/>
      <c r="T67" s="4"/>
      <c r="U67" s="4"/>
      <c r="V67" s="4"/>
    </row>
    <row r="68" spans="1:22" x14ac:dyDescent="0.2">
      <c r="A68" s="774"/>
      <c r="B68" s="4"/>
      <c r="C68" s="23"/>
      <c r="D68" s="23"/>
      <c r="E68" s="23"/>
      <c r="F68" s="23"/>
      <c r="G68" s="23"/>
      <c r="H68" s="23"/>
      <c r="I68" s="23"/>
      <c r="J68" s="23"/>
      <c r="K68" s="23"/>
      <c r="L68" s="23"/>
      <c r="M68" s="23"/>
      <c r="N68" s="23"/>
      <c r="O68" s="23"/>
      <c r="P68" s="4"/>
      <c r="Q68" s="23"/>
      <c r="R68" s="23"/>
      <c r="S68" s="23"/>
      <c r="T68" s="4"/>
      <c r="U68" s="4"/>
      <c r="V68" s="4"/>
    </row>
    <row r="69" spans="1:22" x14ac:dyDescent="0.2">
      <c r="A69" s="774"/>
      <c r="B69" s="4"/>
      <c r="C69" s="23"/>
      <c r="D69" s="23"/>
      <c r="E69" s="23"/>
      <c r="F69" s="23"/>
      <c r="G69" s="23"/>
      <c r="H69" s="23"/>
      <c r="I69" s="23"/>
      <c r="J69" s="23"/>
      <c r="K69" s="23"/>
      <c r="L69" s="23"/>
      <c r="M69" s="23"/>
      <c r="N69" s="23"/>
      <c r="O69" s="23"/>
      <c r="P69" s="4"/>
      <c r="Q69" s="23"/>
      <c r="R69" s="23"/>
      <c r="S69" s="23"/>
      <c r="T69" s="4"/>
      <c r="U69" s="4"/>
      <c r="V69" s="4"/>
    </row>
    <row r="70" spans="1:22" x14ac:dyDescent="0.2">
      <c r="A70" s="774"/>
      <c r="B70" s="4"/>
      <c r="C70" s="23"/>
      <c r="D70" s="23"/>
      <c r="E70" s="23"/>
      <c r="F70" s="23"/>
      <c r="G70" s="23"/>
      <c r="H70" s="23"/>
      <c r="I70" s="23"/>
      <c r="J70" s="23"/>
      <c r="K70" s="23"/>
      <c r="L70" s="23"/>
      <c r="M70" s="23"/>
      <c r="N70" s="23"/>
      <c r="O70" s="23"/>
      <c r="P70" s="4"/>
      <c r="Q70" s="23"/>
      <c r="R70" s="23"/>
      <c r="S70" s="23"/>
      <c r="T70" s="4"/>
      <c r="U70" s="4"/>
      <c r="V70" s="4"/>
    </row>
    <row r="71" spans="1:22" x14ac:dyDescent="0.2">
      <c r="A71" s="774"/>
      <c r="B71" s="4"/>
      <c r="C71" s="23"/>
      <c r="D71" s="23"/>
      <c r="E71" s="23"/>
      <c r="F71" s="23"/>
      <c r="G71" s="23"/>
      <c r="H71" s="23"/>
      <c r="I71" s="23"/>
      <c r="J71" s="23"/>
      <c r="K71" s="23"/>
      <c r="L71" s="23"/>
      <c r="M71" s="23"/>
      <c r="N71" s="23"/>
      <c r="O71" s="23"/>
      <c r="P71" s="4"/>
      <c r="Q71" s="23"/>
      <c r="R71" s="23"/>
      <c r="S71" s="23"/>
      <c r="T71" s="4"/>
      <c r="U71" s="4"/>
      <c r="V71" s="4"/>
    </row>
    <row r="72" spans="1:22" x14ac:dyDescent="0.2">
      <c r="A72" s="774"/>
      <c r="B72" s="4"/>
      <c r="C72" s="23"/>
      <c r="D72" s="23"/>
      <c r="E72" s="23"/>
      <c r="F72" s="23"/>
      <c r="G72" s="23"/>
      <c r="H72" s="23"/>
      <c r="I72" s="23"/>
      <c r="J72" s="23"/>
      <c r="K72" s="23"/>
      <c r="L72" s="23"/>
      <c r="M72" s="23"/>
      <c r="N72" s="23"/>
      <c r="O72" s="23"/>
      <c r="P72" s="4"/>
      <c r="Q72" s="23"/>
      <c r="R72" s="23"/>
      <c r="S72" s="23"/>
      <c r="T72" s="4"/>
      <c r="U72" s="4"/>
      <c r="V72" s="4"/>
    </row>
    <row r="73" spans="1:22" x14ac:dyDescent="0.2">
      <c r="A73" s="774"/>
      <c r="B73" s="4"/>
      <c r="C73" s="23"/>
      <c r="D73" s="23"/>
      <c r="E73" s="23"/>
      <c r="F73" s="23"/>
      <c r="G73" s="23"/>
      <c r="H73" s="23"/>
      <c r="I73" s="23"/>
      <c r="J73" s="23"/>
      <c r="K73" s="23"/>
      <c r="L73" s="23"/>
      <c r="M73" s="23"/>
      <c r="N73" s="23"/>
      <c r="O73" s="23"/>
      <c r="P73" s="4"/>
      <c r="Q73" s="23"/>
      <c r="R73" s="23"/>
      <c r="S73" s="23"/>
      <c r="T73" s="4"/>
      <c r="U73" s="4"/>
      <c r="V73" s="4"/>
    </row>
    <row r="74" spans="1:22" x14ac:dyDescent="0.2">
      <c r="A74" s="774"/>
      <c r="B74" s="4"/>
      <c r="C74" s="23"/>
      <c r="D74" s="23"/>
      <c r="E74" s="23"/>
      <c r="F74" s="23"/>
      <c r="G74" s="23"/>
      <c r="H74" s="23"/>
      <c r="I74" s="23"/>
      <c r="J74" s="23"/>
      <c r="K74" s="23"/>
      <c r="L74" s="23"/>
      <c r="M74" s="23"/>
      <c r="N74" s="23"/>
      <c r="O74" s="23"/>
      <c r="P74" s="4"/>
      <c r="Q74" s="23"/>
      <c r="R74" s="23"/>
      <c r="S74" s="23"/>
      <c r="T74" s="4"/>
      <c r="U74" s="4"/>
      <c r="V74" s="4"/>
    </row>
    <row r="75" spans="1:22" x14ac:dyDescent="0.2">
      <c r="A75" s="774"/>
      <c r="B75" s="4"/>
      <c r="C75" s="23"/>
      <c r="D75" s="23"/>
      <c r="E75" s="23"/>
      <c r="F75" s="23"/>
      <c r="G75" s="23"/>
      <c r="H75" s="23"/>
      <c r="I75" s="23"/>
      <c r="J75" s="23"/>
      <c r="K75" s="23"/>
      <c r="L75" s="23"/>
      <c r="M75" s="23"/>
      <c r="N75" s="23"/>
      <c r="O75" s="23"/>
      <c r="P75" s="4"/>
      <c r="Q75" s="23"/>
      <c r="R75" s="23"/>
      <c r="S75" s="23"/>
      <c r="T75" s="4"/>
      <c r="U75" s="4"/>
      <c r="V75" s="4"/>
    </row>
    <row r="76" spans="1:22" x14ac:dyDescent="0.2">
      <c r="A76" s="774"/>
      <c r="B76" s="4"/>
      <c r="C76" s="23"/>
      <c r="D76" s="23"/>
      <c r="E76" s="23"/>
      <c r="F76" s="23"/>
      <c r="G76" s="23"/>
      <c r="H76" s="23"/>
      <c r="I76" s="23"/>
      <c r="J76" s="23"/>
      <c r="K76" s="23"/>
      <c r="L76" s="23"/>
      <c r="M76" s="23"/>
      <c r="N76" s="23"/>
      <c r="O76" s="23"/>
      <c r="P76" s="4"/>
      <c r="Q76" s="23"/>
      <c r="R76" s="23"/>
      <c r="S76" s="23"/>
      <c r="T76" s="4"/>
      <c r="U76" s="4"/>
      <c r="V76" s="4"/>
    </row>
    <row r="77" spans="1:22" x14ac:dyDescent="0.2">
      <c r="A77" s="774"/>
      <c r="B77" s="4"/>
      <c r="C77" s="23"/>
      <c r="D77" s="23"/>
      <c r="E77" s="23"/>
      <c r="F77" s="23"/>
      <c r="G77" s="23"/>
      <c r="H77" s="23"/>
      <c r="I77" s="23"/>
      <c r="J77" s="23"/>
      <c r="K77" s="23"/>
      <c r="L77" s="23"/>
      <c r="M77" s="23"/>
      <c r="N77" s="23"/>
      <c r="O77" s="23"/>
      <c r="P77" s="4"/>
      <c r="Q77" s="23"/>
      <c r="R77" s="23"/>
      <c r="S77" s="23"/>
      <c r="T77" s="4"/>
      <c r="U77" s="4"/>
      <c r="V77" s="4"/>
    </row>
    <row r="78" spans="1:22" x14ac:dyDescent="0.2">
      <c r="A78" s="774"/>
      <c r="B78" s="4"/>
      <c r="C78" s="23"/>
      <c r="D78" s="23"/>
      <c r="E78" s="23"/>
      <c r="F78" s="23"/>
      <c r="G78" s="23"/>
      <c r="H78" s="23"/>
      <c r="I78" s="23"/>
      <c r="J78" s="23"/>
      <c r="K78" s="23"/>
      <c r="L78" s="23"/>
      <c r="M78" s="23"/>
      <c r="N78" s="23"/>
      <c r="O78" s="23"/>
      <c r="P78" s="4"/>
      <c r="Q78" s="23"/>
      <c r="R78" s="23"/>
      <c r="S78" s="23"/>
      <c r="T78" s="4"/>
      <c r="U78" s="4"/>
      <c r="V78" s="4"/>
    </row>
    <row r="79" spans="1:22" x14ac:dyDescent="0.2">
      <c r="A79" s="774"/>
      <c r="B79" s="4"/>
      <c r="C79" s="23"/>
      <c r="D79" s="23"/>
      <c r="E79" s="23"/>
      <c r="F79" s="23"/>
      <c r="G79" s="23"/>
      <c r="H79" s="23"/>
      <c r="I79" s="23"/>
      <c r="J79" s="23"/>
      <c r="K79" s="23"/>
      <c r="L79" s="23"/>
      <c r="M79" s="23"/>
      <c r="N79" s="23"/>
      <c r="O79" s="23"/>
      <c r="P79" s="4"/>
      <c r="Q79" s="23"/>
      <c r="R79" s="23"/>
      <c r="S79" s="23"/>
      <c r="T79" s="4"/>
      <c r="U79" s="4"/>
      <c r="V79" s="4"/>
    </row>
    <row r="80" spans="1:22" x14ac:dyDescent="0.2">
      <c r="A80" s="774"/>
      <c r="B80" s="4"/>
      <c r="C80" s="23"/>
      <c r="D80" s="23"/>
      <c r="E80" s="23"/>
      <c r="F80" s="23"/>
      <c r="G80" s="23"/>
      <c r="H80" s="23"/>
      <c r="I80" s="23"/>
      <c r="J80" s="23"/>
      <c r="K80" s="23"/>
      <c r="L80" s="23"/>
      <c r="M80" s="23"/>
      <c r="N80" s="23"/>
      <c r="O80" s="23"/>
      <c r="P80" s="4"/>
      <c r="Q80" s="23"/>
      <c r="R80" s="23"/>
      <c r="S80" s="23"/>
      <c r="T80" s="4"/>
      <c r="U80" s="4"/>
      <c r="V80" s="4"/>
    </row>
    <row r="81" spans="1:22" x14ac:dyDescent="0.2">
      <c r="A81" s="774"/>
      <c r="B81" s="4"/>
      <c r="C81" s="23"/>
      <c r="D81" s="23"/>
      <c r="E81" s="23"/>
      <c r="F81" s="23"/>
      <c r="G81" s="23"/>
      <c r="H81" s="23"/>
      <c r="I81" s="23"/>
      <c r="J81" s="23"/>
      <c r="K81" s="23"/>
      <c r="L81" s="23"/>
      <c r="M81" s="23"/>
      <c r="N81" s="23"/>
      <c r="O81" s="23"/>
      <c r="P81" s="4"/>
      <c r="Q81" s="23"/>
      <c r="R81" s="23"/>
      <c r="S81" s="23"/>
      <c r="T81" s="4"/>
      <c r="U81" s="4"/>
      <c r="V81" s="4"/>
    </row>
    <row r="82" spans="1:22" x14ac:dyDescent="0.2">
      <c r="A82" s="774"/>
      <c r="B82" s="4"/>
      <c r="C82" s="23"/>
      <c r="D82" s="23"/>
      <c r="E82" s="23"/>
      <c r="F82" s="23"/>
      <c r="G82" s="23"/>
      <c r="H82" s="23"/>
      <c r="I82" s="23"/>
      <c r="J82" s="23"/>
      <c r="K82" s="23"/>
      <c r="L82" s="23"/>
      <c r="M82" s="23"/>
      <c r="N82" s="23"/>
      <c r="O82" s="23"/>
      <c r="P82" s="4"/>
      <c r="Q82" s="23"/>
      <c r="R82" s="23"/>
      <c r="S82" s="23"/>
      <c r="T82" s="4"/>
      <c r="U82" s="4"/>
      <c r="V82" s="4"/>
    </row>
    <row r="83" spans="1:22" x14ac:dyDescent="0.2">
      <c r="A83" s="774"/>
      <c r="B83" s="4"/>
      <c r="C83" s="23"/>
      <c r="D83" s="23"/>
      <c r="E83" s="23"/>
      <c r="F83" s="23"/>
      <c r="G83" s="23"/>
      <c r="H83" s="23"/>
      <c r="I83" s="23"/>
      <c r="J83" s="23"/>
      <c r="K83" s="23"/>
      <c r="L83" s="23"/>
      <c r="M83" s="23"/>
      <c r="N83" s="23"/>
      <c r="O83" s="23"/>
      <c r="P83" s="4"/>
      <c r="Q83" s="23"/>
      <c r="R83" s="23"/>
      <c r="S83" s="23"/>
      <c r="T83" s="4"/>
      <c r="U83" s="4"/>
      <c r="V83" s="4"/>
    </row>
    <row r="84" spans="1:22" x14ac:dyDescent="0.2">
      <c r="A84" s="774"/>
      <c r="B84" s="4"/>
      <c r="C84" s="23"/>
      <c r="D84" s="23"/>
      <c r="E84" s="23"/>
      <c r="F84" s="23"/>
      <c r="G84" s="23"/>
      <c r="H84" s="23"/>
      <c r="I84" s="23"/>
      <c r="J84" s="23"/>
      <c r="K84" s="23"/>
      <c r="L84" s="23"/>
      <c r="M84" s="23"/>
      <c r="N84" s="23"/>
      <c r="O84" s="23"/>
      <c r="P84" s="4"/>
      <c r="Q84" s="23"/>
      <c r="R84" s="23"/>
      <c r="S84" s="23"/>
      <c r="T84" s="4"/>
      <c r="U84" s="4"/>
      <c r="V84" s="4"/>
    </row>
    <row r="85" spans="1:22" x14ac:dyDescent="0.2">
      <c r="A85" s="774"/>
      <c r="B85" s="4"/>
      <c r="C85" s="23"/>
      <c r="D85" s="23"/>
      <c r="E85" s="23"/>
      <c r="F85" s="23"/>
      <c r="G85" s="23"/>
      <c r="H85" s="23"/>
      <c r="I85" s="23"/>
      <c r="J85" s="23"/>
      <c r="K85" s="23"/>
      <c r="L85" s="23"/>
      <c r="M85" s="23"/>
      <c r="N85" s="23"/>
      <c r="O85" s="23"/>
      <c r="P85" s="4"/>
      <c r="Q85" s="23"/>
      <c r="R85" s="23"/>
      <c r="S85" s="23"/>
      <c r="T85" s="4"/>
      <c r="U85" s="4"/>
      <c r="V85" s="4"/>
    </row>
    <row r="86" spans="1:22" x14ac:dyDescent="0.2">
      <c r="A86" s="774"/>
      <c r="B86" s="4"/>
      <c r="C86" s="23"/>
      <c r="D86" s="23"/>
      <c r="E86" s="23"/>
      <c r="F86" s="23"/>
      <c r="G86" s="23"/>
      <c r="H86" s="23"/>
      <c r="I86" s="23"/>
      <c r="J86" s="23"/>
      <c r="K86" s="23"/>
      <c r="L86" s="23"/>
      <c r="M86" s="23"/>
      <c r="N86" s="23"/>
      <c r="O86" s="23"/>
      <c r="P86" s="4"/>
      <c r="Q86" s="23"/>
      <c r="R86" s="23"/>
      <c r="S86" s="23"/>
      <c r="T86" s="4"/>
      <c r="U86" s="4"/>
      <c r="V86" s="4"/>
    </row>
    <row r="87" spans="1:22" x14ac:dyDescent="0.2">
      <c r="A87" s="774"/>
      <c r="B87" s="4"/>
      <c r="C87" s="23"/>
      <c r="D87" s="23"/>
      <c r="E87" s="23"/>
      <c r="F87" s="23"/>
      <c r="G87" s="23"/>
      <c r="H87" s="23"/>
      <c r="I87" s="23"/>
      <c r="J87" s="23"/>
      <c r="K87" s="23"/>
      <c r="L87" s="23"/>
      <c r="M87" s="23"/>
      <c r="N87" s="23"/>
      <c r="O87" s="23"/>
      <c r="P87" s="4"/>
      <c r="Q87" s="23"/>
      <c r="R87" s="23"/>
      <c r="S87" s="23"/>
      <c r="T87" s="4"/>
      <c r="U87" s="4"/>
      <c r="V87" s="4"/>
    </row>
    <row r="88" spans="1:22" x14ac:dyDescent="0.2">
      <c r="A88" s="774"/>
      <c r="B88" s="4"/>
      <c r="C88" s="23"/>
      <c r="D88" s="23"/>
      <c r="E88" s="23"/>
      <c r="F88" s="23"/>
      <c r="G88" s="23"/>
      <c r="H88" s="23"/>
      <c r="I88" s="23"/>
      <c r="J88" s="23"/>
      <c r="K88" s="23"/>
      <c r="L88" s="23"/>
      <c r="M88" s="23"/>
      <c r="N88" s="23"/>
      <c r="O88" s="23"/>
      <c r="P88" s="4"/>
      <c r="Q88" s="23"/>
      <c r="R88" s="23"/>
      <c r="S88" s="23"/>
      <c r="T88" s="4"/>
      <c r="U88" s="4"/>
      <c r="V88" s="4"/>
    </row>
    <row r="89" spans="1:22" x14ac:dyDescent="0.2">
      <c r="A89" s="774"/>
      <c r="B89" s="4"/>
      <c r="C89" s="23"/>
      <c r="D89" s="23"/>
      <c r="E89" s="23"/>
      <c r="F89" s="23"/>
      <c r="G89" s="23"/>
      <c r="H89" s="23"/>
      <c r="I89" s="23"/>
      <c r="J89" s="23"/>
      <c r="K89" s="23"/>
      <c r="L89" s="23"/>
      <c r="M89" s="23"/>
      <c r="N89" s="23"/>
      <c r="O89" s="23"/>
      <c r="P89" s="4"/>
      <c r="Q89" s="23"/>
      <c r="R89" s="23"/>
      <c r="S89" s="23"/>
      <c r="T89" s="4"/>
      <c r="U89" s="4"/>
      <c r="V89" s="4"/>
    </row>
    <row r="90" spans="1:22" x14ac:dyDescent="0.2">
      <c r="A90" s="774"/>
      <c r="B90" s="4"/>
      <c r="C90" s="23"/>
      <c r="D90" s="23"/>
      <c r="E90" s="23"/>
      <c r="F90" s="23"/>
      <c r="G90" s="23"/>
      <c r="H90" s="23"/>
      <c r="I90" s="23"/>
      <c r="J90" s="23"/>
      <c r="K90" s="23"/>
      <c r="L90" s="23"/>
      <c r="M90" s="23"/>
      <c r="N90" s="23"/>
      <c r="O90" s="23"/>
      <c r="P90" s="4"/>
      <c r="Q90" s="23"/>
      <c r="R90" s="23"/>
      <c r="S90" s="23"/>
      <c r="T90" s="4"/>
      <c r="U90" s="4"/>
      <c r="V90" s="4"/>
    </row>
    <row r="91" spans="1:22" x14ac:dyDescent="0.2">
      <c r="A91" s="774"/>
      <c r="B91" s="4"/>
      <c r="C91" s="23"/>
      <c r="D91" s="23"/>
      <c r="E91" s="23"/>
      <c r="F91" s="23"/>
      <c r="G91" s="23"/>
      <c r="H91" s="23"/>
      <c r="I91" s="23"/>
      <c r="J91" s="23"/>
      <c r="K91" s="23"/>
      <c r="L91" s="23"/>
      <c r="M91" s="23"/>
      <c r="N91" s="23"/>
      <c r="O91" s="23"/>
      <c r="P91" s="4"/>
      <c r="Q91" s="23"/>
      <c r="R91" s="23"/>
      <c r="S91" s="23"/>
      <c r="T91" s="4"/>
      <c r="U91" s="4"/>
      <c r="V91" s="4"/>
    </row>
    <row r="92" spans="1:22" x14ac:dyDescent="0.2">
      <c r="A92" s="774"/>
      <c r="B92" s="4"/>
      <c r="C92" s="23"/>
      <c r="D92" s="23"/>
      <c r="E92" s="23"/>
      <c r="F92" s="23"/>
      <c r="G92" s="23"/>
      <c r="H92" s="23"/>
      <c r="I92" s="23"/>
      <c r="J92" s="23"/>
      <c r="K92" s="23"/>
      <c r="L92" s="23"/>
      <c r="M92" s="23"/>
      <c r="N92" s="23"/>
      <c r="O92" s="23"/>
      <c r="P92" s="4"/>
      <c r="Q92" s="23"/>
      <c r="R92" s="23"/>
      <c r="S92" s="23"/>
      <c r="T92" s="4"/>
      <c r="U92" s="4"/>
      <c r="V92" s="4"/>
    </row>
    <row r="93" spans="1:22" x14ac:dyDescent="0.2">
      <c r="A93" s="774"/>
      <c r="B93" s="4"/>
      <c r="C93" s="23"/>
      <c r="D93" s="23"/>
      <c r="E93" s="23"/>
      <c r="F93" s="23"/>
      <c r="G93" s="23"/>
      <c r="H93" s="23"/>
      <c r="I93" s="23"/>
      <c r="J93" s="23"/>
      <c r="K93" s="23"/>
      <c r="L93" s="23"/>
      <c r="M93" s="23"/>
      <c r="N93" s="23"/>
      <c r="O93" s="23"/>
      <c r="P93" s="4"/>
      <c r="Q93" s="23"/>
      <c r="R93" s="23"/>
      <c r="S93" s="23"/>
      <c r="T93" s="4"/>
      <c r="U93" s="4"/>
      <c r="V93" s="4"/>
    </row>
    <row r="94" spans="1:22" x14ac:dyDescent="0.2">
      <c r="A94" s="774"/>
      <c r="B94" s="4"/>
      <c r="C94" s="23"/>
      <c r="D94" s="23"/>
      <c r="E94" s="23"/>
      <c r="F94" s="23"/>
      <c r="G94" s="23"/>
      <c r="H94" s="23"/>
      <c r="I94" s="23"/>
      <c r="J94" s="23"/>
      <c r="K94" s="23"/>
      <c r="L94" s="23"/>
      <c r="M94" s="23"/>
      <c r="N94" s="23"/>
      <c r="O94" s="23"/>
      <c r="P94" s="4"/>
      <c r="Q94" s="23"/>
      <c r="R94" s="23"/>
      <c r="S94" s="23"/>
      <c r="T94" s="4"/>
      <c r="U94" s="4"/>
      <c r="V94" s="4"/>
    </row>
    <row r="95" spans="1:22" x14ac:dyDescent="0.2">
      <c r="A95" s="774"/>
      <c r="B95" s="4"/>
      <c r="C95" s="23"/>
      <c r="D95" s="23"/>
      <c r="E95" s="23"/>
      <c r="F95" s="23"/>
      <c r="G95" s="23"/>
      <c r="H95" s="23"/>
      <c r="I95" s="23"/>
      <c r="J95" s="23"/>
      <c r="K95" s="23"/>
      <c r="L95" s="23"/>
      <c r="M95" s="23"/>
      <c r="N95" s="23"/>
      <c r="O95" s="23"/>
      <c r="P95" s="4"/>
      <c r="Q95" s="23"/>
      <c r="R95" s="23"/>
      <c r="S95" s="23"/>
      <c r="T95" s="4"/>
      <c r="U95" s="4"/>
      <c r="V95" s="4"/>
    </row>
    <row r="96" spans="1:22" x14ac:dyDescent="0.2">
      <c r="A96" s="774"/>
      <c r="B96" s="4"/>
      <c r="C96" s="23"/>
      <c r="D96" s="23"/>
      <c r="E96" s="23"/>
      <c r="F96" s="23"/>
      <c r="G96" s="23"/>
      <c r="H96" s="23"/>
      <c r="I96" s="23"/>
      <c r="J96" s="23"/>
      <c r="K96" s="23"/>
      <c r="L96" s="23"/>
      <c r="M96" s="23"/>
      <c r="N96" s="23"/>
      <c r="O96" s="23"/>
      <c r="P96" s="4"/>
      <c r="Q96" s="23"/>
      <c r="R96" s="23"/>
      <c r="S96" s="23"/>
      <c r="T96" s="4"/>
      <c r="U96" s="4"/>
      <c r="V96" s="4"/>
    </row>
    <row r="97" spans="1:22" x14ac:dyDescent="0.2">
      <c r="A97" s="774"/>
      <c r="B97" s="4"/>
      <c r="C97" s="23"/>
      <c r="D97" s="23"/>
      <c r="E97" s="23"/>
      <c r="F97" s="23"/>
      <c r="G97" s="23"/>
      <c r="H97" s="23"/>
      <c r="I97" s="23"/>
      <c r="J97" s="23"/>
      <c r="K97" s="23"/>
      <c r="L97" s="23"/>
      <c r="M97" s="23"/>
      <c r="N97" s="23"/>
      <c r="O97" s="23"/>
      <c r="P97" s="4"/>
      <c r="Q97" s="23"/>
      <c r="R97" s="23"/>
      <c r="S97" s="23"/>
      <c r="T97" s="4"/>
      <c r="U97" s="4"/>
      <c r="V97" s="4"/>
    </row>
    <row r="98" spans="1:22" x14ac:dyDescent="0.2">
      <c r="A98" s="774"/>
      <c r="B98" s="4"/>
      <c r="C98" s="23"/>
      <c r="D98" s="23"/>
      <c r="E98" s="23"/>
      <c r="F98" s="23"/>
      <c r="G98" s="23"/>
      <c r="H98" s="23"/>
      <c r="I98" s="23"/>
      <c r="J98" s="23"/>
      <c r="K98" s="23"/>
      <c r="L98" s="23"/>
      <c r="M98" s="23"/>
      <c r="N98" s="23"/>
      <c r="O98" s="23"/>
      <c r="P98" s="4"/>
      <c r="Q98" s="23"/>
      <c r="R98" s="23"/>
      <c r="S98" s="23"/>
      <c r="T98" s="4"/>
      <c r="U98" s="4"/>
      <c r="V98" s="4"/>
    </row>
    <row r="99" spans="1:22" x14ac:dyDescent="0.2">
      <c r="A99" s="774"/>
      <c r="B99" s="4"/>
      <c r="C99" s="23"/>
      <c r="D99" s="23"/>
      <c r="E99" s="23"/>
      <c r="F99" s="23"/>
      <c r="G99" s="23"/>
      <c r="H99" s="23"/>
      <c r="I99" s="23"/>
      <c r="J99" s="23"/>
      <c r="K99" s="23"/>
      <c r="L99" s="23"/>
      <c r="M99" s="23"/>
      <c r="N99" s="23"/>
      <c r="O99" s="23"/>
      <c r="P99" s="4"/>
      <c r="Q99" s="23"/>
      <c r="R99" s="23"/>
      <c r="S99" s="23"/>
      <c r="T99" s="4"/>
      <c r="U99" s="4"/>
      <c r="V99" s="4"/>
    </row>
    <row r="100" spans="1:22" x14ac:dyDescent="0.2">
      <c r="A100" s="774"/>
      <c r="B100" s="4"/>
      <c r="C100" s="23"/>
      <c r="D100" s="23"/>
      <c r="E100" s="23"/>
      <c r="F100" s="23"/>
      <c r="G100" s="23"/>
      <c r="H100" s="23"/>
      <c r="I100" s="23"/>
      <c r="J100" s="23"/>
      <c r="K100" s="23"/>
      <c r="L100" s="23"/>
      <c r="M100" s="23"/>
      <c r="N100" s="23"/>
      <c r="O100" s="23"/>
      <c r="P100" s="4"/>
      <c r="Q100" s="23"/>
      <c r="R100" s="23"/>
      <c r="S100" s="23"/>
      <c r="T100" s="4"/>
      <c r="U100" s="4"/>
      <c r="V100" s="4"/>
    </row>
    <row r="101" spans="1:22" x14ac:dyDescent="0.2">
      <c r="A101" s="774"/>
      <c r="B101" s="4"/>
      <c r="C101" s="23"/>
      <c r="D101" s="23"/>
      <c r="E101" s="23"/>
      <c r="F101" s="23"/>
      <c r="G101" s="23"/>
      <c r="H101" s="23"/>
      <c r="I101" s="23"/>
      <c r="J101" s="23"/>
      <c r="K101" s="23"/>
      <c r="L101" s="23"/>
      <c r="M101" s="23"/>
      <c r="N101" s="23"/>
      <c r="O101" s="23"/>
      <c r="P101" s="4"/>
      <c r="Q101" s="23"/>
      <c r="R101" s="23"/>
      <c r="S101" s="23"/>
      <c r="T101" s="4"/>
      <c r="U101" s="4"/>
      <c r="V101" s="4"/>
    </row>
    <row r="102" spans="1:22" x14ac:dyDescent="0.2">
      <c r="A102" s="774"/>
      <c r="B102" s="4"/>
      <c r="C102" s="23"/>
      <c r="D102" s="23"/>
      <c r="E102" s="23"/>
      <c r="F102" s="23"/>
      <c r="G102" s="23"/>
      <c r="H102" s="23"/>
      <c r="I102" s="23"/>
      <c r="J102" s="23"/>
      <c r="K102" s="23"/>
      <c r="L102" s="23"/>
      <c r="M102" s="23"/>
      <c r="N102" s="23"/>
      <c r="O102" s="23"/>
      <c r="P102" s="4"/>
      <c r="Q102" s="23"/>
      <c r="R102" s="23"/>
      <c r="S102" s="23"/>
      <c r="T102" s="4"/>
      <c r="U102" s="4"/>
      <c r="V102" s="4"/>
    </row>
    <row r="103" spans="1:22" x14ac:dyDescent="0.2">
      <c r="A103" s="774"/>
      <c r="B103" s="4"/>
      <c r="C103" s="23"/>
      <c r="D103" s="23"/>
      <c r="E103" s="23"/>
      <c r="F103" s="23"/>
      <c r="G103" s="23"/>
      <c r="H103" s="23"/>
      <c r="I103" s="23"/>
      <c r="J103" s="23"/>
      <c r="K103" s="23"/>
      <c r="L103" s="23"/>
      <c r="M103" s="23"/>
      <c r="N103" s="23"/>
      <c r="O103" s="23"/>
      <c r="P103" s="4"/>
      <c r="Q103" s="23"/>
      <c r="R103" s="23"/>
      <c r="S103" s="23"/>
      <c r="T103" s="4"/>
      <c r="U103" s="4"/>
      <c r="V103" s="4"/>
    </row>
    <row r="104" spans="1:22" x14ac:dyDescent="0.2">
      <c r="A104" s="774"/>
      <c r="B104" s="4"/>
      <c r="C104" s="23"/>
      <c r="D104" s="23"/>
      <c r="E104" s="23"/>
      <c r="F104" s="23"/>
      <c r="G104" s="23"/>
      <c r="H104" s="23"/>
      <c r="I104" s="23"/>
      <c r="J104" s="23"/>
      <c r="K104" s="23"/>
      <c r="L104" s="23"/>
      <c r="M104" s="23"/>
      <c r="N104" s="23"/>
      <c r="O104" s="23"/>
      <c r="P104" s="4"/>
      <c r="Q104" s="23"/>
      <c r="R104" s="23"/>
      <c r="S104" s="23"/>
      <c r="T104" s="4"/>
      <c r="U104" s="4"/>
      <c r="V104" s="4"/>
    </row>
    <row r="105" spans="1:22" x14ac:dyDescent="0.2">
      <c r="A105" s="774"/>
      <c r="B105" s="4"/>
      <c r="C105" s="23"/>
      <c r="D105" s="23"/>
      <c r="E105" s="23"/>
      <c r="F105" s="23"/>
      <c r="G105" s="23"/>
      <c r="H105" s="23"/>
      <c r="I105" s="23"/>
      <c r="J105" s="23"/>
      <c r="K105" s="23"/>
      <c r="L105" s="23"/>
      <c r="M105" s="23"/>
      <c r="N105" s="23"/>
      <c r="O105" s="23"/>
      <c r="P105" s="4"/>
      <c r="Q105" s="23"/>
      <c r="R105" s="23"/>
      <c r="S105" s="23"/>
      <c r="T105" s="4"/>
      <c r="U105" s="4"/>
      <c r="V105" s="4"/>
    </row>
    <row r="106" spans="1:22" x14ac:dyDescent="0.2">
      <c r="C106" s="212"/>
      <c r="D106" s="212"/>
      <c r="E106" s="212"/>
      <c r="F106" s="212"/>
      <c r="G106" s="212"/>
      <c r="H106" s="212"/>
      <c r="I106" s="212"/>
      <c r="J106" s="212"/>
      <c r="K106" s="212"/>
      <c r="L106" s="212"/>
      <c r="M106" s="212"/>
      <c r="N106" s="212"/>
      <c r="O106" s="212"/>
    </row>
    <row r="107" spans="1:22" x14ac:dyDescent="0.2">
      <c r="C107" s="212"/>
      <c r="D107" s="212"/>
      <c r="E107" s="212"/>
      <c r="F107" s="212"/>
      <c r="G107" s="212"/>
      <c r="H107" s="212"/>
      <c r="I107" s="212"/>
      <c r="J107" s="212"/>
      <c r="K107" s="212"/>
      <c r="L107" s="212"/>
      <c r="M107" s="212"/>
      <c r="N107" s="212"/>
      <c r="O107" s="212"/>
    </row>
    <row r="108" spans="1:22" x14ac:dyDescent="0.2">
      <c r="C108" s="212"/>
      <c r="D108" s="212"/>
      <c r="E108" s="212"/>
      <c r="F108" s="212"/>
      <c r="G108" s="212"/>
      <c r="H108" s="212"/>
      <c r="I108" s="212"/>
      <c r="J108" s="212"/>
      <c r="K108" s="212"/>
      <c r="L108" s="212"/>
      <c r="M108" s="212"/>
      <c r="N108" s="212"/>
      <c r="O108" s="212"/>
    </row>
    <row r="109" spans="1:22" x14ac:dyDescent="0.2">
      <c r="C109" s="212"/>
      <c r="D109" s="212"/>
      <c r="E109" s="212"/>
      <c r="F109" s="212"/>
      <c r="G109" s="212"/>
      <c r="H109" s="212"/>
      <c r="I109" s="212"/>
      <c r="J109" s="212"/>
      <c r="K109" s="212"/>
      <c r="L109" s="212"/>
      <c r="M109" s="212"/>
      <c r="N109" s="212"/>
      <c r="O109" s="212"/>
    </row>
    <row r="110" spans="1:22" x14ac:dyDescent="0.2">
      <c r="C110" s="212"/>
      <c r="D110" s="212"/>
      <c r="E110" s="212"/>
      <c r="F110" s="212"/>
      <c r="G110" s="212"/>
      <c r="H110" s="212"/>
      <c r="I110" s="212"/>
      <c r="J110" s="212"/>
      <c r="K110" s="212"/>
      <c r="L110" s="212"/>
      <c r="M110" s="212"/>
      <c r="N110" s="212"/>
      <c r="O110" s="212"/>
    </row>
    <row r="111" spans="1:22" x14ac:dyDescent="0.2">
      <c r="C111" s="212"/>
      <c r="D111" s="212"/>
      <c r="E111" s="212"/>
      <c r="F111" s="212"/>
      <c r="G111" s="212"/>
      <c r="H111" s="212"/>
      <c r="I111" s="212"/>
      <c r="J111" s="212"/>
      <c r="K111" s="212"/>
      <c r="L111" s="212"/>
      <c r="M111" s="212"/>
      <c r="N111" s="212"/>
      <c r="O111" s="212"/>
    </row>
    <row r="112" spans="1:22" x14ac:dyDescent="0.2">
      <c r="C112" s="212"/>
      <c r="D112" s="212"/>
      <c r="E112" s="212"/>
      <c r="F112" s="212"/>
      <c r="G112" s="212"/>
      <c r="H112" s="212"/>
      <c r="I112" s="212"/>
      <c r="J112" s="212"/>
      <c r="K112" s="212"/>
      <c r="L112" s="212"/>
      <c r="M112" s="212"/>
      <c r="N112" s="212"/>
      <c r="O112" s="212"/>
    </row>
    <row r="113" spans="3:3" x14ac:dyDescent="0.2">
      <c r="C113" s="212"/>
    </row>
    <row r="114" spans="3:3" x14ac:dyDescent="0.2">
      <c r="C114" s="212"/>
    </row>
    <row r="115" spans="3:3" x14ac:dyDescent="0.2">
      <c r="C115" s="212"/>
    </row>
    <row r="116" spans="3:3" x14ac:dyDescent="0.2">
      <c r="C116" s="212"/>
    </row>
    <row r="117" spans="3:3" x14ac:dyDescent="0.2">
      <c r="C117" s="212"/>
    </row>
    <row r="118" spans="3:3" x14ac:dyDescent="0.2">
      <c r="C118" s="212"/>
    </row>
    <row r="119" spans="3:3" x14ac:dyDescent="0.2">
      <c r="C119" s="212"/>
    </row>
    <row r="120" spans="3:3" x14ac:dyDescent="0.2">
      <c r="C120" s="212"/>
    </row>
    <row r="121" spans="3:3" x14ac:dyDescent="0.2">
      <c r="C121" s="212"/>
    </row>
    <row r="122" spans="3:3" x14ac:dyDescent="0.2">
      <c r="C122" s="212"/>
    </row>
    <row r="123" spans="3:3" x14ac:dyDescent="0.2">
      <c r="C123" s="212"/>
    </row>
    <row r="124" spans="3:3" x14ac:dyDescent="0.2">
      <c r="C124" s="212"/>
    </row>
    <row r="125" spans="3:3" x14ac:dyDescent="0.2">
      <c r="C125" s="212"/>
    </row>
    <row r="126" spans="3:3" x14ac:dyDescent="0.2">
      <c r="C126" s="212"/>
    </row>
    <row r="127" spans="3:3" x14ac:dyDescent="0.2">
      <c r="C127" s="212"/>
    </row>
    <row r="128" spans="3:3" x14ac:dyDescent="0.2">
      <c r="C128" s="212"/>
    </row>
    <row r="129" spans="3:3" x14ac:dyDescent="0.2">
      <c r="C129" s="212"/>
    </row>
    <row r="130" spans="3:3" x14ac:dyDescent="0.2">
      <c r="C130" s="212"/>
    </row>
    <row r="131" spans="3:3" x14ac:dyDescent="0.2">
      <c r="C131" s="212"/>
    </row>
    <row r="132" spans="3:3" x14ac:dyDescent="0.2">
      <c r="C132" s="212"/>
    </row>
    <row r="133" spans="3:3" x14ac:dyDescent="0.2">
      <c r="C133" s="212"/>
    </row>
    <row r="134" spans="3:3" x14ac:dyDescent="0.2">
      <c r="C134" s="212"/>
    </row>
    <row r="135" spans="3:3" x14ac:dyDescent="0.2">
      <c r="C135" s="212"/>
    </row>
    <row r="136" spans="3:3" x14ac:dyDescent="0.2">
      <c r="C136" s="212"/>
    </row>
    <row r="137" spans="3:3" x14ac:dyDescent="0.2">
      <c r="C137" s="212"/>
    </row>
    <row r="138" spans="3:3" x14ac:dyDescent="0.2">
      <c r="C138" s="212"/>
    </row>
    <row r="139" spans="3:3" x14ac:dyDescent="0.2">
      <c r="C139" s="212"/>
    </row>
    <row r="140" spans="3:3" x14ac:dyDescent="0.2">
      <c r="C140" s="212"/>
    </row>
    <row r="141" spans="3:3" x14ac:dyDescent="0.2">
      <c r="C141" s="212"/>
    </row>
    <row r="142" spans="3:3" x14ac:dyDescent="0.2">
      <c r="C142" s="212"/>
    </row>
    <row r="143" spans="3:3" x14ac:dyDescent="0.2">
      <c r="C143" s="212"/>
    </row>
    <row r="144" spans="3:3" x14ac:dyDescent="0.2">
      <c r="C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row r="160" spans="3:3" x14ac:dyDescent="0.2">
      <c r="C160" s="212"/>
    </row>
    <row r="161" spans="3:3" x14ac:dyDescent="0.2">
      <c r="C161" s="212"/>
    </row>
    <row r="162" spans="3:3" x14ac:dyDescent="0.2">
      <c r="C162" s="212"/>
    </row>
    <row r="163" spans="3:3" x14ac:dyDescent="0.2">
      <c r="C163" s="212"/>
    </row>
    <row r="164" spans="3:3" x14ac:dyDescent="0.2">
      <c r="C164" s="212"/>
    </row>
  </sheetData>
  <phoneticPr fontId="0" type="noConversion"/>
  <hyperlinks>
    <hyperlink ref="A1" location="'420 DPW'!A1" display="Main 440" xr:uid="{00000000-0004-0000-2300-000000000000}"/>
    <hyperlink ref="B1" location="'Table of Contents'!A1" display="TOC" xr:uid="{00000000-0004-0000-2300-000001000000}"/>
  </hyperlinks>
  <pageMargins left="0.75" right="0.75" top="1" bottom="1" header="0.5" footer="0.5"/>
  <pageSetup scale="92" fitToHeight="2" orientation="landscape" r:id="rId1"/>
  <headerFooter alignWithMargins="0">
    <oddFooter>&amp;L&amp;D&amp;T&amp;C&amp;F&amp;R&amp;A</oddFooter>
  </headerFooter>
  <rowBreaks count="1" manualBreakCount="1">
    <brk id="27"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J276"/>
  <sheetViews>
    <sheetView tabSelected="1" topLeftCell="A85" workbookViewId="0">
      <selection activeCell="B112" sqref="B112"/>
    </sheetView>
  </sheetViews>
  <sheetFormatPr defaultRowHeight="12.75" x14ac:dyDescent="0.2"/>
  <cols>
    <col min="1" max="1" width="8.83203125" style="619"/>
    <col min="2" max="2" width="12" style="903" customWidth="1"/>
    <col min="3" max="3" width="31.83203125" style="619" customWidth="1"/>
    <col min="4" max="4" width="11.5" style="619" customWidth="1"/>
    <col min="5" max="6" width="8.83203125" style="619"/>
    <col min="7" max="7" width="10.5" style="619" bestFit="1" customWidth="1"/>
    <col min="8" max="8" width="11" style="619" customWidth="1"/>
    <col min="9" max="9" width="13" style="619" bestFit="1" customWidth="1"/>
    <col min="10" max="10" width="12" style="619" customWidth="1"/>
    <col min="11" max="11" width="11.83203125" customWidth="1"/>
    <col min="12" max="12" width="10.5" bestFit="1" customWidth="1"/>
  </cols>
  <sheetData>
    <row r="1" spans="2:9" x14ac:dyDescent="0.2">
      <c r="B1" s="927" t="s">
        <v>197</v>
      </c>
      <c r="C1" s="619" t="s">
        <v>198</v>
      </c>
    </row>
    <row r="2" spans="2:9" x14ac:dyDescent="0.2">
      <c r="C2" s="903">
        <v>43831</v>
      </c>
      <c r="D2" s="926">
        <v>12.75</v>
      </c>
      <c r="E2" s="619" t="s">
        <v>199</v>
      </c>
    </row>
    <row r="3" spans="2:9" x14ac:dyDescent="0.2">
      <c r="C3" s="903">
        <v>44197</v>
      </c>
      <c r="D3" s="926">
        <v>13.5</v>
      </c>
      <c r="E3" s="619" t="s">
        <v>200</v>
      </c>
    </row>
    <row r="4" spans="2:9" x14ac:dyDescent="0.2">
      <c r="C4" s="903">
        <v>44562</v>
      </c>
      <c r="D4" s="926">
        <v>14.25</v>
      </c>
      <c r="E4" s="619" t="s">
        <v>201</v>
      </c>
    </row>
    <row r="5" spans="2:9" x14ac:dyDescent="0.2">
      <c r="C5" s="903">
        <v>44927</v>
      </c>
      <c r="D5" s="926">
        <v>15</v>
      </c>
      <c r="E5" s="619" t="s">
        <v>202</v>
      </c>
    </row>
    <row r="7" spans="2:9" x14ac:dyDescent="0.2">
      <c r="B7" s="903">
        <v>44819</v>
      </c>
      <c r="C7" s="619" t="s">
        <v>203</v>
      </c>
    </row>
    <row r="8" spans="2:9" x14ac:dyDescent="0.2">
      <c r="B8" s="903">
        <v>44823</v>
      </c>
      <c r="C8" s="619" t="s">
        <v>204</v>
      </c>
    </row>
    <row r="9" spans="2:9" x14ac:dyDescent="0.2">
      <c r="B9" s="903">
        <v>44825</v>
      </c>
      <c r="C9" s="619" t="s">
        <v>205</v>
      </c>
    </row>
    <row r="10" spans="2:9" x14ac:dyDescent="0.2">
      <c r="B10" s="903">
        <v>44823</v>
      </c>
      <c r="C10" s="619" t="s">
        <v>206</v>
      </c>
    </row>
    <row r="11" spans="2:9" x14ac:dyDescent="0.2">
      <c r="B11" s="903">
        <v>44825</v>
      </c>
      <c r="C11" s="619" t="s">
        <v>207</v>
      </c>
    </row>
    <row r="13" spans="2:9" x14ac:dyDescent="0.2">
      <c r="C13" s="619" t="s">
        <v>208</v>
      </c>
    </row>
    <row r="14" spans="2:9" x14ac:dyDescent="0.2">
      <c r="B14" s="903">
        <v>44825</v>
      </c>
      <c r="C14" s="619" t="s">
        <v>209</v>
      </c>
    </row>
    <row r="15" spans="2:9" x14ac:dyDescent="0.2">
      <c r="B15" s="903">
        <v>44824</v>
      </c>
      <c r="C15" s="619" t="s">
        <v>210</v>
      </c>
    </row>
    <row r="16" spans="2:9" x14ac:dyDescent="0.2">
      <c r="D16" s="619" t="s">
        <v>211</v>
      </c>
      <c r="G16" s="619" t="s">
        <v>212</v>
      </c>
      <c r="H16" s="619" t="s">
        <v>213</v>
      </c>
      <c r="I16" s="619" t="s">
        <v>214</v>
      </c>
    </row>
    <row r="17" spans="2:9" x14ac:dyDescent="0.2">
      <c r="D17" s="619" t="s">
        <v>215</v>
      </c>
      <c r="G17" s="928">
        <v>0</v>
      </c>
      <c r="H17" s="928">
        <v>0</v>
      </c>
      <c r="I17" s="928">
        <v>0</v>
      </c>
    </row>
    <row r="18" spans="2:9" x14ac:dyDescent="0.2">
      <c r="D18" s="619" t="s">
        <v>216</v>
      </c>
      <c r="G18" s="928">
        <v>0</v>
      </c>
      <c r="H18" s="928">
        <v>0</v>
      </c>
      <c r="I18" s="928">
        <v>0</v>
      </c>
    </row>
    <row r="19" spans="2:9" x14ac:dyDescent="0.2">
      <c r="D19" s="619" t="s">
        <v>217</v>
      </c>
    </row>
    <row r="20" spans="2:9" x14ac:dyDescent="0.2">
      <c r="D20" s="619" t="s">
        <v>218</v>
      </c>
    </row>
    <row r="21" spans="2:9" x14ac:dyDescent="0.2">
      <c r="D21" s="619" t="s">
        <v>219</v>
      </c>
      <c r="E21" s="928">
        <f>(35*52)</f>
        <v>1820</v>
      </c>
    </row>
    <row r="22" spans="2:9" x14ac:dyDescent="0.2">
      <c r="D22" s="619" t="s">
        <v>220</v>
      </c>
      <c r="E22" s="928">
        <f>52*35</f>
        <v>1820</v>
      </c>
    </row>
    <row r="23" spans="2:9" x14ac:dyDescent="0.2">
      <c r="D23" s="619" t="s">
        <v>221</v>
      </c>
      <c r="E23" s="928">
        <f>(40*52)</f>
        <v>2080</v>
      </c>
    </row>
    <row r="24" spans="2:9" x14ac:dyDescent="0.2">
      <c r="D24" s="619" t="s">
        <v>222</v>
      </c>
      <c r="E24" s="928">
        <f>(40*52)</f>
        <v>2080</v>
      </c>
    </row>
    <row r="25" spans="2:9" x14ac:dyDescent="0.2">
      <c r="D25" s="619" t="s">
        <v>223</v>
      </c>
      <c r="E25" s="928" t="s">
        <v>224</v>
      </c>
    </row>
    <row r="26" spans="2:9" x14ac:dyDescent="0.2">
      <c r="D26" s="619" t="s">
        <v>225</v>
      </c>
      <c r="E26" s="928">
        <v>1975</v>
      </c>
      <c r="F26" s="619" t="s">
        <v>226</v>
      </c>
    </row>
    <row r="28" spans="2:9" x14ac:dyDescent="0.2">
      <c r="B28" s="903">
        <v>44826</v>
      </c>
      <c r="C28" s="619" t="s">
        <v>227</v>
      </c>
    </row>
    <row r="29" spans="2:9" x14ac:dyDescent="0.2">
      <c r="B29" s="903">
        <v>44832</v>
      </c>
      <c r="C29" s="619" t="s">
        <v>228</v>
      </c>
    </row>
    <row r="30" spans="2:9" x14ac:dyDescent="0.2">
      <c r="B30" s="903">
        <v>44852</v>
      </c>
      <c r="C30" s="619" t="s">
        <v>229</v>
      </c>
    </row>
    <row r="31" spans="2:9" x14ac:dyDescent="0.2">
      <c r="B31" s="903">
        <v>44853</v>
      </c>
      <c r="C31" s="619" t="s">
        <v>230</v>
      </c>
    </row>
    <row r="32" spans="2:9" x14ac:dyDescent="0.2">
      <c r="B32" s="903">
        <v>44853</v>
      </c>
      <c r="C32" s="929" t="s">
        <v>231</v>
      </c>
      <c r="F32" s="903"/>
    </row>
    <row r="33" spans="2:6" x14ac:dyDescent="0.2">
      <c r="B33" s="903">
        <v>44853</v>
      </c>
      <c r="C33" s="929" t="s">
        <v>232</v>
      </c>
      <c r="F33" s="903"/>
    </row>
    <row r="34" spans="2:6" x14ac:dyDescent="0.2">
      <c r="B34" s="903">
        <v>44865</v>
      </c>
      <c r="C34" s="929" t="s">
        <v>233</v>
      </c>
      <c r="F34" s="903"/>
    </row>
    <row r="35" spans="2:6" x14ac:dyDescent="0.2">
      <c r="B35" s="903">
        <v>44894</v>
      </c>
      <c r="C35" s="929" t="s">
        <v>2153</v>
      </c>
      <c r="F35" s="903"/>
    </row>
    <row r="36" spans="2:6" x14ac:dyDescent="0.2">
      <c r="C36" s="929"/>
      <c r="F36" s="903"/>
    </row>
    <row r="37" spans="2:6" x14ac:dyDescent="0.2">
      <c r="B37" s="903">
        <v>44902</v>
      </c>
      <c r="C37" s="929" t="s">
        <v>2227</v>
      </c>
      <c r="F37" s="903"/>
    </row>
    <row r="38" spans="2:6" x14ac:dyDescent="0.2">
      <c r="B38" s="903">
        <v>44903</v>
      </c>
      <c r="C38" s="929" t="s">
        <v>2228</v>
      </c>
      <c r="F38" s="903"/>
    </row>
    <row r="39" spans="2:6" x14ac:dyDescent="0.2">
      <c r="B39" s="903">
        <v>44907</v>
      </c>
      <c r="C39" s="929" t="s">
        <v>2323</v>
      </c>
      <c r="F39" s="903"/>
    </row>
    <row r="40" spans="2:6" x14ac:dyDescent="0.2">
      <c r="B40" s="903">
        <v>44908</v>
      </c>
      <c r="C40" s="929" t="s">
        <v>2324</v>
      </c>
      <c r="F40" s="903"/>
    </row>
    <row r="41" spans="2:6" x14ac:dyDescent="0.2">
      <c r="C41" s="929" t="s">
        <v>2325</v>
      </c>
      <c r="F41" s="903"/>
    </row>
    <row r="42" spans="2:6" x14ac:dyDescent="0.2">
      <c r="C42" s="1057" t="s">
        <v>2326</v>
      </c>
      <c r="F42" s="903"/>
    </row>
    <row r="43" spans="2:6" x14ac:dyDescent="0.2">
      <c r="C43" s="929" t="s">
        <v>2327</v>
      </c>
      <c r="F43" s="903"/>
    </row>
    <row r="44" spans="2:6" x14ac:dyDescent="0.2">
      <c r="C44" s="907" t="s">
        <v>2328</v>
      </c>
      <c r="F44" s="903"/>
    </row>
    <row r="45" spans="2:6" x14ac:dyDescent="0.2">
      <c r="B45" s="903">
        <v>44909</v>
      </c>
      <c r="C45" s="929" t="s">
        <v>2367</v>
      </c>
      <c r="F45" s="903"/>
    </row>
    <row r="46" spans="2:6" x14ac:dyDescent="0.2">
      <c r="C46" s="929" t="s">
        <v>2368</v>
      </c>
      <c r="F46" s="903"/>
    </row>
    <row r="47" spans="2:6" x14ac:dyDescent="0.2">
      <c r="C47" s="929" t="s">
        <v>2370</v>
      </c>
      <c r="F47" s="903"/>
    </row>
    <row r="48" spans="2:6" x14ac:dyDescent="0.2">
      <c r="C48" s="929" t="s">
        <v>2372</v>
      </c>
      <c r="F48" s="903"/>
    </row>
    <row r="49" spans="2:6" x14ac:dyDescent="0.2">
      <c r="C49" s="929" t="s">
        <v>2373</v>
      </c>
      <c r="F49" s="903"/>
    </row>
    <row r="50" spans="2:6" x14ac:dyDescent="0.2">
      <c r="C50" s="929" t="s">
        <v>2375</v>
      </c>
      <c r="F50" s="903"/>
    </row>
    <row r="51" spans="2:6" x14ac:dyDescent="0.2">
      <c r="C51" s="929" t="s">
        <v>2378</v>
      </c>
      <c r="F51" s="903"/>
    </row>
    <row r="52" spans="2:6" x14ac:dyDescent="0.2">
      <c r="C52" s="929" t="s">
        <v>2382</v>
      </c>
      <c r="F52" s="903"/>
    </row>
    <row r="53" spans="2:6" x14ac:dyDescent="0.2">
      <c r="B53" s="903">
        <v>44915</v>
      </c>
      <c r="C53" s="929" t="s">
        <v>2384</v>
      </c>
      <c r="F53" s="903"/>
    </row>
    <row r="54" spans="2:6" x14ac:dyDescent="0.2">
      <c r="C54" s="929" t="s">
        <v>2385</v>
      </c>
      <c r="F54" s="903"/>
    </row>
    <row r="55" spans="2:6" x14ac:dyDescent="0.2">
      <c r="B55" s="903">
        <v>44923</v>
      </c>
      <c r="C55" s="929" t="s">
        <v>2387</v>
      </c>
      <c r="F55" s="903"/>
    </row>
    <row r="56" spans="2:6" x14ac:dyDescent="0.2">
      <c r="C56" s="929" t="s">
        <v>2388</v>
      </c>
      <c r="F56" s="903"/>
    </row>
    <row r="57" spans="2:6" x14ac:dyDescent="0.2">
      <c r="B57" s="903">
        <v>44931</v>
      </c>
      <c r="C57" s="929" t="s">
        <v>2389</v>
      </c>
      <c r="F57" s="903"/>
    </row>
    <row r="58" spans="2:6" x14ac:dyDescent="0.2">
      <c r="C58" s="929" t="s">
        <v>2391</v>
      </c>
      <c r="F58" s="903"/>
    </row>
    <row r="59" spans="2:6" x14ac:dyDescent="0.2">
      <c r="B59" s="903">
        <v>44936</v>
      </c>
      <c r="C59" s="929" t="s">
        <v>2402</v>
      </c>
      <c r="F59" s="903"/>
    </row>
    <row r="60" spans="2:6" x14ac:dyDescent="0.2">
      <c r="C60" s="929" t="s">
        <v>2406</v>
      </c>
      <c r="F60" s="903"/>
    </row>
    <row r="61" spans="2:6" x14ac:dyDescent="0.2">
      <c r="C61" s="929" t="s">
        <v>2408</v>
      </c>
      <c r="F61" s="903"/>
    </row>
    <row r="62" spans="2:6" x14ac:dyDescent="0.2">
      <c r="B62" s="903">
        <v>44937</v>
      </c>
      <c r="C62" s="929" t="s">
        <v>2417</v>
      </c>
      <c r="F62" s="903"/>
    </row>
    <row r="63" spans="2:6" x14ac:dyDescent="0.2">
      <c r="C63" s="929" t="s">
        <v>2418</v>
      </c>
      <c r="F63" s="903"/>
    </row>
    <row r="64" spans="2:6" x14ac:dyDescent="0.2">
      <c r="B64" s="54">
        <v>44937</v>
      </c>
      <c r="C64" s="4" t="s">
        <v>2420</v>
      </c>
      <c r="F64" s="903"/>
    </row>
    <row r="65" spans="2:6" x14ac:dyDescent="0.2">
      <c r="B65" s="903">
        <v>44943</v>
      </c>
      <c r="C65" s="929" t="s">
        <v>2429</v>
      </c>
      <c r="F65" s="903"/>
    </row>
    <row r="66" spans="2:6" x14ac:dyDescent="0.2">
      <c r="C66" s="929" t="s">
        <v>2421</v>
      </c>
      <c r="F66" s="903"/>
    </row>
    <row r="67" spans="2:6" x14ac:dyDescent="0.2">
      <c r="B67" s="903">
        <v>44944</v>
      </c>
      <c r="C67" s="929" t="s">
        <v>2425</v>
      </c>
      <c r="F67" s="903"/>
    </row>
    <row r="68" spans="2:6" x14ac:dyDescent="0.2">
      <c r="C68" s="929" t="s">
        <v>2426</v>
      </c>
      <c r="F68" s="903"/>
    </row>
    <row r="69" spans="2:6" x14ac:dyDescent="0.2">
      <c r="B69" s="903">
        <v>44945</v>
      </c>
      <c r="C69" s="929" t="s">
        <v>2430</v>
      </c>
      <c r="F69" s="903"/>
    </row>
    <row r="70" spans="2:6" x14ac:dyDescent="0.2">
      <c r="B70" s="903">
        <v>44949</v>
      </c>
      <c r="C70" s="929" t="s">
        <v>2454</v>
      </c>
      <c r="F70" s="903"/>
    </row>
    <row r="71" spans="2:6" x14ac:dyDescent="0.2">
      <c r="B71" s="903">
        <v>44950</v>
      </c>
      <c r="C71" s="929" t="s">
        <v>2438</v>
      </c>
      <c r="F71" s="903"/>
    </row>
    <row r="72" spans="2:6" x14ac:dyDescent="0.2">
      <c r="C72" s="929" t="s">
        <v>2445</v>
      </c>
      <c r="F72" s="903"/>
    </row>
    <row r="73" spans="2:6" x14ac:dyDescent="0.2">
      <c r="B73" s="903">
        <v>44951</v>
      </c>
      <c r="C73" s="929" t="s">
        <v>2449</v>
      </c>
      <c r="F73" s="903"/>
    </row>
    <row r="74" spans="2:6" x14ac:dyDescent="0.2">
      <c r="C74" s="929" t="s">
        <v>2450</v>
      </c>
      <c r="F74" s="903"/>
    </row>
    <row r="75" spans="2:6" x14ac:dyDescent="0.2">
      <c r="C75" s="929" t="s">
        <v>2452</v>
      </c>
      <c r="F75" s="903"/>
    </row>
    <row r="76" spans="2:6" x14ac:dyDescent="0.2">
      <c r="B76" s="903">
        <v>44964</v>
      </c>
      <c r="C76" s="929" t="s">
        <v>2455</v>
      </c>
      <c r="F76" s="903"/>
    </row>
    <row r="77" spans="2:6" x14ac:dyDescent="0.2">
      <c r="C77" s="929" t="s">
        <v>2456</v>
      </c>
      <c r="F77" s="903"/>
    </row>
    <row r="78" spans="2:6" x14ac:dyDescent="0.2">
      <c r="C78" s="619" t="s">
        <v>2457</v>
      </c>
      <c r="F78" s="903"/>
    </row>
    <row r="79" spans="2:6" x14ac:dyDescent="0.2">
      <c r="C79" s="929" t="s">
        <v>2458</v>
      </c>
      <c r="F79" s="903"/>
    </row>
    <row r="80" spans="2:6" x14ac:dyDescent="0.2">
      <c r="B80" s="903">
        <v>44970</v>
      </c>
      <c r="C80" s="929" t="s">
        <v>2460</v>
      </c>
      <c r="F80" s="903"/>
    </row>
    <row r="81" spans="2:6" x14ac:dyDescent="0.2">
      <c r="C81" s="929" t="s">
        <v>2463</v>
      </c>
      <c r="F81" s="903"/>
    </row>
    <row r="82" spans="2:6" x14ac:dyDescent="0.2">
      <c r="B82" s="903">
        <v>44971</v>
      </c>
      <c r="C82" s="929" t="s">
        <v>2464</v>
      </c>
      <c r="F82" s="903"/>
    </row>
    <row r="83" spans="2:6" x14ac:dyDescent="0.2">
      <c r="C83" s="929" t="s">
        <v>2467</v>
      </c>
      <c r="F83" s="903"/>
    </row>
    <row r="84" spans="2:6" x14ac:dyDescent="0.2">
      <c r="B84" s="903">
        <v>44978</v>
      </c>
      <c r="C84" s="929" t="s">
        <v>2468</v>
      </c>
      <c r="F84" s="903"/>
    </row>
    <row r="85" spans="2:6" x14ac:dyDescent="0.2">
      <c r="C85" s="929" t="s">
        <v>2470</v>
      </c>
      <c r="F85" s="903"/>
    </row>
    <row r="86" spans="2:6" x14ac:dyDescent="0.2">
      <c r="B86" s="903">
        <v>44980</v>
      </c>
      <c r="C86" s="929" t="s">
        <v>2485</v>
      </c>
      <c r="F86" s="903"/>
    </row>
    <row r="87" spans="2:6" x14ac:dyDescent="0.2">
      <c r="C87" s="929" t="s">
        <v>2487</v>
      </c>
      <c r="F87" s="903"/>
    </row>
    <row r="88" spans="2:6" x14ac:dyDescent="0.2">
      <c r="B88" s="903">
        <v>44984</v>
      </c>
      <c r="C88" s="929" t="s">
        <v>2491</v>
      </c>
      <c r="F88" s="903"/>
    </row>
    <row r="89" spans="2:6" x14ac:dyDescent="0.2">
      <c r="C89" s="929" t="s">
        <v>2490</v>
      </c>
      <c r="F89" s="903"/>
    </row>
    <row r="90" spans="2:6" x14ac:dyDescent="0.2">
      <c r="C90" s="929" t="s">
        <v>2492</v>
      </c>
      <c r="F90" s="903"/>
    </row>
    <row r="91" spans="2:6" x14ac:dyDescent="0.2">
      <c r="B91" s="903">
        <v>44985</v>
      </c>
      <c r="C91" s="929" t="s">
        <v>2493</v>
      </c>
      <c r="F91" s="903"/>
    </row>
    <row r="92" spans="2:6" x14ac:dyDescent="0.2">
      <c r="C92" s="929" t="s">
        <v>2502</v>
      </c>
      <c r="F92" s="903"/>
    </row>
    <row r="93" spans="2:6" x14ac:dyDescent="0.2">
      <c r="C93" s="929" t="s">
        <v>2503</v>
      </c>
      <c r="F93" s="903"/>
    </row>
    <row r="94" spans="2:6" x14ac:dyDescent="0.2">
      <c r="C94" s="929" t="s">
        <v>2504</v>
      </c>
      <c r="F94" s="903"/>
    </row>
    <row r="95" spans="2:6" x14ac:dyDescent="0.2">
      <c r="C95" s="1057" t="s">
        <v>2505</v>
      </c>
      <c r="F95" s="903"/>
    </row>
    <row r="96" spans="2:6" x14ac:dyDescent="0.2">
      <c r="B96" s="903">
        <v>44986</v>
      </c>
      <c r="C96" s="929" t="s">
        <v>2506</v>
      </c>
      <c r="F96" s="903"/>
    </row>
    <row r="97" spans="2:6" x14ac:dyDescent="0.2">
      <c r="B97" s="903">
        <v>44991</v>
      </c>
      <c r="C97" s="929" t="s">
        <v>2508</v>
      </c>
      <c r="F97" s="903"/>
    </row>
    <row r="98" spans="2:6" x14ac:dyDescent="0.2">
      <c r="B98" s="903">
        <v>44993</v>
      </c>
      <c r="C98" s="929" t="s">
        <v>2519</v>
      </c>
      <c r="F98" s="903"/>
    </row>
    <row r="99" spans="2:6" x14ac:dyDescent="0.2">
      <c r="C99" s="929" t="s">
        <v>2520</v>
      </c>
      <c r="F99" s="903"/>
    </row>
    <row r="100" spans="2:6" x14ac:dyDescent="0.2">
      <c r="C100" s="4" t="s">
        <v>2521</v>
      </c>
      <c r="F100" s="903"/>
    </row>
    <row r="101" spans="2:6" x14ac:dyDescent="0.2">
      <c r="B101" s="54">
        <v>44994</v>
      </c>
      <c r="C101" s="4" t="s">
        <v>2531</v>
      </c>
      <c r="F101" s="903"/>
    </row>
    <row r="102" spans="2:6" x14ac:dyDescent="0.2">
      <c r="B102" s="54"/>
      <c r="C102" s="4" t="s">
        <v>2533</v>
      </c>
      <c r="F102" s="903"/>
    </row>
    <row r="103" spans="2:6" x14ac:dyDescent="0.2">
      <c r="B103" s="54"/>
      <c r="C103" s="4" t="s">
        <v>2534</v>
      </c>
      <c r="F103" s="903"/>
    </row>
    <row r="104" spans="2:6" x14ac:dyDescent="0.2">
      <c r="B104" s="54"/>
      <c r="C104" s="745" t="s">
        <v>2535</v>
      </c>
      <c r="F104" s="903"/>
    </row>
    <row r="105" spans="2:6" x14ac:dyDescent="0.2">
      <c r="B105" s="54"/>
      <c r="C105" s="745" t="s">
        <v>2536</v>
      </c>
      <c r="F105" s="903"/>
    </row>
    <row r="106" spans="2:6" x14ac:dyDescent="0.2">
      <c r="B106" s="54"/>
      <c r="C106" s="745" t="s">
        <v>2537</v>
      </c>
      <c r="F106" s="903"/>
    </row>
    <row r="107" spans="2:6" x14ac:dyDescent="0.2">
      <c r="B107" s="54"/>
      <c r="C107" s="4" t="s">
        <v>2538</v>
      </c>
      <c r="F107" s="903"/>
    </row>
    <row r="108" spans="2:6" x14ac:dyDescent="0.2">
      <c r="B108" s="54"/>
      <c r="C108" s="4" t="s">
        <v>2544</v>
      </c>
      <c r="F108" s="903"/>
    </row>
    <row r="109" spans="2:6" x14ac:dyDescent="0.2">
      <c r="B109" s="54"/>
      <c r="C109" s="4" t="s">
        <v>2545</v>
      </c>
      <c r="F109" s="903"/>
    </row>
    <row r="110" spans="2:6" x14ac:dyDescent="0.2">
      <c r="B110" s="54"/>
      <c r="C110" s="4" t="s">
        <v>2546</v>
      </c>
      <c r="F110" s="903"/>
    </row>
    <row r="111" spans="2:6" x14ac:dyDescent="0.2">
      <c r="B111" s="54">
        <v>44994</v>
      </c>
      <c r="C111" s="4" t="s">
        <v>2547</v>
      </c>
      <c r="F111" s="903"/>
    </row>
    <row r="112" spans="2:6" x14ac:dyDescent="0.2">
      <c r="B112" s="54"/>
      <c r="C112" s="4"/>
      <c r="F112" s="903"/>
    </row>
    <row r="113" spans="2:6" x14ac:dyDescent="0.2">
      <c r="B113" s="54"/>
      <c r="C113" s="4"/>
      <c r="F113" s="903"/>
    </row>
    <row r="114" spans="2:6" x14ac:dyDescent="0.2">
      <c r="B114" s="54"/>
      <c r="C114" s="4"/>
      <c r="F114" s="903"/>
    </row>
    <row r="115" spans="2:6" x14ac:dyDescent="0.2">
      <c r="B115" s="54"/>
      <c r="C115" s="4"/>
      <c r="F115" s="903"/>
    </row>
    <row r="116" spans="2:6" x14ac:dyDescent="0.2">
      <c r="B116" s="54"/>
      <c r="C116" s="4"/>
      <c r="F116" s="903"/>
    </row>
    <row r="117" spans="2:6" x14ac:dyDescent="0.2">
      <c r="B117" s="54"/>
      <c r="C117" s="4"/>
      <c r="F117" s="903"/>
    </row>
    <row r="118" spans="2:6" x14ac:dyDescent="0.2">
      <c r="C118" s="4"/>
      <c r="F118" s="903"/>
    </row>
    <row r="119" spans="2:6" x14ac:dyDescent="0.2">
      <c r="C119" s="4"/>
      <c r="F119" s="903"/>
    </row>
    <row r="120" spans="2:6" x14ac:dyDescent="0.2">
      <c r="C120" s="4"/>
      <c r="F120" s="903"/>
    </row>
    <row r="121" spans="2:6" x14ac:dyDescent="0.2">
      <c r="C121" s="4"/>
      <c r="F121" s="903"/>
    </row>
    <row r="122" spans="2:6" x14ac:dyDescent="0.2">
      <c r="C122" s="4"/>
      <c r="F122" s="903"/>
    </row>
    <row r="123" spans="2:6" x14ac:dyDescent="0.2">
      <c r="C123" s="4"/>
      <c r="F123" s="903"/>
    </row>
    <row r="124" spans="2:6" x14ac:dyDescent="0.2">
      <c r="C124" s="4"/>
      <c r="F124" s="903"/>
    </row>
    <row r="125" spans="2:6" x14ac:dyDescent="0.2">
      <c r="C125" s="4"/>
      <c r="F125" s="903"/>
    </row>
    <row r="126" spans="2:6" x14ac:dyDescent="0.2">
      <c r="C126" s="4"/>
      <c r="F126" s="903"/>
    </row>
    <row r="127" spans="2:6" x14ac:dyDescent="0.2">
      <c r="C127" s="4"/>
      <c r="F127" s="903"/>
    </row>
    <row r="128" spans="2:6" x14ac:dyDescent="0.2">
      <c r="C128" s="4"/>
      <c r="F128" s="903"/>
    </row>
    <row r="129" spans="2:6" x14ac:dyDescent="0.2">
      <c r="C129" s="4"/>
      <c r="F129" s="903"/>
    </row>
    <row r="130" spans="2:6" x14ac:dyDescent="0.2">
      <c r="C130" s="4"/>
      <c r="F130" s="903"/>
    </row>
    <row r="131" spans="2:6" x14ac:dyDescent="0.2">
      <c r="C131" s="4"/>
      <c r="F131" s="903"/>
    </row>
    <row r="132" spans="2:6" x14ac:dyDescent="0.2">
      <c r="B132" s="1033"/>
      <c r="C132" s="4" t="s">
        <v>234</v>
      </c>
      <c r="F132" s="903"/>
    </row>
    <row r="133" spans="2:6" x14ac:dyDescent="0.2">
      <c r="C133" s="4"/>
      <c r="F133" s="903"/>
    </row>
    <row r="134" spans="2:6" x14ac:dyDescent="0.2">
      <c r="C134" s="929"/>
      <c r="F134" s="903"/>
    </row>
    <row r="135" spans="2:6" x14ac:dyDescent="0.2">
      <c r="C135" s="929"/>
      <c r="F135" s="903"/>
    </row>
    <row r="136" spans="2:6" x14ac:dyDescent="0.2">
      <c r="B136" s="903" t="s">
        <v>235</v>
      </c>
      <c r="C136" s="929"/>
      <c r="F136" s="903"/>
    </row>
    <row r="137" spans="2:6" x14ac:dyDescent="0.2">
      <c r="B137" s="903" t="s">
        <v>236</v>
      </c>
      <c r="C137" s="929"/>
      <c r="F137" s="903"/>
    </row>
    <row r="138" spans="2:6" x14ac:dyDescent="0.2">
      <c r="C138" s="929"/>
      <c r="F138" s="903"/>
    </row>
    <row r="139" spans="2:6" x14ac:dyDescent="0.2">
      <c r="C139" s="929"/>
      <c r="F139" s="903"/>
    </row>
    <row r="140" spans="2:6" x14ac:dyDescent="0.2">
      <c r="B140" s="903" t="s">
        <v>237</v>
      </c>
      <c r="C140" s="929"/>
      <c r="F140" s="903"/>
    </row>
    <row r="141" spans="2:6" x14ac:dyDescent="0.2">
      <c r="C141" s="929" t="s">
        <v>238</v>
      </c>
      <c r="F141" s="903"/>
    </row>
    <row r="142" spans="2:6" x14ac:dyDescent="0.2">
      <c r="C142" s="929" t="s">
        <v>239</v>
      </c>
      <c r="F142" s="903"/>
    </row>
    <row r="143" spans="2:6" x14ac:dyDescent="0.2">
      <c r="C143" s="929"/>
      <c r="F143" s="903"/>
    </row>
    <row r="144" spans="2:6" x14ac:dyDescent="0.2">
      <c r="C144" s="929" t="s">
        <v>240</v>
      </c>
      <c r="F144" s="903"/>
    </row>
    <row r="145" spans="2:6" x14ac:dyDescent="0.2">
      <c r="B145" s="903" t="s">
        <v>241</v>
      </c>
      <c r="C145" s="929" t="s">
        <v>242</v>
      </c>
      <c r="F145" s="903"/>
    </row>
    <row r="146" spans="2:6" x14ac:dyDescent="0.2">
      <c r="C146" s="929" t="s">
        <v>243</v>
      </c>
      <c r="F146" s="903"/>
    </row>
    <row r="147" spans="2:6" x14ac:dyDescent="0.2">
      <c r="C147" s="929"/>
      <c r="F147" s="903"/>
    </row>
    <row r="148" spans="2:6" x14ac:dyDescent="0.2">
      <c r="C148" s="929"/>
      <c r="F148" s="903"/>
    </row>
    <row r="149" spans="2:6" x14ac:dyDescent="0.2">
      <c r="C149" s="929" t="s">
        <v>196</v>
      </c>
      <c r="F149" s="903"/>
    </row>
    <row r="150" spans="2:6" x14ac:dyDescent="0.2">
      <c r="C150" s="929" t="s">
        <v>244</v>
      </c>
      <c r="F150" s="903"/>
    </row>
    <row r="151" spans="2:6" x14ac:dyDescent="0.2">
      <c r="C151" s="929" t="s">
        <v>195</v>
      </c>
      <c r="F151" s="903"/>
    </row>
    <row r="152" spans="2:6" x14ac:dyDescent="0.2">
      <c r="C152" s="929" t="s">
        <v>245</v>
      </c>
      <c r="F152" s="903"/>
    </row>
    <row r="153" spans="2:6" x14ac:dyDescent="0.2">
      <c r="C153" s="929" t="s">
        <v>246</v>
      </c>
      <c r="F153" s="903"/>
    </row>
    <row r="154" spans="2:6" x14ac:dyDescent="0.2">
      <c r="C154" s="929" t="s">
        <v>247</v>
      </c>
      <c r="F154" s="903"/>
    </row>
    <row r="155" spans="2:6" x14ac:dyDescent="0.2">
      <c r="C155" s="929"/>
      <c r="F155" s="903"/>
    </row>
    <row r="156" spans="2:6" x14ac:dyDescent="0.2">
      <c r="C156" s="929"/>
      <c r="F156" s="903"/>
    </row>
    <row r="157" spans="2:6" x14ac:dyDescent="0.2">
      <c r="F157" s="903"/>
    </row>
    <row r="158" spans="2:6" x14ac:dyDescent="0.2">
      <c r="C158" s="929"/>
      <c r="F158" s="903"/>
    </row>
    <row r="159" spans="2:6" x14ac:dyDescent="0.2">
      <c r="C159" s="929"/>
      <c r="F159" s="903"/>
    </row>
    <row r="160" spans="2:6" x14ac:dyDescent="0.2">
      <c r="C160" s="929"/>
      <c r="F160" s="903"/>
    </row>
    <row r="161" spans="3:6" x14ac:dyDescent="0.2">
      <c r="C161" s="929"/>
      <c r="F161" s="903"/>
    </row>
    <row r="162" spans="3:6" x14ac:dyDescent="0.2">
      <c r="C162" s="929"/>
      <c r="F162" s="903"/>
    </row>
    <row r="163" spans="3:6" x14ac:dyDescent="0.2">
      <c r="C163" s="929"/>
      <c r="F163" s="903"/>
    </row>
    <row r="164" spans="3:6" x14ac:dyDescent="0.2">
      <c r="C164" s="929"/>
      <c r="F164" s="903"/>
    </row>
    <row r="165" spans="3:6" x14ac:dyDescent="0.2">
      <c r="C165" s="929"/>
      <c r="F165" s="903"/>
    </row>
    <row r="166" spans="3:6" x14ac:dyDescent="0.2">
      <c r="C166" s="929"/>
      <c r="F166" s="903"/>
    </row>
    <row r="167" spans="3:6" x14ac:dyDescent="0.2">
      <c r="C167" s="929"/>
      <c r="F167" s="903"/>
    </row>
    <row r="168" spans="3:6" x14ac:dyDescent="0.2">
      <c r="C168" s="929"/>
      <c r="F168" s="903"/>
    </row>
    <row r="169" spans="3:6" x14ac:dyDescent="0.2">
      <c r="C169" s="929"/>
      <c r="F169" s="903"/>
    </row>
    <row r="170" spans="3:6" x14ac:dyDescent="0.2">
      <c r="C170" s="929"/>
      <c r="F170" s="903"/>
    </row>
    <row r="171" spans="3:6" x14ac:dyDescent="0.2">
      <c r="C171" s="929"/>
      <c r="F171" s="903"/>
    </row>
    <row r="172" spans="3:6" x14ac:dyDescent="0.2">
      <c r="C172" s="929"/>
      <c r="F172" s="903"/>
    </row>
    <row r="173" spans="3:6" x14ac:dyDescent="0.2">
      <c r="C173" s="929"/>
      <c r="F173" s="903"/>
    </row>
    <row r="174" spans="3:6" x14ac:dyDescent="0.2">
      <c r="C174" s="929"/>
      <c r="F174" s="903"/>
    </row>
    <row r="175" spans="3:6" x14ac:dyDescent="0.2">
      <c r="C175" s="929"/>
      <c r="F175" s="903"/>
    </row>
    <row r="176" spans="3:6" x14ac:dyDescent="0.2">
      <c r="C176" s="929"/>
      <c r="F176" s="903"/>
    </row>
    <row r="177" spans="3:6" x14ac:dyDescent="0.2">
      <c r="C177" s="929"/>
      <c r="F177" s="903"/>
    </row>
    <row r="178" spans="3:6" x14ac:dyDescent="0.2">
      <c r="C178" s="929"/>
      <c r="F178" s="903"/>
    </row>
    <row r="179" spans="3:6" x14ac:dyDescent="0.2">
      <c r="C179" s="929"/>
      <c r="F179" s="903"/>
    </row>
    <row r="180" spans="3:6" x14ac:dyDescent="0.2">
      <c r="C180" s="929"/>
      <c r="F180" s="903"/>
    </row>
    <row r="181" spans="3:6" x14ac:dyDescent="0.2">
      <c r="C181" s="929"/>
      <c r="F181" s="903"/>
    </row>
    <row r="182" spans="3:6" x14ac:dyDescent="0.2">
      <c r="C182" s="929"/>
      <c r="F182" s="903"/>
    </row>
    <row r="183" spans="3:6" x14ac:dyDescent="0.2">
      <c r="C183" s="929"/>
      <c r="F183" s="903"/>
    </row>
    <row r="184" spans="3:6" x14ac:dyDescent="0.2">
      <c r="C184" s="929"/>
      <c r="F184" s="903"/>
    </row>
    <row r="185" spans="3:6" x14ac:dyDescent="0.2">
      <c r="C185" s="929"/>
      <c r="F185" s="903"/>
    </row>
    <row r="186" spans="3:6" x14ac:dyDescent="0.2">
      <c r="C186" s="929"/>
      <c r="F186" s="903"/>
    </row>
    <row r="187" spans="3:6" x14ac:dyDescent="0.2">
      <c r="C187" s="929"/>
      <c r="F187" s="903"/>
    </row>
    <row r="188" spans="3:6" x14ac:dyDescent="0.2">
      <c r="C188" s="929"/>
      <c r="F188" s="903"/>
    </row>
    <row r="189" spans="3:6" x14ac:dyDescent="0.2">
      <c r="C189" s="929"/>
      <c r="F189" s="903"/>
    </row>
    <row r="190" spans="3:6" x14ac:dyDescent="0.2">
      <c r="C190" s="929"/>
    </row>
    <row r="191" spans="3:6" x14ac:dyDescent="0.2">
      <c r="C191" s="929"/>
    </row>
    <row r="192" spans="3:6" x14ac:dyDescent="0.2">
      <c r="C192" s="929"/>
    </row>
    <row r="193" spans="3:6" x14ac:dyDescent="0.2">
      <c r="C193" s="929"/>
    </row>
    <row r="194" spans="3:6" x14ac:dyDescent="0.2">
      <c r="C194" s="929"/>
    </row>
    <row r="195" spans="3:6" x14ac:dyDescent="0.2">
      <c r="C195" s="929"/>
    </row>
    <row r="196" spans="3:6" x14ac:dyDescent="0.2">
      <c r="C196" s="929"/>
    </row>
    <row r="197" spans="3:6" x14ac:dyDescent="0.2">
      <c r="C197" s="929"/>
      <c r="F197" s="903"/>
    </row>
    <row r="198" spans="3:6" x14ac:dyDescent="0.2">
      <c r="C198" s="929"/>
      <c r="F198" s="903"/>
    </row>
    <row r="199" spans="3:6" x14ac:dyDescent="0.2">
      <c r="C199" s="929"/>
    </row>
    <row r="200" spans="3:6" x14ac:dyDescent="0.2">
      <c r="C200" s="929"/>
    </row>
    <row r="201" spans="3:6" x14ac:dyDescent="0.2">
      <c r="C201" s="929"/>
    </row>
    <row r="202" spans="3:6" x14ac:dyDescent="0.2">
      <c r="C202" s="929"/>
    </row>
    <row r="203" spans="3:6" x14ac:dyDescent="0.2">
      <c r="C203" s="929"/>
    </row>
    <row r="204" spans="3:6" x14ac:dyDescent="0.2">
      <c r="C204" s="929"/>
    </row>
    <row r="205" spans="3:6" x14ac:dyDescent="0.2">
      <c r="C205" s="929"/>
    </row>
    <row r="206" spans="3:6" x14ac:dyDescent="0.2">
      <c r="C206" s="929"/>
    </row>
    <row r="207" spans="3:6" x14ac:dyDescent="0.2">
      <c r="C207" s="929"/>
    </row>
    <row r="208" spans="3:6" x14ac:dyDescent="0.2">
      <c r="C208" s="929"/>
    </row>
    <row r="209" spans="3:7" x14ac:dyDescent="0.2">
      <c r="C209" s="929"/>
    </row>
    <row r="210" spans="3:7" x14ac:dyDescent="0.2">
      <c r="C210" s="929"/>
    </row>
    <row r="211" spans="3:7" x14ac:dyDescent="0.2">
      <c r="C211" s="929"/>
    </row>
    <row r="212" spans="3:7" x14ac:dyDescent="0.2">
      <c r="C212" s="929"/>
    </row>
    <row r="224" spans="3:7" x14ac:dyDescent="0.2">
      <c r="E224" s="930"/>
      <c r="G224" s="930"/>
    </row>
    <row r="243" spans="1:10" s="76" customFormat="1" x14ac:dyDescent="0.2">
      <c r="A243" s="619"/>
      <c r="B243" s="903"/>
      <c r="C243" s="619"/>
      <c r="D243" s="619"/>
      <c r="E243" s="619"/>
      <c r="F243" s="619"/>
      <c r="G243" s="619"/>
      <c r="H243" s="619"/>
      <c r="I243" s="619"/>
      <c r="J243" s="619"/>
    </row>
    <row r="244" spans="1:10" s="76" customFormat="1" x14ac:dyDescent="0.2">
      <c r="A244" s="619"/>
      <c r="B244" s="903"/>
      <c r="C244" s="619"/>
      <c r="D244" s="619"/>
      <c r="E244" s="619"/>
      <c r="F244" s="619"/>
      <c r="G244" s="619"/>
      <c r="H244" s="619"/>
      <c r="I244" s="619"/>
      <c r="J244" s="619"/>
    </row>
    <row r="245" spans="1:10" s="76" customFormat="1" x14ac:dyDescent="0.2">
      <c r="A245" s="619"/>
      <c r="B245" s="903"/>
      <c r="C245" s="619"/>
      <c r="D245" s="619"/>
      <c r="E245" s="619"/>
      <c r="F245" s="619"/>
      <c r="G245" s="619"/>
      <c r="H245" s="619"/>
      <c r="I245" s="619"/>
      <c r="J245" s="619"/>
    </row>
    <row r="246" spans="1:10" s="76" customFormat="1" x14ac:dyDescent="0.2">
      <c r="A246" s="619"/>
      <c r="B246" s="903"/>
      <c r="C246" s="619"/>
      <c r="D246" s="619"/>
      <c r="E246" s="619"/>
      <c r="F246" s="619"/>
      <c r="G246" s="619"/>
      <c r="H246" s="619"/>
      <c r="I246" s="619"/>
      <c r="J246" s="619"/>
    </row>
    <row r="247" spans="1:10" s="76" customFormat="1" x14ac:dyDescent="0.2">
      <c r="A247" s="619"/>
      <c r="B247" s="903"/>
      <c r="C247" s="619"/>
      <c r="D247" s="619"/>
      <c r="E247" s="619"/>
      <c r="F247" s="619"/>
      <c r="G247" s="619"/>
      <c r="H247" s="619"/>
      <c r="I247" s="619"/>
      <c r="J247" s="619"/>
    </row>
    <row r="248" spans="1:10" s="76" customFormat="1" x14ac:dyDescent="0.2">
      <c r="A248" s="619"/>
      <c r="B248" s="903"/>
      <c r="C248" s="619"/>
      <c r="D248" s="619"/>
      <c r="E248" s="619"/>
      <c r="F248" s="619"/>
      <c r="G248" s="619"/>
      <c r="H248" s="619"/>
      <c r="I248" s="619"/>
      <c r="J248" s="619"/>
    </row>
    <row r="249" spans="1:10" s="76" customFormat="1" x14ac:dyDescent="0.2">
      <c r="A249" s="619"/>
      <c r="B249" s="903"/>
      <c r="C249" s="619"/>
      <c r="D249" s="619"/>
      <c r="E249" s="619"/>
      <c r="F249" s="619"/>
      <c r="G249" s="619"/>
      <c r="H249" s="619"/>
      <c r="I249" s="619"/>
      <c r="J249" s="619"/>
    </row>
    <row r="250" spans="1:10" s="76" customFormat="1" x14ac:dyDescent="0.2">
      <c r="A250" s="619"/>
      <c r="B250" s="903"/>
      <c r="C250" s="619"/>
      <c r="D250" s="619"/>
      <c r="E250" s="619"/>
      <c r="F250" s="619"/>
      <c r="G250" s="619"/>
      <c r="H250" s="619"/>
      <c r="I250" s="619"/>
      <c r="J250" s="619"/>
    </row>
    <row r="251" spans="1:10" s="76" customFormat="1" x14ac:dyDescent="0.2">
      <c r="A251" s="619"/>
      <c r="B251" s="903"/>
      <c r="C251" s="619"/>
      <c r="D251" s="619"/>
      <c r="E251" s="619"/>
      <c r="F251" s="619"/>
      <c r="G251" s="619"/>
      <c r="H251" s="619"/>
      <c r="I251" s="619"/>
      <c r="J251" s="619"/>
    </row>
    <row r="252" spans="1:10" s="76" customFormat="1" x14ac:dyDescent="0.2">
      <c r="A252" s="619"/>
      <c r="B252" s="931"/>
      <c r="C252" s="619"/>
      <c r="D252" s="623"/>
      <c r="E252" s="619"/>
      <c r="F252" s="619"/>
      <c r="G252" s="619"/>
      <c r="H252" s="619"/>
      <c r="I252" s="619"/>
      <c r="J252" s="619"/>
    </row>
    <row r="253" spans="1:10" x14ac:dyDescent="0.2">
      <c r="D253" s="623"/>
    </row>
    <row r="254" spans="1:10" x14ac:dyDescent="0.2">
      <c r="D254" s="623"/>
    </row>
    <row r="255" spans="1:10" x14ac:dyDescent="0.2">
      <c r="D255" s="623"/>
    </row>
    <row r="256" spans="1:10" x14ac:dyDescent="0.2">
      <c r="D256" s="623"/>
    </row>
    <row r="257" spans="4:4" x14ac:dyDescent="0.2">
      <c r="D257" s="623"/>
    </row>
    <row r="258" spans="4:4" x14ac:dyDescent="0.2">
      <c r="D258" s="623"/>
    </row>
    <row r="274" spans="7:9" x14ac:dyDescent="0.2">
      <c r="G274" s="932"/>
      <c r="H274" s="932"/>
      <c r="I274" s="638"/>
    </row>
    <row r="275" spans="7:9" x14ac:dyDescent="0.2">
      <c r="G275" s="932"/>
      <c r="H275" s="932"/>
      <c r="I275" s="638"/>
    </row>
    <row r="276" spans="7:9" x14ac:dyDescent="0.2">
      <c r="G276" s="638"/>
      <c r="H276" s="638"/>
      <c r="I276" s="638"/>
    </row>
  </sheetData>
  <phoneticPr fontId="0" type="noConversion"/>
  <hyperlinks>
    <hyperlink ref="B1" location="'Table of Contents'!A1" display="TOC" xr:uid="{00000000-0004-0000-0100-000000000000}"/>
  </hyperlinks>
  <pageMargins left="0.75" right="0.75" top="1" bottom="1" header="0.5" footer="0.5"/>
  <pageSetup scale="24"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pageSetUpPr fitToPage="1"/>
  </sheetPr>
  <dimension ref="A1:W180"/>
  <sheetViews>
    <sheetView workbookViewId="0">
      <pane ySplit="7" topLeftCell="A8" activePane="bottomLeft" state="frozen"/>
      <selection activeCell="P15" sqref="P15"/>
      <selection pane="bottomLeft" activeCell="Q10" sqref="Q10"/>
    </sheetView>
  </sheetViews>
  <sheetFormatPr defaultRowHeight="12.75" x14ac:dyDescent="0.2"/>
  <cols>
    <col min="1" max="1" width="12" style="783" bestFit="1" customWidth="1"/>
    <col min="2" max="2" width="36.6640625" customWidth="1"/>
    <col min="3" max="3" width="14.5" style="1" hidden="1" customWidth="1"/>
    <col min="4" max="9" width="14.5" style="106" hidden="1" customWidth="1"/>
    <col min="10" max="10" width="17.5" style="106" hidden="1" customWidth="1"/>
    <col min="11" max="12" width="14.5" style="106" hidden="1" customWidth="1"/>
    <col min="13" max="15" width="14.5" style="106" customWidth="1"/>
    <col min="16" max="16" width="14.5" customWidth="1"/>
    <col min="17" max="19" width="14.5" style="1" customWidth="1"/>
    <col min="20" max="22" width="14.5" customWidth="1"/>
    <col min="23" max="23" width="14.6640625" style="2" customWidth="1"/>
  </cols>
  <sheetData>
    <row r="1" spans="1:22" x14ac:dyDescent="0.2">
      <c r="A1" s="772" t="s">
        <v>1359</v>
      </c>
      <c r="B1" s="308" t="s">
        <v>197</v>
      </c>
      <c r="D1" s="212"/>
      <c r="E1" s="212"/>
      <c r="F1" s="212"/>
      <c r="G1" s="212"/>
      <c r="H1" s="212"/>
      <c r="I1" s="212"/>
      <c r="J1" s="212"/>
      <c r="K1" s="212"/>
      <c r="L1" s="212"/>
      <c r="M1" s="212"/>
      <c r="N1" s="212"/>
      <c r="O1" s="212"/>
    </row>
    <row r="2" spans="1:22" ht="15" x14ac:dyDescent="0.25">
      <c r="A2" s="773" t="s">
        <v>1286</v>
      </c>
      <c r="B2" s="43"/>
      <c r="C2" s="126" t="s">
        <v>816</v>
      </c>
      <c r="D2" s="212"/>
      <c r="E2" s="126"/>
      <c r="F2" s="212"/>
      <c r="G2" s="212"/>
      <c r="H2" s="212"/>
      <c r="I2" s="126" t="s">
        <v>1366</v>
      </c>
      <c r="J2" s="126"/>
      <c r="K2" s="126"/>
      <c r="L2" s="126"/>
      <c r="M2" s="126"/>
      <c r="N2" s="126"/>
      <c r="O2" s="126"/>
      <c r="P2" s="1"/>
      <c r="S2" s="44" t="s">
        <v>1367</v>
      </c>
    </row>
    <row r="3" spans="1:22" ht="13.5" thickBot="1" x14ac:dyDescent="0.25">
      <c r="A3" s="774"/>
      <c r="B3" s="4"/>
      <c r="C3" s="23"/>
      <c r="D3" s="23"/>
      <c r="E3" s="23"/>
      <c r="F3" s="23"/>
      <c r="G3" s="23"/>
      <c r="H3" s="23"/>
      <c r="I3" s="23"/>
      <c r="J3" s="23"/>
      <c r="K3" s="23"/>
      <c r="L3" s="23"/>
      <c r="M3" s="23"/>
      <c r="N3" s="23"/>
      <c r="O3" s="23"/>
      <c r="P3" s="4"/>
      <c r="Q3" s="23"/>
      <c r="R3" s="23"/>
      <c r="S3" s="4"/>
      <c r="V3" s="4"/>
    </row>
    <row r="4" spans="1:22"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2"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2" x14ac:dyDescent="0.2">
      <c r="A6" s="776"/>
      <c r="B6" s="202"/>
      <c r="C6" s="113"/>
      <c r="D6" s="113"/>
      <c r="E6" s="113"/>
      <c r="F6" s="113"/>
      <c r="G6" s="113"/>
      <c r="H6" s="113"/>
      <c r="I6" s="83"/>
      <c r="J6" s="83"/>
      <c r="K6" s="83"/>
      <c r="L6" s="83"/>
      <c r="M6" s="83"/>
      <c r="N6" s="83"/>
      <c r="O6" s="83"/>
      <c r="P6" s="113"/>
      <c r="Q6" s="83" t="s">
        <v>823</v>
      </c>
      <c r="R6" s="83" t="s">
        <v>585</v>
      </c>
      <c r="S6" s="45" t="s">
        <v>824</v>
      </c>
    </row>
    <row r="7" spans="1:22"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2" ht="13.5" thickTop="1" x14ac:dyDescent="0.2">
      <c r="A8" s="778"/>
      <c r="B8" s="157"/>
      <c r="C8" s="115"/>
      <c r="D8" s="268"/>
      <c r="E8" s="268"/>
      <c r="F8" s="268"/>
      <c r="G8" s="268"/>
      <c r="H8" s="268"/>
      <c r="I8" s="268"/>
      <c r="J8" s="268"/>
      <c r="K8" s="146"/>
      <c r="L8" s="146"/>
      <c r="M8" s="146"/>
      <c r="N8" s="146"/>
      <c r="O8" s="146"/>
      <c r="P8" s="59"/>
      <c r="Q8" s="10"/>
      <c r="R8" s="10"/>
      <c r="S8" s="10"/>
    </row>
    <row r="9" spans="1:22" x14ac:dyDescent="0.2">
      <c r="A9" s="779">
        <v>5112</v>
      </c>
      <c r="B9" s="60" t="s">
        <v>1362</v>
      </c>
      <c r="C9" s="329">
        <v>544527.98</v>
      </c>
      <c r="D9" s="13">
        <f>165.7+562801.37+6191.59</f>
        <v>569158.65999999992</v>
      </c>
      <c r="E9" s="128">
        <v>540718.27</v>
      </c>
      <c r="F9" s="128">
        <v>563154.73</v>
      </c>
      <c r="G9" s="128">
        <v>552355.14</v>
      </c>
      <c r="H9" s="128">
        <v>574134.86</v>
      </c>
      <c r="I9" s="13">
        <v>575220.31999999995</v>
      </c>
      <c r="J9" s="13">
        <v>614836.76</v>
      </c>
      <c r="K9" s="14">
        <v>653676</v>
      </c>
      <c r="L9" s="13">
        <v>624063.51</v>
      </c>
      <c r="M9" s="14">
        <v>671995</v>
      </c>
      <c r="N9" s="13">
        <v>640631.53</v>
      </c>
      <c r="O9" s="14">
        <f>5213+2918+685516</f>
        <v>693647</v>
      </c>
      <c r="P9" s="13">
        <v>337569.53</v>
      </c>
      <c r="Q9" s="610">
        <f>ROUND((SUM('420 DPW'!P69:P90)-'192 Public Bldgs'!Q9-'652 Parks'!Q9-'433 Solid Waste'!Q10),0)</f>
        <v>798349</v>
      </c>
      <c r="R9" s="14"/>
      <c r="S9" s="14"/>
    </row>
    <row r="10" spans="1:22" x14ac:dyDescent="0.2">
      <c r="A10" s="779">
        <v>5132</v>
      </c>
      <c r="B10" s="60" t="s">
        <v>1291</v>
      </c>
      <c r="C10" s="329">
        <f>232.1+5303.32</f>
        <v>5535.42</v>
      </c>
      <c r="D10" s="13">
        <f>136.61+5676.65</f>
        <v>5813.2599999999993</v>
      </c>
      <c r="E10" s="128">
        <v>4186.1000000000004</v>
      </c>
      <c r="F10" s="128">
        <v>3549.91</v>
      </c>
      <c r="G10" s="128">
        <v>5071.6400000000003</v>
      </c>
      <c r="H10" s="128">
        <v>3526.98</v>
      </c>
      <c r="I10" s="13">
        <v>8376.17</v>
      </c>
      <c r="J10" s="13">
        <v>8075.79</v>
      </c>
      <c r="K10" s="14">
        <v>9000</v>
      </c>
      <c r="L10" s="13">
        <v>15259.18</v>
      </c>
      <c r="M10" s="14">
        <v>12000</v>
      </c>
      <c r="N10" s="13">
        <v>19688.22</v>
      </c>
      <c r="O10" s="14">
        <v>12250</v>
      </c>
      <c r="P10" s="13">
        <v>8270.1200000000008</v>
      </c>
      <c r="Q10" s="14">
        <v>15000</v>
      </c>
      <c r="R10" s="14"/>
      <c r="S10" s="14"/>
    </row>
    <row r="11" spans="1:22" x14ac:dyDescent="0.2">
      <c r="A11" s="779">
        <v>5142</v>
      </c>
      <c r="B11" s="60" t="s">
        <v>1368</v>
      </c>
      <c r="C11" s="587">
        <v>5672.24</v>
      </c>
      <c r="D11" s="35">
        <f>19.09+5997.6</f>
        <v>6016.6900000000005</v>
      </c>
      <c r="E11" s="218">
        <v>6103.83</v>
      </c>
      <c r="F11" s="218">
        <v>6067.31</v>
      </c>
      <c r="G11" s="218">
        <v>7744.66</v>
      </c>
      <c r="H11" s="218">
        <v>10630.82</v>
      </c>
      <c r="I11" s="35">
        <v>11076.36</v>
      </c>
      <c r="J11" s="35">
        <v>13959.15</v>
      </c>
      <c r="K11" s="36">
        <v>15000</v>
      </c>
      <c r="L11" s="35">
        <v>13998.01</v>
      </c>
      <c r="M11" s="36">
        <v>18000</v>
      </c>
      <c r="N11" s="35">
        <v>14132.03</v>
      </c>
      <c r="O11" s="36">
        <f>845+2470+17000</f>
        <v>20315</v>
      </c>
      <c r="P11" s="35">
        <v>10578.25</v>
      </c>
      <c r="Q11" s="36">
        <v>16800</v>
      </c>
      <c r="R11" s="36"/>
      <c r="S11" s="36"/>
    </row>
    <row r="12" spans="1:22" x14ac:dyDescent="0.2">
      <c r="A12" s="779">
        <v>5144</v>
      </c>
      <c r="B12" s="60" t="s">
        <v>27</v>
      </c>
      <c r="C12" s="329">
        <v>2600</v>
      </c>
      <c r="D12" s="13">
        <v>3750</v>
      </c>
      <c r="E12" s="128">
        <v>3000</v>
      </c>
      <c r="F12" s="128">
        <v>2200</v>
      </c>
      <c r="G12" s="128">
        <v>4140</v>
      </c>
      <c r="H12" s="128">
        <v>3620</v>
      </c>
      <c r="I12" s="13">
        <v>3640</v>
      </c>
      <c r="J12" s="13">
        <v>3400</v>
      </c>
      <c r="K12" s="14">
        <v>3000</v>
      </c>
      <c r="L12" s="13">
        <v>2000</v>
      </c>
      <c r="M12" s="14">
        <v>3600</v>
      </c>
      <c r="N12" s="13">
        <v>1700</v>
      </c>
      <c r="O12" s="14">
        <f>1100+1000</f>
        <v>2100</v>
      </c>
      <c r="P12" s="13">
        <v>600</v>
      </c>
      <c r="Q12" s="14">
        <v>3700</v>
      </c>
      <c r="R12" s="14"/>
      <c r="S12" s="14"/>
    </row>
    <row r="13" spans="1:22" x14ac:dyDescent="0.2">
      <c r="A13" s="779">
        <v>5145</v>
      </c>
      <c r="B13" s="60" t="s">
        <v>1148</v>
      </c>
      <c r="C13" s="329">
        <v>600.08000000000004</v>
      </c>
      <c r="D13" s="13">
        <v>842.42</v>
      </c>
      <c r="E13" s="128">
        <v>1200.1600000000001</v>
      </c>
      <c r="F13" s="128">
        <v>1223.24</v>
      </c>
      <c r="G13" s="128">
        <v>1119.3800000000001</v>
      </c>
      <c r="H13" s="128">
        <v>946.28</v>
      </c>
      <c r="I13" s="13">
        <v>1488.66</v>
      </c>
      <c r="J13" s="13">
        <v>1500.2</v>
      </c>
      <c r="K13" s="14">
        <v>1525</v>
      </c>
      <c r="L13" s="13">
        <v>1529.05</v>
      </c>
      <c r="M13" s="14">
        <v>1525</v>
      </c>
      <c r="N13" s="13">
        <v>1217.47</v>
      </c>
      <c r="O13" s="14">
        <v>1525</v>
      </c>
      <c r="P13" s="13">
        <v>375.05</v>
      </c>
      <c r="Q13" s="14">
        <v>1525</v>
      </c>
      <c r="R13" s="14"/>
      <c r="S13" s="14"/>
    </row>
    <row r="14" spans="1:22" x14ac:dyDescent="0.2">
      <c r="A14" s="779">
        <v>5193</v>
      </c>
      <c r="B14" s="60" t="s">
        <v>941</v>
      </c>
      <c r="C14" s="329"/>
      <c r="D14" s="13"/>
      <c r="E14" s="128">
        <v>9799.56</v>
      </c>
      <c r="F14" s="128"/>
      <c r="G14" s="128">
        <v>2150.5</v>
      </c>
      <c r="H14" s="128">
        <v>4111.34</v>
      </c>
      <c r="I14" s="13">
        <v>8358</v>
      </c>
      <c r="J14" s="13">
        <v>5172.6400000000003</v>
      </c>
      <c r="K14" s="14"/>
      <c r="L14" s="13">
        <v>1303.8</v>
      </c>
      <c r="M14" s="14">
        <v>11292</v>
      </c>
      <c r="N14" s="13">
        <v>21174.18</v>
      </c>
      <c r="O14" s="14">
        <v>0</v>
      </c>
      <c r="P14" s="13">
        <v>854.8</v>
      </c>
      <c r="Q14" s="14">
        <v>0</v>
      </c>
      <c r="R14" s="14"/>
      <c r="S14" s="14"/>
    </row>
    <row r="15" spans="1:22" ht="13.5" thickBot="1" x14ac:dyDescent="0.25">
      <c r="A15" s="779">
        <v>5194</v>
      </c>
      <c r="B15" s="60" t="s">
        <v>942</v>
      </c>
      <c r="C15" s="598"/>
      <c r="D15" s="37"/>
      <c r="E15" s="271">
        <v>5134.3</v>
      </c>
      <c r="F15" s="271"/>
      <c r="G15" s="271">
        <v>1553.75</v>
      </c>
      <c r="H15" s="271">
        <v>7000</v>
      </c>
      <c r="I15" s="37">
        <v>3500</v>
      </c>
      <c r="J15" s="37">
        <v>709.2</v>
      </c>
      <c r="K15" s="38"/>
      <c r="L15" s="37"/>
      <c r="M15" s="38">
        <v>4200</v>
      </c>
      <c r="N15" s="37">
        <v>4791.7299999999996</v>
      </c>
      <c r="O15" s="38">
        <v>0</v>
      </c>
      <c r="P15" s="37"/>
      <c r="Q15" s="38">
        <v>0</v>
      </c>
      <c r="R15" s="38"/>
      <c r="S15" s="38"/>
    </row>
    <row r="16" spans="1:22" x14ac:dyDescent="0.2">
      <c r="A16" s="779"/>
      <c r="B16" s="61" t="s">
        <v>828</v>
      </c>
      <c r="C16" s="330">
        <f t="shared" ref="C16:S16" si="0">SUM(C9:C15)</f>
        <v>558935.72</v>
      </c>
      <c r="D16" s="18">
        <f t="shared" si="0"/>
        <v>585581.02999999991</v>
      </c>
      <c r="E16" s="18">
        <f t="shared" si="0"/>
        <v>570142.22000000009</v>
      </c>
      <c r="F16" s="18">
        <f t="shared" ref="F16:N16" si="1">SUM(F9:F15)</f>
        <v>576195.19000000006</v>
      </c>
      <c r="G16" s="18">
        <f t="shared" si="1"/>
        <v>574135.07000000007</v>
      </c>
      <c r="H16" s="18">
        <f t="shared" si="1"/>
        <v>603970.27999999991</v>
      </c>
      <c r="I16" s="18">
        <f t="shared" si="1"/>
        <v>611659.51</v>
      </c>
      <c r="J16" s="18">
        <f t="shared" si="1"/>
        <v>647653.74</v>
      </c>
      <c r="K16" s="34">
        <f t="shared" si="1"/>
        <v>682201</v>
      </c>
      <c r="L16" s="18">
        <f t="shared" si="1"/>
        <v>658153.55000000016</v>
      </c>
      <c r="M16" s="34">
        <f>SUM(M9:M15)</f>
        <v>722612</v>
      </c>
      <c r="N16" s="18">
        <f t="shared" si="1"/>
        <v>703335.16</v>
      </c>
      <c r="O16" s="34">
        <f>SUM(O9:O15)</f>
        <v>729837</v>
      </c>
      <c r="P16" s="18">
        <f t="shared" si="0"/>
        <v>358247.75</v>
      </c>
      <c r="Q16" s="34">
        <f>SUM(Q9:Q15)</f>
        <v>835374</v>
      </c>
      <c r="R16" s="34">
        <f>SUM(R9:R15)</f>
        <v>0</v>
      </c>
      <c r="S16" s="34">
        <f t="shared" si="0"/>
        <v>0</v>
      </c>
    </row>
    <row r="17" spans="1:19" x14ac:dyDescent="0.2">
      <c r="A17" s="779"/>
      <c r="B17" s="60"/>
      <c r="C17" s="329"/>
      <c r="D17" s="13"/>
      <c r="E17" s="13"/>
      <c r="F17" s="13"/>
      <c r="G17" s="13"/>
      <c r="H17" s="13"/>
      <c r="I17" s="13"/>
      <c r="J17" s="13"/>
      <c r="K17" s="14"/>
      <c r="L17" s="13"/>
      <c r="M17" s="14"/>
      <c r="N17" s="13"/>
      <c r="O17" s="14"/>
      <c r="P17" s="13"/>
      <c r="Q17" s="14"/>
      <c r="R17" s="14"/>
      <c r="S17" s="14"/>
    </row>
    <row r="18" spans="1:19" x14ac:dyDescent="0.2">
      <c r="A18" s="779">
        <v>5242</v>
      </c>
      <c r="B18" s="60" t="s">
        <v>1293</v>
      </c>
      <c r="C18" s="329"/>
      <c r="D18" s="18">
        <v>1665</v>
      </c>
      <c r="E18" s="112">
        <v>687.54</v>
      </c>
      <c r="F18" s="112">
        <v>402.95</v>
      </c>
      <c r="G18" s="112">
        <v>4779.55</v>
      </c>
      <c r="H18" s="112">
        <v>537.5</v>
      </c>
      <c r="I18" s="112">
        <v>1744.45</v>
      </c>
      <c r="J18" s="112">
        <v>127.2</v>
      </c>
      <c r="K18" s="19">
        <v>3500</v>
      </c>
      <c r="L18" s="112">
        <v>7138.77</v>
      </c>
      <c r="M18" s="19">
        <v>3500</v>
      </c>
      <c r="N18" s="112">
        <v>5505.9</v>
      </c>
      <c r="O18" s="19">
        <v>7100</v>
      </c>
      <c r="P18" s="18">
        <v>120</v>
      </c>
      <c r="Q18" s="19">
        <v>7100</v>
      </c>
      <c r="R18" s="19"/>
      <c r="S18" s="19"/>
    </row>
    <row r="19" spans="1:19" x14ac:dyDescent="0.2">
      <c r="A19" s="779">
        <v>5245</v>
      </c>
      <c r="B19" s="12" t="s">
        <v>1295</v>
      </c>
      <c r="C19" s="128">
        <v>15640.85</v>
      </c>
      <c r="D19" s="18">
        <v>20923.13</v>
      </c>
      <c r="E19" s="112">
        <v>22296.94</v>
      </c>
      <c r="F19" s="112">
        <v>34754.76</v>
      </c>
      <c r="G19" s="112">
        <v>23394.59</v>
      </c>
      <c r="H19" s="112">
        <v>24713.51</v>
      </c>
      <c r="I19" s="112">
        <v>17661.330000000002</v>
      </c>
      <c r="J19" s="112">
        <v>27018.75</v>
      </c>
      <c r="K19" s="19">
        <v>30000</v>
      </c>
      <c r="L19" s="112">
        <v>28032.21</v>
      </c>
      <c r="M19" s="19">
        <v>35000</v>
      </c>
      <c r="N19" s="112">
        <v>20669.34</v>
      </c>
      <c r="O19" s="19">
        <v>35000</v>
      </c>
      <c r="P19" s="18">
        <v>4538.92</v>
      </c>
      <c r="Q19" s="19">
        <v>35000</v>
      </c>
      <c r="R19" s="19"/>
      <c r="S19" s="19"/>
    </row>
    <row r="20" spans="1:19" x14ac:dyDescent="0.2">
      <c r="A20" s="779">
        <v>5248</v>
      </c>
      <c r="B20" s="12" t="s">
        <v>1369</v>
      </c>
      <c r="C20" s="128"/>
      <c r="D20" s="18">
        <v>0</v>
      </c>
      <c r="E20" s="112">
        <v>503.29</v>
      </c>
      <c r="F20" s="112">
        <v>88</v>
      </c>
      <c r="G20" s="112"/>
      <c r="H20" s="112">
        <v>264</v>
      </c>
      <c r="I20" s="112">
        <v>0</v>
      </c>
      <c r="J20" s="112">
        <v>88</v>
      </c>
      <c r="K20" s="19">
        <v>4200</v>
      </c>
      <c r="L20" s="112"/>
      <c r="M20" s="19">
        <v>4200</v>
      </c>
      <c r="N20" s="112">
        <v>608.99</v>
      </c>
      <c r="O20" s="19">
        <v>2000</v>
      </c>
      <c r="P20" s="18"/>
      <c r="Q20" s="19">
        <v>2000</v>
      </c>
      <c r="R20" s="19"/>
      <c r="S20" s="19"/>
    </row>
    <row r="21" spans="1:19" x14ac:dyDescent="0.2">
      <c r="A21" s="779">
        <v>5251</v>
      </c>
      <c r="B21" s="12" t="s">
        <v>1297</v>
      </c>
      <c r="C21" s="265">
        <v>2288.5700000000002</v>
      </c>
      <c r="D21" s="18">
        <v>3552.43</v>
      </c>
      <c r="E21" s="112">
        <v>5595.84</v>
      </c>
      <c r="F21" s="112">
        <v>5335.59</v>
      </c>
      <c r="G21" s="112">
        <v>3066.56</v>
      </c>
      <c r="H21" s="112">
        <v>5616.81</v>
      </c>
      <c r="I21" s="112">
        <f>428.65+6818.24</f>
        <v>7246.8899999999994</v>
      </c>
      <c r="J21" s="112">
        <v>5396.62</v>
      </c>
      <c r="K21" s="19">
        <v>4500</v>
      </c>
      <c r="L21" s="112">
        <v>7949.81</v>
      </c>
      <c r="M21" s="19">
        <v>7000</v>
      </c>
      <c r="N21" s="112">
        <v>10283.67</v>
      </c>
      <c r="O21" s="19">
        <v>9200</v>
      </c>
      <c r="P21" s="18">
        <v>8315.43</v>
      </c>
      <c r="Q21" s="19">
        <v>9200</v>
      </c>
      <c r="R21" s="19"/>
      <c r="S21" s="19"/>
    </row>
    <row r="22" spans="1:19" hidden="1" x14ac:dyDescent="0.2">
      <c r="A22" s="779">
        <v>5277</v>
      </c>
      <c r="B22" s="12" t="s">
        <v>1298</v>
      </c>
      <c r="C22" s="128"/>
      <c r="D22" s="18">
        <v>0</v>
      </c>
      <c r="E22" s="112"/>
      <c r="F22" s="112"/>
      <c r="G22" s="112"/>
      <c r="H22" s="112"/>
      <c r="I22" s="112"/>
      <c r="J22" s="112"/>
      <c r="K22" s="19"/>
      <c r="L22" s="112"/>
      <c r="M22" s="19"/>
      <c r="N22" s="112"/>
      <c r="O22" s="19"/>
      <c r="P22" s="18"/>
      <c r="Q22" s="19"/>
      <c r="R22" s="19"/>
      <c r="S22" s="19"/>
    </row>
    <row r="23" spans="1:19" hidden="1" x14ac:dyDescent="0.2">
      <c r="A23" s="779">
        <v>5278</v>
      </c>
      <c r="B23" s="12" t="s">
        <v>1370</v>
      </c>
      <c r="C23" s="128">
        <v>6254.36</v>
      </c>
      <c r="D23" s="18">
        <v>7210.2</v>
      </c>
      <c r="E23" s="112">
        <v>7337.82</v>
      </c>
      <c r="F23" s="112">
        <v>9576.67</v>
      </c>
      <c r="G23" s="112">
        <v>11297.29</v>
      </c>
      <c r="H23" s="112">
        <v>10913.81</v>
      </c>
      <c r="I23" s="112">
        <v>12262.49</v>
      </c>
      <c r="J23" s="112">
        <v>9959.7000000000007</v>
      </c>
      <c r="K23" s="19">
        <v>0</v>
      </c>
      <c r="L23" s="112"/>
      <c r="M23" s="19">
        <v>0</v>
      </c>
      <c r="N23" s="112"/>
      <c r="O23" s="19">
        <v>0</v>
      </c>
      <c r="P23" s="18"/>
      <c r="Q23" s="19">
        <v>0</v>
      </c>
      <c r="R23" s="19"/>
      <c r="S23" s="19"/>
    </row>
    <row r="24" spans="1:19" x14ac:dyDescent="0.2">
      <c r="A24" s="779">
        <v>5310</v>
      </c>
      <c r="B24" s="12" t="s">
        <v>1300</v>
      </c>
      <c r="C24" s="128">
        <v>1659.5</v>
      </c>
      <c r="D24" s="18">
        <v>1863</v>
      </c>
      <c r="E24" s="112">
        <v>1535</v>
      </c>
      <c r="F24" s="112">
        <v>1775.1</v>
      </c>
      <c r="G24" s="112">
        <v>2491</v>
      </c>
      <c r="H24" s="112">
        <v>10389.34</v>
      </c>
      <c r="I24" s="112">
        <v>5775</v>
      </c>
      <c r="J24" s="112">
        <v>4765</v>
      </c>
      <c r="K24" s="19">
        <v>5000</v>
      </c>
      <c r="L24" s="112">
        <v>3778</v>
      </c>
      <c r="M24" s="19">
        <v>5000</v>
      </c>
      <c r="N24" s="112">
        <v>3767.59</v>
      </c>
      <c r="O24" s="19">
        <v>5000</v>
      </c>
      <c r="P24" s="18">
        <v>1612.59</v>
      </c>
      <c r="Q24" s="19">
        <v>5000</v>
      </c>
      <c r="R24" s="19"/>
      <c r="S24" s="19"/>
    </row>
    <row r="25" spans="1:19" x14ac:dyDescent="0.2">
      <c r="A25" s="779">
        <v>5314</v>
      </c>
      <c r="B25" s="12" t="s">
        <v>860</v>
      </c>
      <c r="C25" s="128">
        <v>35</v>
      </c>
      <c r="D25" s="18">
        <v>65</v>
      </c>
      <c r="E25" s="112">
        <v>80</v>
      </c>
      <c r="F25" s="112">
        <v>100</v>
      </c>
      <c r="G25" s="112">
        <v>2040</v>
      </c>
      <c r="H25" s="112">
        <v>40</v>
      </c>
      <c r="I25" s="112">
        <v>210</v>
      </c>
      <c r="J25" s="112">
        <v>100</v>
      </c>
      <c r="K25" s="19">
        <v>200</v>
      </c>
      <c r="L25" s="112"/>
      <c r="M25" s="19">
        <v>200</v>
      </c>
      <c r="N25" s="112">
        <v>1330</v>
      </c>
      <c r="O25" s="19">
        <v>200</v>
      </c>
      <c r="P25" s="18"/>
      <c r="Q25" s="19">
        <v>1000</v>
      </c>
      <c r="R25" s="19"/>
      <c r="S25" s="19"/>
    </row>
    <row r="26" spans="1:19" x14ac:dyDescent="0.2">
      <c r="A26" s="779">
        <v>5315</v>
      </c>
      <c r="B26" s="12" t="s">
        <v>1301</v>
      </c>
      <c r="C26" s="128">
        <v>24208.71</v>
      </c>
      <c r="D26" s="18">
        <v>21600.63</v>
      </c>
      <c r="E26" s="112">
        <v>27572.84</v>
      </c>
      <c r="F26" s="112">
        <v>29246.78</v>
      </c>
      <c r="G26" s="112">
        <f>40225.88-G27</f>
        <v>20041.039999999997</v>
      </c>
      <c r="H26" s="112">
        <f>32602.13-H27</f>
        <v>14179.400000000001</v>
      </c>
      <c r="I26" s="112">
        <v>22930.35</v>
      </c>
      <c r="J26" s="112">
        <v>10841.6</v>
      </c>
      <c r="K26" s="19">
        <v>18000</v>
      </c>
      <c r="L26" s="112">
        <v>29457.1</v>
      </c>
      <c r="M26" s="19">
        <v>18000</v>
      </c>
      <c r="N26" s="112">
        <v>15340.91</v>
      </c>
      <c r="O26" s="19">
        <v>18500</v>
      </c>
      <c r="P26" s="18">
        <v>3661</v>
      </c>
      <c r="Q26" s="19">
        <v>18500</v>
      </c>
      <c r="R26" s="19"/>
      <c r="S26" s="19"/>
    </row>
    <row r="27" spans="1:19" x14ac:dyDescent="0.2">
      <c r="A27" s="779">
        <v>5320</v>
      </c>
      <c r="B27" s="12" t="s">
        <v>1302</v>
      </c>
      <c r="C27" s="128"/>
      <c r="D27" s="18"/>
      <c r="E27" s="112"/>
      <c r="F27" s="112"/>
      <c r="G27" s="112">
        <v>20184.84</v>
      </c>
      <c r="H27" s="112">
        <v>18422.73</v>
      </c>
      <c r="I27" s="112">
        <v>19083.580000000002</v>
      </c>
      <c r="J27" s="112">
        <v>27622.11</v>
      </c>
      <c r="K27" s="19">
        <v>22000</v>
      </c>
      <c r="L27" s="112">
        <v>25903.26</v>
      </c>
      <c r="M27" s="19">
        <v>28000</v>
      </c>
      <c r="N27" s="112">
        <v>23797.75</v>
      </c>
      <c r="O27" s="19">
        <v>28000</v>
      </c>
      <c r="P27" s="18">
        <v>3065.83</v>
      </c>
      <c r="Q27" s="19">
        <v>28000</v>
      </c>
      <c r="R27" s="19"/>
      <c r="S27" s="19"/>
    </row>
    <row r="28" spans="1:19" x14ac:dyDescent="0.2">
      <c r="A28" s="779">
        <v>5341</v>
      </c>
      <c r="B28" s="12" t="s">
        <v>1303</v>
      </c>
      <c r="C28" s="128">
        <v>3078.49</v>
      </c>
      <c r="D28" s="18">
        <v>3210.87</v>
      </c>
      <c r="E28" s="112">
        <v>3419.12</v>
      </c>
      <c r="F28" s="112">
        <v>3544.05</v>
      </c>
      <c r="G28" s="112">
        <v>3468.11</v>
      </c>
      <c r="H28" s="112">
        <v>1848.31</v>
      </c>
      <c r="I28" s="112">
        <v>1750.2</v>
      </c>
      <c r="J28" s="112">
        <v>1771.2</v>
      </c>
      <c r="K28" s="19">
        <v>3500</v>
      </c>
      <c r="L28" s="112">
        <v>2094.5300000000002</v>
      </c>
      <c r="M28" s="19">
        <v>3500</v>
      </c>
      <c r="N28" s="112">
        <v>2200.96</v>
      </c>
      <c r="O28" s="19">
        <v>3000</v>
      </c>
      <c r="P28" s="18">
        <v>1544.27</v>
      </c>
      <c r="Q28" s="19">
        <v>3000</v>
      </c>
      <c r="R28" s="19"/>
      <c r="S28" s="19"/>
    </row>
    <row r="29" spans="1:19" x14ac:dyDescent="0.2">
      <c r="A29" s="779">
        <v>5344</v>
      </c>
      <c r="B29" s="12" t="s">
        <v>832</v>
      </c>
      <c r="C29" s="218">
        <v>60.4</v>
      </c>
      <c r="D29" s="18">
        <v>78.47</v>
      </c>
      <c r="E29" s="112">
        <v>55</v>
      </c>
      <c r="F29" s="112">
        <v>28.15</v>
      </c>
      <c r="G29" s="112">
        <v>20.82</v>
      </c>
      <c r="H29" s="112">
        <v>58.25</v>
      </c>
      <c r="I29" s="112">
        <v>31.22</v>
      </c>
      <c r="J29" s="112">
        <v>22</v>
      </c>
      <c r="K29" s="19">
        <v>100</v>
      </c>
      <c r="L29" s="112">
        <v>17.47</v>
      </c>
      <c r="M29" s="19">
        <v>100</v>
      </c>
      <c r="N29" s="112">
        <v>131.34</v>
      </c>
      <c r="O29" s="19">
        <v>100</v>
      </c>
      <c r="P29" s="18">
        <v>12</v>
      </c>
      <c r="Q29" s="19">
        <v>100</v>
      </c>
      <c r="R29" s="19"/>
      <c r="S29" s="19"/>
    </row>
    <row r="30" spans="1:19" x14ac:dyDescent="0.2">
      <c r="A30" s="779">
        <v>5345</v>
      </c>
      <c r="B30" s="12" t="s">
        <v>863</v>
      </c>
      <c r="C30" s="128">
        <v>50.81</v>
      </c>
      <c r="D30" s="18">
        <v>237.71</v>
      </c>
      <c r="E30" s="112">
        <v>835.56</v>
      </c>
      <c r="F30" s="112">
        <v>1284.3399999999999</v>
      </c>
      <c r="G30" s="112">
        <v>1533.36</v>
      </c>
      <c r="H30" s="112">
        <v>1075.22</v>
      </c>
      <c r="I30" s="112">
        <v>3390.59</v>
      </c>
      <c r="J30" s="112">
        <v>1518.32</v>
      </c>
      <c r="K30" s="19">
        <v>2500</v>
      </c>
      <c r="L30" s="112">
        <v>1531.24</v>
      </c>
      <c r="M30" s="19">
        <v>2500</v>
      </c>
      <c r="N30" s="112">
        <v>2514.33</v>
      </c>
      <c r="O30" s="19">
        <v>2500</v>
      </c>
      <c r="P30" s="18">
        <v>523.02</v>
      </c>
      <c r="Q30" s="19">
        <v>2500</v>
      </c>
      <c r="R30" s="19"/>
      <c r="S30" s="19"/>
    </row>
    <row r="31" spans="1:19" x14ac:dyDescent="0.2">
      <c r="A31" s="779">
        <v>5420</v>
      </c>
      <c r="B31" s="12" t="s">
        <v>864</v>
      </c>
      <c r="C31" s="112">
        <v>965.81</v>
      </c>
      <c r="D31" s="18">
        <v>694.26</v>
      </c>
      <c r="E31" s="112">
        <v>1611.93</v>
      </c>
      <c r="F31" s="112">
        <v>1141.1500000000001</v>
      </c>
      <c r="G31" s="112">
        <v>953.7</v>
      </c>
      <c r="H31" s="112">
        <v>1938.24</v>
      </c>
      <c r="I31" s="112">
        <v>1793.4</v>
      </c>
      <c r="J31" s="112">
        <v>861.64</v>
      </c>
      <c r="K31" s="19">
        <v>1750</v>
      </c>
      <c r="L31" s="112">
        <v>2708.1</v>
      </c>
      <c r="M31" s="19">
        <v>4000</v>
      </c>
      <c r="N31" s="112">
        <v>1700.87</v>
      </c>
      <c r="O31" s="19">
        <v>3500</v>
      </c>
      <c r="P31" s="18">
        <v>1219.44</v>
      </c>
      <c r="Q31" s="19">
        <v>3500</v>
      </c>
      <c r="R31" s="19"/>
      <c r="S31" s="19"/>
    </row>
    <row r="32" spans="1:19" x14ac:dyDescent="0.2">
      <c r="A32" s="779">
        <v>5430</v>
      </c>
      <c r="B32" s="12" t="s">
        <v>1304</v>
      </c>
      <c r="C32" s="128">
        <v>680.13</v>
      </c>
      <c r="D32" s="18">
        <v>738.74</v>
      </c>
      <c r="E32" s="112">
        <v>671.33</v>
      </c>
      <c r="F32" s="112">
        <v>398.72</v>
      </c>
      <c r="G32" s="112">
        <v>4603.57</v>
      </c>
      <c r="H32" s="112">
        <v>440.97</v>
      </c>
      <c r="I32" s="112">
        <v>519.57000000000005</v>
      </c>
      <c r="J32" s="112">
        <v>549.82000000000005</v>
      </c>
      <c r="K32" s="19">
        <v>2500</v>
      </c>
      <c r="L32" s="112">
        <v>285.89</v>
      </c>
      <c r="M32" s="19">
        <v>2500</v>
      </c>
      <c r="N32" s="112">
        <v>1440</v>
      </c>
      <c r="O32" s="19">
        <v>2500</v>
      </c>
      <c r="P32" s="18"/>
      <c r="Q32" s="19">
        <v>2500</v>
      </c>
      <c r="R32" s="19"/>
      <c r="S32" s="19"/>
    </row>
    <row r="33" spans="1:22" hidden="1" x14ac:dyDescent="0.2">
      <c r="A33" s="779">
        <v>5432</v>
      </c>
      <c r="B33" s="12" t="s">
        <v>1371</v>
      </c>
      <c r="C33" s="128">
        <v>37.119999999999997</v>
      </c>
      <c r="D33" s="18">
        <v>13.95</v>
      </c>
      <c r="E33" s="112"/>
      <c r="F33" s="112">
        <v>55.85</v>
      </c>
      <c r="G33" s="112"/>
      <c r="H33" s="112"/>
      <c r="I33" s="112"/>
      <c r="J33" s="112"/>
      <c r="K33" s="19"/>
      <c r="L33" s="112"/>
      <c r="M33" s="19"/>
      <c r="N33" s="112"/>
      <c r="O33" s="19"/>
      <c r="P33" s="13"/>
      <c r="Q33" s="19"/>
      <c r="R33" s="19"/>
      <c r="S33" s="19"/>
    </row>
    <row r="34" spans="1:22" x14ac:dyDescent="0.2">
      <c r="A34" s="779">
        <v>5435</v>
      </c>
      <c r="B34" s="12" t="s">
        <v>1372</v>
      </c>
      <c r="C34" s="112">
        <v>2223.06</v>
      </c>
      <c r="D34" s="18">
        <v>1519.3</v>
      </c>
      <c r="E34" s="112">
        <v>2230.3200000000002</v>
      </c>
      <c r="F34" s="112">
        <v>3011.96</v>
      </c>
      <c r="G34" s="112">
        <v>2113.88</v>
      </c>
      <c r="H34" s="112">
        <v>6885.49</v>
      </c>
      <c r="I34" s="112">
        <v>3971.26</v>
      </c>
      <c r="J34" s="112">
        <v>9171.73</v>
      </c>
      <c r="K34" s="19">
        <v>5000</v>
      </c>
      <c r="L34" s="112">
        <v>2848.01</v>
      </c>
      <c r="M34" s="19">
        <v>5000</v>
      </c>
      <c r="N34" s="112">
        <v>4877.91</v>
      </c>
      <c r="O34" s="19">
        <v>5000</v>
      </c>
      <c r="P34" s="18">
        <v>2258.4299999999998</v>
      </c>
      <c r="Q34" s="19">
        <v>5000</v>
      </c>
      <c r="R34" s="19"/>
      <c r="S34" s="19"/>
    </row>
    <row r="35" spans="1:22" x14ac:dyDescent="0.2">
      <c r="A35" s="779">
        <v>5440</v>
      </c>
      <c r="B35" s="12" t="s">
        <v>1307</v>
      </c>
      <c r="C35" s="128">
        <v>4022.66</v>
      </c>
      <c r="D35" s="18">
        <v>4443.3500000000004</v>
      </c>
      <c r="E35" s="112">
        <v>6122.27</v>
      </c>
      <c r="F35" s="112">
        <v>4464.0600000000004</v>
      </c>
      <c r="G35" s="112">
        <v>2584.31</v>
      </c>
      <c r="H35" s="112">
        <v>8262.68</v>
      </c>
      <c r="I35" s="112">
        <v>5721.25</v>
      </c>
      <c r="J35" s="112">
        <v>9061.2199999999993</v>
      </c>
      <c r="K35" s="19">
        <v>7000</v>
      </c>
      <c r="L35" s="112">
        <v>6192.19</v>
      </c>
      <c r="M35" s="19">
        <v>8000</v>
      </c>
      <c r="N35" s="112">
        <v>7341.42</v>
      </c>
      <c r="O35" s="19">
        <v>8000</v>
      </c>
      <c r="P35" s="18">
        <v>2352.25</v>
      </c>
      <c r="Q35" s="19">
        <v>10000</v>
      </c>
      <c r="R35" s="19"/>
      <c r="S35" s="19"/>
    </row>
    <row r="36" spans="1:22" x14ac:dyDescent="0.2">
      <c r="A36" s="779">
        <v>5443</v>
      </c>
      <c r="B36" s="12" t="s">
        <v>1308</v>
      </c>
      <c r="C36" s="128">
        <v>16245.85</v>
      </c>
      <c r="D36" s="18">
        <v>20320.52</v>
      </c>
      <c r="E36" s="112">
        <v>16077.74</v>
      </c>
      <c r="F36" s="112">
        <v>42904.99</v>
      </c>
      <c r="G36" s="112">
        <v>20066.259999999998</v>
      </c>
      <c r="H36" s="112">
        <v>25480.45</v>
      </c>
      <c r="I36" s="112">
        <v>26714.95</v>
      </c>
      <c r="J36" s="112">
        <v>43697.94</v>
      </c>
      <c r="K36" s="19">
        <v>35000</v>
      </c>
      <c r="L36" s="112">
        <v>47691.71</v>
      </c>
      <c r="M36" s="19">
        <v>39000</v>
      </c>
      <c r="N36" s="112">
        <v>32038.6</v>
      </c>
      <c r="O36" s="19">
        <v>57000</v>
      </c>
      <c r="P36" s="18">
        <v>19024.54</v>
      </c>
      <c r="Q36" s="19">
        <v>57000</v>
      </c>
      <c r="R36" s="19"/>
      <c r="S36" s="19"/>
    </row>
    <row r="37" spans="1:22" x14ac:dyDescent="0.2">
      <c r="A37" s="779">
        <v>5481</v>
      </c>
      <c r="B37" s="12" t="s">
        <v>1167</v>
      </c>
      <c r="C37" s="128">
        <v>23072.400000000001</v>
      </c>
      <c r="D37" s="13">
        <v>32924.959999999999</v>
      </c>
      <c r="E37" s="128">
        <v>27697.48</v>
      </c>
      <c r="F37" s="128">
        <v>18370.16</v>
      </c>
      <c r="G37" s="128">
        <v>11746.54</v>
      </c>
      <c r="H37" s="128">
        <v>27057.85</v>
      </c>
      <c r="I37" s="128">
        <v>32961.730000000003</v>
      </c>
      <c r="J37" s="128">
        <v>24671.91</v>
      </c>
      <c r="K37" s="14">
        <v>45000</v>
      </c>
      <c r="L37" s="112">
        <v>18138.169999999998</v>
      </c>
      <c r="M37" s="14">
        <v>45000</v>
      </c>
      <c r="N37" s="112">
        <v>20371.330000000002</v>
      </c>
      <c r="O37" s="14">
        <v>45000</v>
      </c>
      <c r="P37" s="18">
        <v>16172.35</v>
      </c>
      <c r="Q37" s="14">
        <v>63140</v>
      </c>
      <c r="R37" s="14"/>
      <c r="S37" s="14"/>
      <c r="V37" s="25"/>
    </row>
    <row r="38" spans="1:22" x14ac:dyDescent="0.2">
      <c r="A38" s="779">
        <v>5482</v>
      </c>
      <c r="B38" s="12" t="s">
        <v>1310</v>
      </c>
      <c r="C38" s="128">
        <v>55086.99</v>
      </c>
      <c r="D38" s="13">
        <v>73803.73</v>
      </c>
      <c r="E38" s="128">
        <v>75053.789999999994</v>
      </c>
      <c r="F38" s="128">
        <v>49247.73</v>
      </c>
      <c r="G38" s="128">
        <v>30907.05</v>
      </c>
      <c r="H38" s="128">
        <v>32653.5</v>
      </c>
      <c r="I38" s="128">
        <v>50089.25</v>
      </c>
      <c r="J38" s="128">
        <v>42648.88</v>
      </c>
      <c r="K38" s="14">
        <v>60000</v>
      </c>
      <c r="L38" s="112">
        <v>20446</v>
      </c>
      <c r="M38" s="14">
        <v>53000</v>
      </c>
      <c r="N38" s="112">
        <v>34760.06</v>
      </c>
      <c r="O38" s="14">
        <v>53000</v>
      </c>
      <c r="P38" s="18">
        <v>33044.78</v>
      </c>
      <c r="Q38" s="14">
        <v>67200</v>
      </c>
      <c r="R38" s="14"/>
      <c r="S38" s="14"/>
      <c r="V38" s="25"/>
    </row>
    <row r="39" spans="1:22" x14ac:dyDescent="0.2">
      <c r="A39" s="779">
        <v>5484</v>
      </c>
      <c r="B39" s="12" t="s">
        <v>1311</v>
      </c>
      <c r="C39" s="128">
        <v>41019.53</v>
      </c>
      <c r="D39" s="18">
        <v>46732</v>
      </c>
      <c r="E39" s="112">
        <v>75705.59</v>
      </c>
      <c r="F39" s="112">
        <v>71319.490000000005</v>
      </c>
      <c r="G39" s="112">
        <v>70335.48</v>
      </c>
      <c r="H39" s="112">
        <v>78729.27</v>
      </c>
      <c r="I39" s="112">
        <f>33.5+89540.21</f>
        <v>89573.71</v>
      </c>
      <c r="J39" s="112">
        <v>93738.67</v>
      </c>
      <c r="K39" s="19">
        <v>80000</v>
      </c>
      <c r="L39" s="112">
        <v>79364.2</v>
      </c>
      <c r="M39" s="19">
        <v>85000</v>
      </c>
      <c r="N39" s="112">
        <v>96232.29</v>
      </c>
      <c r="O39" s="19">
        <v>85000</v>
      </c>
      <c r="P39" s="18">
        <v>42429.88</v>
      </c>
      <c r="Q39" s="19">
        <v>85000</v>
      </c>
      <c r="R39" s="19"/>
      <c r="S39" s="19"/>
      <c r="V39" s="2"/>
    </row>
    <row r="40" spans="1:22" x14ac:dyDescent="0.2">
      <c r="A40" s="779">
        <v>5500</v>
      </c>
      <c r="B40" s="12" t="s">
        <v>1312</v>
      </c>
      <c r="C40" s="128"/>
      <c r="D40" s="18"/>
      <c r="E40" s="112">
        <v>11.94</v>
      </c>
      <c r="F40" s="112"/>
      <c r="G40" s="112"/>
      <c r="H40" s="112"/>
      <c r="I40" s="112">
        <v>127.13</v>
      </c>
      <c r="J40" s="112">
        <v>947.82</v>
      </c>
      <c r="K40" s="19">
        <v>150</v>
      </c>
      <c r="L40" s="112">
        <v>381.74</v>
      </c>
      <c r="M40" s="19">
        <v>150</v>
      </c>
      <c r="N40" s="112">
        <v>219.17</v>
      </c>
      <c r="O40" s="19">
        <v>150</v>
      </c>
      <c r="P40" s="18">
        <v>163.53</v>
      </c>
      <c r="Q40" s="19">
        <v>200</v>
      </c>
      <c r="R40" s="19"/>
      <c r="S40" s="19"/>
    </row>
    <row r="41" spans="1:22" x14ac:dyDescent="0.2">
      <c r="A41" s="779">
        <v>5530</v>
      </c>
      <c r="B41" s="12" t="s">
        <v>1313</v>
      </c>
      <c r="C41" s="128">
        <v>43029.4</v>
      </c>
      <c r="D41" s="18">
        <v>45445.69</v>
      </c>
      <c r="E41" s="112">
        <v>36322.94</v>
      </c>
      <c r="F41" s="112">
        <v>43379.03</v>
      </c>
      <c r="G41" s="112">
        <v>24572.81</v>
      </c>
      <c r="H41" s="112">
        <v>31418.53</v>
      </c>
      <c r="I41" s="112">
        <v>30491.41</v>
      </c>
      <c r="J41" s="112">
        <v>29182.49</v>
      </c>
      <c r="K41" s="19">
        <v>55000</v>
      </c>
      <c r="L41" s="112">
        <v>47021.23</v>
      </c>
      <c r="M41" s="19">
        <v>55000</v>
      </c>
      <c r="N41" s="112">
        <v>63954.71</v>
      </c>
      <c r="O41" s="19">
        <v>71500</v>
      </c>
      <c r="P41" s="18">
        <v>32583.87</v>
      </c>
      <c r="Q41" s="19">
        <v>71500</v>
      </c>
      <c r="R41" s="19"/>
      <c r="S41" s="19"/>
    </row>
    <row r="42" spans="1:22" hidden="1" x14ac:dyDescent="0.2">
      <c r="A42" s="779">
        <v>5534</v>
      </c>
      <c r="B42" s="12" t="s">
        <v>1314</v>
      </c>
      <c r="C42" s="128">
        <v>125</v>
      </c>
      <c r="D42" s="18"/>
      <c r="E42" s="112"/>
      <c r="F42" s="112"/>
      <c r="G42" s="112"/>
      <c r="H42" s="112"/>
      <c r="I42" s="112"/>
      <c r="J42" s="112"/>
      <c r="K42" s="19"/>
      <c r="L42" s="112"/>
      <c r="M42" s="19"/>
      <c r="N42" s="112"/>
      <c r="O42" s="19"/>
      <c r="P42" s="18"/>
      <c r="Q42" s="19"/>
      <c r="R42" s="19"/>
      <c r="S42" s="19"/>
    </row>
    <row r="43" spans="1:22" x14ac:dyDescent="0.2">
      <c r="A43" s="779">
        <v>5580</v>
      </c>
      <c r="B43" s="12" t="s">
        <v>1373</v>
      </c>
      <c r="C43" s="128"/>
      <c r="D43" s="18"/>
      <c r="E43" s="112"/>
      <c r="F43" s="112"/>
      <c r="G43" s="112"/>
      <c r="H43" s="112"/>
      <c r="I43" s="112">
        <v>12646.36</v>
      </c>
      <c r="J43" s="112"/>
      <c r="K43" s="19"/>
      <c r="L43" s="112"/>
      <c r="M43" s="19"/>
      <c r="N43" s="112"/>
      <c r="O43" s="19"/>
      <c r="P43" s="18"/>
      <c r="Q43" s="19"/>
      <c r="R43" s="19"/>
      <c r="S43" s="19"/>
    </row>
    <row r="44" spans="1:22" x14ac:dyDescent="0.2">
      <c r="A44" s="779">
        <v>5582</v>
      </c>
      <c r="B44" s="12" t="s">
        <v>1170</v>
      </c>
      <c r="C44" s="128">
        <v>2596.34</v>
      </c>
      <c r="D44" s="18">
        <v>2080.9699999999998</v>
      </c>
      <c r="E44" s="112">
        <v>3880.7</v>
      </c>
      <c r="F44" s="112">
        <v>4245.47</v>
      </c>
      <c r="G44" s="112">
        <v>4901.04</v>
      </c>
      <c r="H44" s="112">
        <v>5798.09</v>
      </c>
      <c r="I44" s="112">
        <v>5887.39</v>
      </c>
      <c r="J44" s="112">
        <v>12423.84</v>
      </c>
      <c r="K44" s="19">
        <v>14000</v>
      </c>
      <c r="L44" s="112">
        <v>13865.13</v>
      </c>
      <c r="M44" s="19">
        <v>14000</v>
      </c>
      <c r="N44" s="112">
        <v>16235.69</v>
      </c>
      <c r="O44" s="19">
        <f>1500+14000</f>
        <v>15500</v>
      </c>
      <c r="P44" s="18">
        <v>7080.56</v>
      </c>
      <c r="Q44" s="19">
        <v>15500</v>
      </c>
      <c r="R44" s="19"/>
      <c r="S44" s="19"/>
    </row>
    <row r="45" spans="1:22" x14ac:dyDescent="0.2">
      <c r="A45" s="779">
        <v>5588</v>
      </c>
      <c r="B45" s="60" t="s">
        <v>1315</v>
      </c>
      <c r="C45" s="128"/>
      <c r="D45" s="18"/>
      <c r="E45" s="112"/>
      <c r="F45" s="112"/>
      <c r="G45" s="112">
        <v>164</v>
      </c>
      <c r="H45" s="112"/>
      <c r="I45" s="112">
        <v>0</v>
      </c>
      <c r="J45" s="112"/>
      <c r="K45" s="19">
        <v>1000</v>
      </c>
      <c r="L45" s="112"/>
      <c r="M45" s="19">
        <v>1000</v>
      </c>
      <c r="N45" s="112"/>
      <c r="O45" s="19">
        <v>500</v>
      </c>
      <c r="P45" s="13"/>
      <c r="Q45" s="19">
        <v>500</v>
      </c>
      <c r="R45" s="19"/>
      <c r="S45" s="19"/>
    </row>
    <row r="46" spans="1:22" x14ac:dyDescent="0.2">
      <c r="A46" s="779">
        <v>5710</v>
      </c>
      <c r="B46" s="12" t="s">
        <v>869</v>
      </c>
      <c r="C46" s="272">
        <v>44.78</v>
      </c>
      <c r="D46" s="18">
        <v>22.6</v>
      </c>
      <c r="E46" s="112"/>
      <c r="F46" s="112"/>
      <c r="G46" s="112"/>
      <c r="H46" s="112"/>
      <c r="I46" s="112">
        <v>0</v>
      </c>
      <c r="J46" s="112"/>
      <c r="K46" s="19">
        <v>125</v>
      </c>
      <c r="L46" s="112"/>
      <c r="M46" s="19">
        <v>125</v>
      </c>
      <c r="N46" s="112">
        <v>103.9</v>
      </c>
      <c r="O46" s="19">
        <v>125</v>
      </c>
      <c r="P46" s="18"/>
      <c r="Q46" s="19">
        <v>125</v>
      </c>
      <c r="R46" s="19"/>
      <c r="S46" s="19"/>
    </row>
    <row r="47" spans="1:22" x14ac:dyDescent="0.2">
      <c r="A47" s="779">
        <v>5730</v>
      </c>
      <c r="B47" s="12" t="s">
        <v>870</v>
      </c>
      <c r="C47" s="218">
        <v>361</v>
      </c>
      <c r="D47" s="18">
        <v>233</v>
      </c>
      <c r="E47" s="112">
        <v>381</v>
      </c>
      <c r="F47" s="112">
        <v>381</v>
      </c>
      <c r="G47" s="112">
        <v>356</v>
      </c>
      <c r="H47" s="112">
        <v>125</v>
      </c>
      <c r="I47" s="112">
        <v>125</v>
      </c>
      <c r="J47" s="112">
        <v>125</v>
      </c>
      <c r="K47" s="19">
        <v>500</v>
      </c>
      <c r="L47" s="112">
        <v>431</v>
      </c>
      <c r="M47" s="19">
        <v>500</v>
      </c>
      <c r="N47" s="112">
        <v>850</v>
      </c>
      <c r="O47" s="19">
        <v>500</v>
      </c>
      <c r="P47" s="18">
        <v>1619</v>
      </c>
      <c r="Q47" s="19">
        <v>500</v>
      </c>
      <c r="R47" s="19"/>
      <c r="S47" s="19"/>
    </row>
    <row r="48" spans="1:22" hidden="1" x14ac:dyDescent="0.2">
      <c r="A48" s="800"/>
      <c r="B48" s="12" t="s">
        <v>1172</v>
      </c>
      <c r="C48" s="218"/>
      <c r="D48" s="28"/>
      <c r="E48" s="272"/>
      <c r="F48" s="272"/>
      <c r="G48" s="272"/>
      <c r="H48" s="272"/>
      <c r="I48" s="272"/>
      <c r="J48" s="272"/>
      <c r="K48" s="29"/>
      <c r="L48" s="272">
        <v>4024.03</v>
      </c>
      <c r="M48" s="29"/>
      <c r="N48" s="272"/>
      <c r="O48" s="29"/>
      <c r="P48" s="28"/>
      <c r="Q48" s="29"/>
      <c r="R48" s="29"/>
      <c r="S48" s="29"/>
    </row>
    <row r="49" spans="1:22" ht="13.5" thickBot="1" x14ac:dyDescent="0.25">
      <c r="A49" s="798">
        <v>5783</v>
      </c>
      <c r="B49" s="60" t="s">
        <v>1317</v>
      </c>
      <c r="C49" s="270">
        <v>780</v>
      </c>
      <c r="D49" s="15">
        <v>1710</v>
      </c>
      <c r="E49" s="270">
        <v>1440</v>
      </c>
      <c r="F49" s="270">
        <v>724</v>
      </c>
      <c r="G49" s="270">
        <v>567.9</v>
      </c>
      <c r="H49" s="270">
        <v>1328.7</v>
      </c>
      <c r="I49" s="270">
        <v>1056</v>
      </c>
      <c r="J49" s="270">
        <v>1204.95</v>
      </c>
      <c r="K49" s="16">
        <v>1500</v>
      </c>
      <c r="L49" s="270">
        <v>950</v>
      </c>
      <c r="M49" s="16">
        <v>1500</v>
      </c>
      <c r="N49" s="270">
        <v>1025.58</v>
      </c>
      <c r="O49" s="16">
        <v>1500</v>
      </c>
      <c r="P49" s="15">
        <v>531.53</v>
      </c>
      <c r="Q49" s="16">
        <v>1500</v>
      </c>
      <c r="R49" s="16">
        <v>1500</v>
      </c>
      <c r="S49" s="16"/>
    </row>
    <row r="50" spans="1:22" x14ac:dyDescent="0.2">
      <c r="A50" s="796"/>
      <c r="B50" s="62" t="s">
        <v>838</v>
      </c>
      <c r="C50" s="112">
        <f t="shared" ref="C50:S50" si="2">SUM(C18:C49)</f>
        <v>243566.75999999998</v>
      </c>
      <c r="D50" s="18">
        <f t="shared" si="2"/>
        <v>291089.50999999995</v>
      </c>
      <c r="E50" s="18">
        <f t="shared" si="2"/>
        <v>317125.98000000004</v>
      </c>
      <c r="F50" s="18">
        <f t="shared" si="2"/>
        <v>325780</v>
      </c>
      <c r="G50" s="18">
        <f t="shared" si="2"/>
        <v>266189.69999999995</v>
      </c>
      <c r="H50" s="18">
        <f t="shared" si="2"/>
        <v>308177.65000000002</v>
      </c>
      <c r="I50" s="18">
        <f t="shared" si="2"/>
        <v>353764.51</v>
      </c>
      <c r="J50" s="18">
        <f t="shared" si="2"/>
        <v>357516.41000000009</v>
      </c>
      <c r="K50" s="19">
        <f>SUM(K18:K49)</f>
        <v>402025</v>
      </c>
      <c r="L50" s="18">
        <f t="shared" ref="L50:N50" si="3">SUM(L18:L49)</f>
        <v>350249.79</v>
      </c>
      <c r="M50" s="19">
        <f>SUM(M18:M49)</f>
        <v>420775</v>
      </c>
      <c r="N50" s="18">
        <f t="shared" si="3"/>
        <v>367302.31000000006</v>
      </c>
      <c r="O50" s="19">
        <f>SUM(O18:O49)</f>
        <v>459375</v>
      </c>
      <c r="P50" s="18">
        <f t="shared" si="2"/>
        <v>181873.22</v>
      </c>
      <c r="Q50" s="19">
        <f>SUM(Q18:Q49)</f>
        <v>494565</v>
      </c>
      <c r="R50" s="19">
        <f>SUM(R18:R49)</f>
        <v>1500</v>
      </c>
      <c r="S50" s="19">
        <f t="shared" si="2"/>
        <v>0</v>
      </c>
    </row>
    <row r="51" spans="1:22" x14ac:dyDescent="0.2">
      <c r="A51" s="796"/>
      <c r="B51" s="62"/>
      <c r="C51" s="112"/>
      <c r="D51" s="18"/>
      <c r="E51" s="18"/>
      <c r="F51" s="18"/>
      <c r="G51" s="18"/>
      <c r="H51" s="18"/>
      <c r="I51" s="18"/>
      <c r="J51" s="18"/>
      <c r="K51" s="19"/>
      <c r="L51" s="18"/>
      <c r="M51" s="19"/>
      <c r="N51" s="18"/>
      <c r="O51" s="19"/>
      <c r="P51" s="18"/>
      <c r="Q51" s="19"/>
      <c r="R51" s="19"/>
      <c r="S51" s="19"/>
    </row>
    <row r="52" spans="1:22" ht="13.5" thickBot="1" x14ac:dyDescent="0.25">
      <c r="A52" s="796">
        <v>5800</v>
      </c>
      <c r="B52" s="27" t="s">
        <v>1374</v>
      </c>
      <c r="C52" s="112"/>
      <c r="D52" s="18"/>
      <c r="E52" s="18"/>
      <c r="F52" s="15"/>
      <c r="G52" s="15"/>
      <c r="H52" s="15"/>
      <c r="I52" s="15">
        <v>21320.41</v>
      </c>
      <c r="J52" s="15">
        <v>21320.41</v>
      </c>
      <c r="K52" s="16">
        <v>24090</v>
      </c>
      <c r="L52" s="15">
        <v>21320.41</v>
      </c>
      <c r="M52" s="16">
        <v>21321</v>
      </c>
      <c r="N52" s="15">
        <v>21320.41</v>
      </c>
      <c r="O52" s="16"/>
      <c r="P52" s="15"/>
      <c r="Q52" s="16"/>
      <c r="R52" s="16"/>
      <c r="S52" s="16"/>
    </row>
    <row r="53" spans="1:22" x14ac:dyDescent="0.2">
      <c r="A53" s="796"/>
      <c r="B53" s="62" t="s">
        <v>952</v>
      </c>
      <c r="C53" s="112"/>
      <c r="D53" s="18"/>
      <c r="E53" s="18"/>
      <c r="F53" s="18"/>
      <c r="G53" s="18"/>
      <c r="H53" s="18"/>
      <c r="I53" s="18">
        <f>+I52</f>
        <v>21320.41</v>
      </c>
      <c r="J53" s="18">
        <f>+J52</f>
        <v>21320.41</v>
      </c>
      <c r="K53" s="19">
        <f>+K52</f>
        <v>24090</v>
      </c>
      <c r="L53" s="18">
        <f t="shared" ref="L53:O53" si="4">+L52</f>
        <v>21320.41</v>
      </c>
      <c r="M53" s="19">
        <f t="shared" si="4"/>
        <v>21321</v>
      </c>
      <c r="N53" s="18">
        <f t="shared" ref="N53" si="5">+N52</f>
        <v>21320.41</v>
      </c>
      <c r="O53" s="19">
        <f t="shared" si="4"/>
        <v>0</v>
      </c>
      <c r="P53" s="137">
        <f>+P52</f>
        <v>0</v>
      </c>
      <c r="Q53" s="19">
        <f>+Q52</f>
        <v>0</v>
      </c>
      <c r="R53" s="19">
        <f>+R52</f>
        <v>0</v>
      </c>
      <c r="S53" s="19">
        <f>+Q53</f>
        <v>0</v>
      </c>
    </row>
    <row r="54" spans="1:22" x14ac:dyDescent="0.2">
      <c r="A54" s="779"/>
      <c r="B54" s="12"/>
      <c r="C54" s="128"/>
      <c r="D54" s="13"/>
      <c r="E54" s="13"/>
      <c r="F54" s="13"/>
      <c r="G54" s="13"/>
      <c r="H54" s="13"/>
      <c r="I54" s="13"/>
      <c r="J54" s="13"/>
      <c r="K54" s="14"/>
      <c r="L54" s="13"/>
      <c r="M54" s="14"/>
      <c r="N54" s="13"/>
      <c r="O54" s="14"/>
      <c r="P54" s="148"/>
      <c r="Q54" s="14"/>
      <c r="R54" s="14"/>
      <c r="S54" s="14"/>
    </row>
    <row r="55" spans="1:22" ht="13.5" thickBot="1" x14ac:dyDescent="0.25">
      <c r="A55" s="780"/>
      <c r="B55" s="20" t="s">
        <v>1375</v>
      </c>
      <c r="C55" s="273">
        <f t="shared" ref="C55:H55" si="6">+C50+C16</f>
        <v>802502.48</v>
      </c>
      <c r="D55" s="273">
        <f t="shared" si="6"/>
        <v>876670.5399999998</v>
      </c>
      <c r="E55" s="273">
        <f t="shared" si="6"/>
        <v>887268.20000000019</v>
      </c>
      <c r="F55" s="273">
        <f t="shared" si="6"/>
        <v>901975.19000000006</v>
      </c>
      <c r="G55" s="273">
        <f t="shared" si="6"/>
        <v>840324.77</v>
      </c>
      <c r="H55" s="273">
        <f t="shared" si="6"/>
        <v>912147.92999999993</v>
      </c>
      <c r="I55" s="21">
        <f>+I50+I16+I53</f>
        <v>986744.43</v>
      </c>
      <c r="J55" s="21">
        <f>+J50+J16+J53</f>
        <v>1026490.5600000002</v>
      </c>
      <c r="K55" s="39">
        <f>+K50+K16+K53</f>
        <v>1108316</v>
      </c>
      <c r="L55" s="21">
        <f t="shared" ref="L55:O55" si="7">+L50+L16+L53</f>
        <v>1029723.7500000001</v>
      </c>
      <c r="M55" s="39">
        <f t="shared" si="7"/>
        <v>1164708</v>
      </c>
      <c r="N55" s="21">
        <f t="shared" ref="N55" si="8">+N50+N16+N53</f>
        <v>1091957.8800000001</v>
      </c>
      <c r="O55" s="39">
        <f t="shared" si="7"/>
        <v>1189212</v>
      </c>
      <c r="P55" s="21">
        <f>+P50+P16+P53</f>
        <v>540120.97</v>
      </c>
      <c r="Q55" s="39">
        <f>+Q50+Q16+Q53</f>
        <v>1329939</v>
      </c>
      <c r="R55" s="39">
        <f>+R50+R16+R53</f>
        <v>1500</v>
      </c>
      <c r="S55" s="39">
        <f>+Q55</f>
        <v>1329939</v>
      </c>
    </row>
    <row r="56" spans="1:22" ht="13.5" thickTop="1" x14ac:dyDescent="0.2">
      <c r="A56" s="774"/>
      <c r="B56" s="4"/>
      <c r="C56" s="97"/>
      <c r="D56" s="23"/>
      <c r="E56" s="23"/>
      <c r="F56" s="23"/>
      <c r="G56" s="23"/>
      <c r="H56" s="23"/>
      <c r="I56" s="23"/>
      <c r="J56" s="23"/>
      <c r="K56" s="23"/>
      <c r="L56" s="23"/>
      <c r="M56" s="23"/>
      <c r="N56" s="23"/>
      <c r="O56" s="23"/>
      <c r="P56" s="199" t="s">
        <v>843</v>
      </c>
      <c r="Q56" s="1116">
        <f>+Q55-O55</f>
        <v>140727</v>
      </c>
      <c r="R56" s="1117">
        <f>ROUND((+Q56/O55),4)</f>
        <v>0.1183</v>
      </c>
      <c r="S56" s="23"/>
      <c r="T56" s="25"/>
      <c r="U56" s="25"/>
      <c r="V56" s="25"/>
    </row>
    <row r="57" spans="1:22" x14ac:dyDescent="0.2">
      <c r="A57" s="63"/>
      <c r="B57" s="4"/>
      <c r="C57" s="97"/>
      <c r="D57" s="23"/>
      <c r="E57" s="23"/>
      <c r="F57" s="23"/>
      <c r="G57" s="23"/>
      <c r="H57" s="23"/>
      <c r="I57" s="23"/>
      <c r="J57" s="23"/>
      <c r="K57" s="23"/>
      <c r="L57" s="23"/>
      <c r="M57" s="23"/>
      <c r="N57" s="23"/>
      <c r="O57" s="23"/>
      <c r="P57" s="25"/>
      <c r="Q57" s="23"/>
      <c r="R57" s="23"/>
      <c r="S57" s="23"/>
      <c r="T57" s="25"/>
      <c r="U57" s="25"/>
      <c r="V57" s="25"/>
    </row>
    <row r="58" spans="1:22" x14ac:dyDescent="0.2">
      <c r="A58" s="63"/>
      <c r="B58" s="4"/>
      <c r="C58" s="97"/>
      <c r="D58" s="23"/>
      <c r="E58" s="23"/>
      <c r="F58" s="23"/>
      <c r="G58" s="23"/>
      <c r="H58" s="23"/>
      <c r="I58" s="23"/>
      <c r="J58" s="23"/>
      <c r="K58" s="23"/>
      <c r="L58" s="23"/>
      <c r="M58" s="23"/>
      <c r="N58" s="23"/>
      <c r="O58" s="23"/>
      <c r="P58" s="25"/>
      <c r="Q58" s="23"/>
      <c r="R58" s="23"/>
      <c r="S58" s="23"/>
      <c r="T58" s="25"/>
      <c r="U58" s="25"/>
      <c r="V58" s="25"/>
    </row>
    <row r="59" spans="1:22" ht="13.5" thickBot="1" x14ac:dyDescent="0.25">
      <c r="A59" s="774"/>
      <c r="B59" s="4"/>
      <c r="C59" s="97"/>
      <c r="D59" s="23"/>
      <c r="E59" s="23"/>
      <c r="F59" s="23"/>
      <c r="G59" s="23"/>
      <c r="H59" s="23"/>
      <c r="I59" s="23"/>
      <c r="J59" s="23"/>
      <c r="K59" s="23"/>
      <c r="L59" s="23"/>
      <c r="M59" s="23"/>
      <c r="N59" s="23"/>
      <c r="O59" s="23"/>
      <c r="P59" s="25"/>
      <c r="Q59" s="23"/>
      <c r="R59" s="23"/>
      <c r="S59" s="23"/>
      <c r="T59" s="25"/>
      <c r="U59" s="25"/>
      <c r="V59" s="25"/>
    </row>
    <row r="60" spans="1:22" ht="13.5" thickTop="1" x14ac:dyDescent="0.2">
      <c r="A60" s="789"/>
      <c r="B60" s="1122" t="s">
        <v>2386</v>
      </c>
      <c r="C60" s="368" t="s">
        <v>280</v>
      </c>
      <c r="D60" s="369" t="s">
        <v>280</v>
      </c>
      <c r="E60" s="369" t="s">
        <v>280</v>
      </c>
      <c r="F60" s="212"/>
      <c r="G60" s="212"/>
      <c r="H60" s="212"/>
      <c r="I60" s="212"/>
      <c r="J60" s="212"/>
      <c r="K60" s="212"/>
      <c r="L60" s="212"/>
      <c r="M60" s="370" t="s">
        <v>279</v>
      </c>
      <c r="N60" s="371" t="s">
        <v>826</v>
      </c>
      <c r="O60" s="372" t="s">
        <v>840</v>
      </c>
      <c r="P60" s="371" t="s">
        <v>841</v>
      </c>
      <c r="Q60" s="373"/>
      <c r="R60" s="569"/>
      <c r="S60" s="372"/>
      <c r="T60" s="25"/>
      <c r="U60" s="25"/>
      <c r="V60" s="25"/>
    </row>
    <row r="61" spans="1:22" ht="13.5" thickBot="1" x14ac:dyDescent="0.25">
      <c r="A61" s="790" t="s">
        <v>825</v>
      </c>
      <c r="B61" s="374"/>
      <c r="C61" s="375" t="s">
        <v>267</v>
      </c>
      <c r="D61" s="375" t="s">
        <v>268</v>
      </c>
      <c r="E61" s="376" t="s">
        <v>269</v>
      </c>
      <c r="F61" s="212"/>
      <c r="G61" s="212"/>
      <c r="H61" s="212"/>
      <c r="I61" s="212"/>
      <c r="J61" s="212"/>
      <c r="K61" s="212"/>
      <c r="L61" s="212"/>
      <c r="M61" s="377" t="s">
        <v>277</v>
      </c>
      <c r="N61" s="377" t="s">
        <v>571</v>
      </c>
      <c r="O61" s="376" t="s">
        <v>843</v>
      </c>
      <c r="P61" s="378" t="s">
        <v>843</v>
      </c>
      <c r="Q61" s="379" t="s">
        <v>844</v>
      </c>
      <c r="R61" s="570"/>
      <c r="S61" s="377"/>
      <c r="T61" s="25"/>
      <c r="U61" s="25"/>
      <c r="V61" s="25"/>
    </row>
    <row r="62" spans="1:22" ht="13.5" thickTop="1" x14ac:dyDescent="0.2">
      <c r="A62" s="794"/>
      <c r="B62" s="401"/>
      <c r="C62" s="402"/>
      <c r="D62" s="403"/>
      <c r="E62" s="403"/>
      <c r="F62" s="212"/>
      <c r="G62" s="212"/>
      <c r="H62" s="212"/>
      <c r="I62" s="212"/>
      <c r="J62" s="212"/>
      <c r="K62" s="212"/>
      <c r="L62" s="212"/>
      <c r="M62" s="404"/>
      <c r="N62" s="545"/>
      <c r="O62" s="404"/>
      <c r="P62" s="402"/>
      <c r="Q62" s="385"/>
      <c r="R62" s="572"/>
      <c r="S62" s="386"/>
      <c r="T62" s="25"/>
      <c r="U62" s="25"/>
      <c r="V62" s="25"/>
    </row>
    <row r="63" spans="1:22" x14ac:dyDescent="0.2">
      <c r="A63" s="795">
        <v>5112</v>
      </c>
      <c r="B63" s="387" t="s">
        <v>1362</v>
      </c>
      <c r="C63" s="391">
        <v>544527.98</v>
      </c>
      <c r="D63" s="391">
        <f>165.7+562801.37+6191.59</f>
        <v>569158.65999999992</v>
      </c>
      <c r="E63" s="391">
        <v>540718.27</v>
      </c>
      <c r="F63" s="212"/>
      <c r="G63" s="212"/>
      <c r="H63" s="212"/>
      <c r="I63" s="212"/>
      <c r="J63" s="212"/>
      <c r="K63" s="212"/>
      <c r="L63" s="212"/>
      <c r="M63" s="610">
        <f>+O9+14768</f>
        <v>708415</v>
      </c>
      <c r="N63" s="411">
        <f t="shared" ref="N63:N69" si="9">+Q9</f>
        <v>798349</v>
      </c>
      <c r="O63" s="414">
        <f t="shared" ref="O63:O101" si="10">+N63-M63</f>
        <v>89934</v>
      </c>
      <c r="P63" s="392">
        <f t="shared" ref="P63:P94" si="11">IF(M63+N63&lt;&gt;0,IF(M63&lt;&gt;0,IF(O63&lt;&gt;0,ROUND((+O63/M63),4),""),1),"")</f>
        <v>0.127</v>
      </c>
      <c r="Q63" s="385" t="s">
        <v>1365</v>
      </c>
      <c r="R63" s="572"/>
      <c r="S63" s="386"/>
      <c r="T63" s="25"/>
      <c r="U63" s="25"/>
      <c r="V63" s="25"/>
    </row>
    <row r="64" spans="1:22" x14ac:dyDescent="0.2">
      <c r="A64" s="795">
        <v>5132</v>
      </c>
      <c r="B64" s="387" t="s">
        <v>1291</v>
      </c>
      <c r="C64" s="391">
        <f>232.1+5303.32</f>
        <v>5535.42</v>
      </c>
      <c r="D64" s="391">
        <f>136.61+5676.65</f>
        <v>5813.2599999999993</v>
      </c>
      <c r="E64" s="391">
        <v>4186.1000000000004</v>
      </c>
      <c r="F64" s="212"/>
      <c r="G64" s="212"/>
      <c r="H64" s="212"/>
      <c r="I64" s="212"/>
      <c r="J64" s="212"/>
      <c r="K64" s="212"/>
      <c r="L64" s="212"/>
      <c r="M64" s="390">
        <f t="shared" ref="M64:M69" si="12">+O10</f>
        <v>12250</v>
      </c>
      <c r="N64" s="411">
        <f t="shared" si="9"/>
        <v>15000</v>
      </c>
      <c r="O64" s="414">
        <f t="shared" si="10"/>
        <v>2750</v>
      </c>
      <c r="P64" s="392">
        <f t="shared" si="11"/>
        <v>0.22450000000000001</v>
      </c>
      <c r="Q64" s="385" t="s">
        <v>1365</v>
      </c>
      <c r="R64" s="572"/>
      <c r="S64" s="386"/>
      <c r="T64" s="25"/>
      <c r="U64" s="25"/>
      <c r="V64" s="25"/>
    </row>
    <row r="65" spans="1:22" x14ac:dyDescent="0.2">
      <c r="A65" s="795">
        <v>5142</v>
      </c>
      <c r="B65" s="387" t="s">
        <v>1368</v>
      </c>
      <c r="C65" s="393">
        <v>5672.24</v>
      </c>
      <c r="D65" s="393">
        <f>19.09+5997.6</f>
        <v>6016.6900000000005</v>
      </c>
      <c r="E65" s="393">
        <v>6103.83</v>
      </c>
      <c r="F65" s="212"/>
      <c r="G65" s="212"/>
      <c r="H65" s="212"/>
      <c r="I65" s="212"/>
      <c r="J65" s="212"/>
      <c r="K65" s="212"/>
      <c r="L65" s="212"/>
      <c r="M65" s="390">
        <f t="shared" si="12"/>
        <v>20315</v>
      </c>
      <c r="N65" s="411">
        <f t="shared" si="9"/>
        <v>16800</v>
      </c>
      <c r="O65" s="414">
        <f t="shared" si="10"/>
        <v>-3515</v>
      </c>
      <c r="P65" s="392">
        <f t="shared" si="11"/>
        <v>-0.17299999999999999</v>
      </c>
      <c r="Q65" s="385" t="s">
        <v>1365</v>
      </c>
      <c r="R65" s="572"/>
      <c r="S65" s="386"/>
      <c r="T65" s="25"/>
      <c r="U65" s="25"/>
      <c r="V65" s="25"/>
    </row>
    <row r="66" spans="1:22" x14ac:dyDescent="0.2">
      <c r="A66" s="795">
        <v>5144</v>
      </c>
      <c r="B66" s="387" t="s">
        <v>27</v>
      </c>
      <c r="C66" s="391">
        <v>2600</v>
      </c>
      <c r="D66" s="391">
        <v>3750</v>
      </c>
      <c r="E66" s="391">
        <v>3000</v>
      </c>
      <c r="F66" s="212"/>
      <c r="G66" s="212"/>
      <c r="H66" s="212"/>
      <c r="I66" s="212"/>
      <c r="J66" s="212"/>
      <c r="K66" s="212"/>
      <c r="L66" s="212"/>
      <c r="M66" s="390">
        <f t="shared" si="12"/>
        <v>2100</v>
      </c>
      <c r="N66" s="411">
        <f t="shared" si="9"/>
        <v>3700</v>
      </c>
      <c r="O66" s="414">
        <f t="shared" si="10"/>
        <v>1600</v>
      </c>
      <c r="P66" s="392">
        <f t="shared" si="11"/>
        <v>0.76190000000000002</v>
      </c>
      <c r="Q66" s="385"/>
      <c r="R66" s="572"/>
      <c r="S66" s="386"/>
      <c r="T66" s="25"/>
      <c r="U66" s="25"/>
      <c r="V66" s="25"/>
    </row>
    <row r="67" spans="1:22" x14ac:dyDescent="0.2">
      <c r="A67" s="795">
        <v>5145</v>
      </c>
      <c r="B67" s="387" t="s">
        <v>1148</v>
      </c>
      <c r="C67" s="391">
        <v>600.08000000000004</v>
      </c>
      <c r="D67" s="391">
        <v>842.42</v>
      </c>
      <c r="E67" s="391">
        <v>1200.1600000000001</v>
      </c>
      <c r="F67" s="212"/>
      <c r="G67" s="212"/>
      <c r="H67" s="212"/>
      <c r="I67" s="212"/>
      <c r="J67" s="212"/>
      <c r="K67" s="212"/>
      <c r="L67" s="212"/>
      <c r="M67" s="390">
        <f t="shared" si="12"/>
        <v>1525</v>
      </c>
      <c r="N67" s="411">
        <f t="shared" si="9"/>
        <v>1525</v>
      </c>
      <c r="O67" s="414">
        <f t="shared" si="10"/>
        <v>0</v>
      </c>
      <c r="P67" s="392" t="str">
        <f t="shared" si="11"/>
        <v/>
      </c>
      <c r="Q67" s="385"/>
      <c r="R67" s="572"/>
      <c r="S67" s="386"/>
      <c r="T67" s="25"/>
      <c r="U67" s="25"/>
      <c r="V67" s="25"/>
    </row>
    <row r="68" spans="1:22" x14ac:dyDescent="0.2">
      <c r="A68" s="795">
        <v>5193</v>
      </c>
      <c r="B68" s="387" t="s">
        <v>941</v>
      </c>
      <c r="C68" s="391"/>
      <c r="D68" s="391"/>
      <c r="E68" s="391">
        <v>9799.56</v>
      </c>
      <c r="F68" s="212"/>
      <c r="G68" s="212"/>
      <c r="H68" s="212"/>
      <c r="I68" s="212"/>
      <c r="J68" s="212"/>
      <c r="K68" s="212"/>
      <c r="L68" s="212"/>
      <c r="M68" s="390">
        <f t="shared" si="12"/>
        <v>0</v>
      </c>
      <c r="N68" s="411">
        <f t="shared" si="9"/>
        <v>0</v>
      </c>
      <c r="O68" s="414">
        <f t="shared" si="10"/>
        <v>0</v>
      </c>
      <c r="P68" s="392" t="str">
        <f t="shared" si="11"/>
        <v/>
      </c>
      <c r="Q68" s="385"/>
      <c r="R68" s="572"/>
      <c r="S68" s="386"/>
      <c r="T68" s="25"/>
      <c r="U68" s="25"/>
      <c r="V68" s="25"/>
    </row>
    <row r="69" spans="1:22" ht="13.5" thickBot="1" x14ac:dyDescent="0.25">
      <c r="A69" s="795">
        <v>5194</v>
      </c>
      <c r="B69" s="387" t="s">
        <v>942</v>
      </c>
      <c r="C69" s="409"/>
      <c r="D69" s="409"/>
      <c r="E69" s="409">
        <v>5134.3</v>
      </c>
      <c r="F69" s="212"/>
      <c r="G69" s="212"/>
      <c r="H69" s="212"/>
      <c r="I69" s="212"/>
      <c r="J69" s="212"/>
      <c r="K69" s="212"/>
      <c r="L69" s="212"/>
      <c r="M69" s="390">
        <f t="shared" si="12"/>
        <v>0</v>
      </c>
      <c r="N69" s="411">
        <f t="shared" si="9"/>
        <v>0</v>
      </c>
      <c r="O69" s="414">
        <f t="shared" si="10"/>
        <v>0</v>
      </c>
      <c r="P69" s="392" t="str">
        <f t="shared" si="11"/>
        <v/>
      </c>
      <c r="Q69" s="385"/>
      <c r="R69" s="572"/>
      <c r="S69" s="386"/>
      <c r="T69" s="25"/>
      <c r="U69" s="25"/>
      <c r="V69" s="25"/>
    </row>
    <row r="70" spans="1:22" x14ac:dyDescent="0.2">
      <c r="A70" s="795">
        <v>5242</v>
      </c>
      <c r="B70" s="387" t="s">
        <v>1293</v>
      </c>
      <c r="C70" s="391"/>
      <c r="D70" s="383">
        <v>1665</v>
      </c>
      <c r="E70" s="383">
        <v>687.54</v>
      </c>
      <c r="F70" s="212"/>
      <c r="G70" s="212"/>
      <c r="H70" s="212"/>
      <c r="I70" s="212"/>
      <c r="J70" s="212"/>
      <c r="K70" s="212"/>
      <c r="L70" s="212"/>
      <c r="M70" s="384">
        <f t="shared" ref="M70:M99" si="13">+O18</f>
        <v>7100</v>
      </c>
      <c r="N70" s="411">
        <f t="shared" ref="N70:N99" si="14">+Q18</f>
        <v>7100</v>
      </c>
      <c r="O70" s="414">
        <f t="shared" si="10"/>
        <v>0</v>
      </c>
      <c r="P70" s="392" t="str">
        <f t="shared" si="11"/>
        <v/>
      </c>
      <c r="Q70" s="385"/>
      <c r="R70" s="572"/>
      <c r="S70" s="386"/>
      <c r="T70" s="4"/>
      <c r="U70" s="4"/>
      <c r="V70" s="4"/>
    </row>
    <row r="71" spans="1:22" x14ac:dyDescent="0.2">
      <c r="A71" s="795">
        <v>5245</v>
      </c>
      <c r="B71" s="387" t="s">
        <v>1295</v>
      </c>
      <c r="C71" s="391">
        <v>15640.85</v>
      </c>
      <c r="D71" s="383">
        <v>20923.13</v>
      </c>
      <c r="E71" s="383">
        <v>22296.94</v>
      </c>
      <c r="F71" s="212"/>
      <c r="G71" s="212"/>
      <c r="H71" s="212"/>
      <c r="I71" s="212"/>
      <c r="J71" s="212"/>
      <c r="K71" s="212"/>
      <c r="L71" s="212"/>
      <c r="M71" s="384">
        <f t="shared" si="13"/>
        <v>35000</v>
      </c>
      <c r="N71" s="411">
        <f t="shared" si="14"/>
        <v>35000</v>
      </c>
      <c r="O71" s="414">
        <f t="shared" si="10"/>
        <v>0</v>
      </c>
      <c r="P71" s="392" t="str">
        <f t="shared" si="11"/>
        <v/>
      </c>
      <c r="Q71" s="385"/>
      <c r="R71" s="572"/>
      <c r="S71" s="386"/>
      <c r="T71" s="4"/>
      <c r="U71" s="4"/>
      <c r="V71" s="4"/>
    </row>
    <row r="72" spans="1:22" x14ac:dyDescent="0.2">
      <c r="A72" s="795">
        <v>5248</v>
      </c>
      <c r="B72" s="387" t="s">
        <v>905</v>
      </c>
      <c r="C72" s="391"/>
      <c r="D72" s="383">
        <v>0</v>
      </c>
      <c r="E72" s="383">
        <v>503.29</v>
      </c>
      <c r="F72" s="212"/>
      <c r="G72" s="212"/>
      <c r="H72" s="212"/>
      <c r="I72" s="212"/>
      <c r="J72" s="212"/>
      <c r="K72" s="212"/>
      <c r="L72" s="212"/>
      <c r="M72" s="384">
        <f t="shared" si="13"/>
        <v>2000</v>
      </c>
      <c r="N72" s="411">
        <f t="shared" si="14"/>
        <v>2000</v>
      </c>
      <c r="O72" s="414">
        <f t="shared" si="10"/>
        <v>0</v>
      </c>
      <c r="P72" s="392" t="str">
        <f t="shared" si="11"/>
        <v/>
      </c>
      <c r="Q72" s="385"/>
      <c r="R72" s="572"/>
      <c r="S72" s="386"/>
      <c r="T72" s="4"/>
      <c r="U72" s="4"/>
      <c r="V72" s="4"/>
    </row>
    <row r="73" spans="1:22" x14ac:dyDescent="0.2">
      <c r="A73" s="795">
        <v>5251</v>
      </c>
      <c r="B73" s="387" t="s">
        <v>1297</v>
      </c>
      <c r="C73" s="398">
        <v>2288.5700000000002</v>
      </c>
      <c r="D73" s="383">
        <v>3552.43</v>
      </c>
      <c r="E73" s="383">
        <v>5595.84</v>
      </c>
      <c r="F73" s="212"/>
      <c r="G73" s="212"/>
      <c r="H73" s="212"/>
      <c r="I73" s="212"/>
      <c r="J73" s="212"/>
      <c r="K73" s="212"/>
      <c r="L73" s="212"/>
      <c r="M73" s="384">
        <f t="shared" si="13"/>
        <v>9200</v>
      </c>
      <c r="N73" s="411">
        <f t="shared" si="14"/>
        <v>9200</v>
      </c>
      <c r="O73" s="414">
        <f t="shared" si="10"/>
        <v>0</v>
      </c>
      <c r="P73" s="392" t="str">
        <f t="shared" si="11"/>
        <v/>
      </c>
      <c r="Q73" s="385"/>
      <c r="R73" s="572"/>
      <c r="S73" s="386"/>
      <c r="T73" s="4"/>
      <c r="U73" s="4"/>
      <c r="V73" s="4"/>
    </row>
    <row r="74" spans="1:22" hidden="1" x14ac:dyDescent="0.2">
      <c r="A74" s="795">
        <v>5277</v>
      </c>
      <c r="B74" s="387" t="s">
        <v>1298</v>
      </c>
      <c r="C74" s="391"/>
      <c r="D74" s="383">
        <v>0</v>
      </c>
      <c r="E74" s="383"/>
      <c r="F74" s="212"/>
      <c r="G74" s="212"/>
      <c r="H74" s="212"/>
      <c r="I74" s="212"/>
      <c r="J74" s="212"/>
      <c r="K74" s="212"/>
      <c r="L74" s="212"/>
      <c r="M74" s="384">
        <f t="shared" si="13"/>
        <v>0</v>
      </c>
      <c r="N74" s="411">
        <f t="shared" si="14"/>
        <v>0</v>
      </c>
      <c r="O74" s="414">
        <f t="shared" si="10"/>
        <v>0</v>
      </c>
      <c r="P74" s="392" t="str">
        <f t="shared" si="11"/>
        <v/>
      </c>
      <c r="Q74" s="385"/>
      <c r="R74" s="572"/>
      <c r="S74" s="386"/>
      <c r="T74" s="4"/>
      <c r="U74" s="4"/>
      <c r="V74" s="4"/>
    </row>
    <row r="75" spans="1:22" hidden="1" x14ac:dyDescent="0.2">
      <c r="A75" s="795">
        <v>5278</v>
      </c>
      <c r="B75" s="387" t="s">
        <v>1370</v>
      </c>
      <c r="C75" s="391">
        <v>6254.36</v>
      </c>
      <c r="D75" s="383">
        <v>7210.2</v>
      </c>
      <c r="E75" s="383">
        <v>7337.82</v>
      </c>
      <c r="F75" s="212"/>
      <c r="G75" s="212"/>
      <c r="H75" s="212"/>
      <c r="I75" s="212"/>
      <c r="J75" s="212"/>
      <c r="K75" s="212"/>
      <c r="L75" s="212"/>
      <c r="M75" s="384">
        <f t="shared" si="13"/>
        <v>0</v>
      </c>
      <c r="N75" s="411">
        <f t="shared" si="14"/>
        <v>0</v>
      </c>
      <c r="O75" s="414">
        <f t="shared" si="10"/>
        <v>0</v>
      </c>
      <c r="P75" s="392" t="str">
        <f t="shared" si="11"/>
        <v/>
      </c>
      <c r="Q75" s="385"/>
      <c r="R75" s="572"/>
      <c r="S75" s="386"/>
      <c r="T75" s="4"/>
      <c r="U75" s="4"/>
      <c r="V75" s="4"/>
    </row>
    <row r="76" spans="1:22" x14ac:dyDescent="0.2">
      <c r="A76" s="795">
        <v>5310</v>
      </c>
      <c r="B76" s="387" t="s">
        <v>1300</v>
      </c>
      <c r="C76" s="391">
        <v>1659.5</v>
      </c>
      <c r="D76" s="383">
        <v>1863</v>
      </c>
      <c r="E76" s="383">
        <v>1535</v>
      </c>
      <c r="F76" s="212"/>
      <c r="G76" s="212"/>
      <c r="H76" s="212"/>
      <c r="I76" s="212"/>
      <c r="J76" s="212"/>
      <c r="K76" s="212"/>
      <c r="L76" s="212"/>
      <c r="M76" s="384">
        <f t="shared" si="13"/>
        <v>5000</v>
      </c>
      <c r="N76" s="411">
        <f t="shared" si="14"/>
        <v>5000</v>
      </c>
      <c r="O76" s="414">
        <f t="shared" si="10"/>
        <v>0</v>
      </c>
      <c r="P76" s="392" t="str">
        <f t="shared" si="11"/>
        <v/>
      </c>
      <c r="Q76" s="385"/>
      <c r="R76" s="572"/>
      <c r="S76" s="386"/>
      <c r="T76" s="4"/>
      <c r="U76" s="4"/>
      <c r="V76" s="4"/>
    </row>
    <row r="77" spans="1:22" x14ac:dyDescent="0.2">
      <c r="A77" s="795">
        <v>5314</v>
      </c>
      <c r="B77" s="387" t="s">
        <v>860</v>
      </c>
      <c r="C77" s="391">
        <v>35</v>
      </c>
      <c r="D77" s="383">
        <v>65</v>
      </c>
      <c r="E77" s="383">
        <v>80</v>
      </c>
      <c r="F77" s="212"/>
      <c r="G77" s="212"/>
      <c r="H77" s="212"/>
      <c r="I77" s="212"/>
      <c r="J77" s="212"/>
      <c r="K77" s="212"/>
      <c r="L77" s="212"/>
      <c r="M77" s="384">
        <f t="shared" si="13"/>
        <v>200</v>
      </c>
      <c r="N77" s="411">
        <f t="shared" si="14"/>
        <v>1000</v>
      </c>
      <c r="O77" s="414">
        <f t="shared" si="10"/>
        <v>800</v>
      </c>
      <c r="P77" s="392">
        <f t="shared" si="11"/>
        <v>4</v>
      </c>
      <c r="Q77" s="385" t="s">
        <v>2243</v>
      </c>
      <c r="R77" s="572"/>
      <c r="S77" s="386"/>
      <c r="T77" s="4"/>
      <c r="U77" s="4"/>
      <c r="V77" s="4"/>
    </row>
    <row r="78" spans="1:22" x14ac:dyDescent="0.2">
      <c r="A78" s="795">
        <v>5315</v>
      </c>
      <c r="B78" s="387" t="s">
        <v>1301</v>
      </c>
      <c r="C78" s="391">
        <v>24208.71</v>
      </c>
      <c r="D78" s="383">
        <v>21600.63</v>
      </c>
      <c r="E78" s="383">
        <v>27572.84</v>
      </c>
      <c r="F78" s="212"/>
      <c r="G78" s="212"/>
      <c r="H78" s="212"/>
      <c r="I78" s="212"/>
      <c r="J78" s="212"/>
      <c r="K78" s="212"/>
      <c r="L78" s="212"/>
      <c r="M78" s="384">
        <f t="shared" si="13"/>
        <v>18500</v>
      </c>
      <c r="N78" s="411">
        <f t="shared" si="14"/>
        <v>18500</v>
      </c>
      <c r="O78" s="414">
        <f t="shared" si="10"/>
        <v>0</v>
      </c>
      <c r="P78" s="392" t="str">
        <f t="shared" si="11"/>
        <v/>
      </c>
      <c r="Q78" s="385"/>
      <c r="R78" s="572"/>
      <c r="S78" s="386"/>
      <c r="T78" s="4"/>
      <c r="U78" s="4"/>
      <c r="V78" s="4"/>
    </row>
    <row r="79" spans="1:22" x14ac:dyDescent="0.2">
      <c r="A79" s="795">
        <v>5320</v>
      </c>
      <c r="B79" s="387" t="s">
        <v>1302</v>
      </c>
      <c r="C79" s="391"/>
      <c r="D79" s="383"/>
      <c r="E79" s="383"/>
      <c r="F79" s="212"/>
      <c r="G79" s="212"/>
      <c r="H79" s="212"/>
      <c r="I79" s="212"/>
      <c r="J79" s="212"/>
      <c r="K79" s="212"/>
      <c r="L79" s="212"/>
      <c r="M79" s="384">
        <f t="shared" si="13"/>
        <v>28000</v>
      </c>
      <c r="N79" s="411">
        <f t="shared" si="14"/>
        <v>28000</v>
      </c>
      <c r="O79" s="414">
        <f t="shared" si="10"/>
        <v>0</v>
      </c>
      <c r="P79" s="392" t="str">
        <f t="shared" si="11"/>
        <v/>
      </c>
      <c r="Q79" s="385"/>
      <c r="R79" s="572"/>
      <c r="S79" s="386"/>
      <c r="T79" s="4"/>
      <c r="U79" s="4"/>
      <c r="V79" s="4"/>
    </row>
    <row r="80" spans="1:22" x14ac:dyDescent="0.2">
      <c r="A80" s="795">
        <v>5341</v>
      </c>
      <c r="B80" s="387" t="s">
        <v>1303</v>
      </c>
      <c r="C80" s="391">
        <v>3078.49</v>
      </c>
      <c r="D80" s="383">
        <v>3210.87</v>
      </c>
      <c r="E80" s="383">
        <v>3419.12</v>
      </c>
      <c r="F80" s="212"/>
      <c r="G80" s="212"/>
      <c r="H80" s="212"/>
      <c r="I80" s="212"/>
      <c r="J80" s="212"/>
      <c r="K80" s="212"/>
      <c r="L80" s="212"/>
      <c r="M80" s="384">
        <f t="shared" si="13"/>
        <v>3000</v>
      </c>
      <c r="N80" s="411">
        <f t="shared" si="14"/>
        <v>3000</v>
      </c>
      <c r="O80" s="414">
        <f t="shared" si="10"/>
        <v>0</v>
      </c>
      <c r="P80" s="392" t="str">
        <f t="shared" si="11"/>
        <v/>
      </c>
      <c r="Q80" s="385"/>
      <c r="R80" s="572"/>
      <c r="S80" s="386"/>
      <c r="T80" s="4"/>
      <c r="U80" s="4"/>
      <c r="V80" s="4"/>
    </row>
    <row r="81" spans="1:22" x14ac:dyDescent="0.2">
      <c r="A81" s="795">
        <v>5344</v>
      </c>
      <c r="B81" s="387" t="s">
        <v>832</v>
      </c>
      <c r="C81" s="393">
        <v>60.4</v>
      </c>
      <c r="D81" s="383">
        <v>78.47</v>
      </c>
      <c r="E81" s="383">
        <v>55</v>
      </c>
      <c r="F81" s="212"/>
      <c r="G81" s="212"/>
      <c r="H81" s="212"/>
      <c r="I81" s="212"/>
      <c r="J81" s="212"/>
      <c r="K81" s="212"/>
      <c r="L81" s="212"/>
      <c r="M81" s="384">
        <f t="shared" si="13"/>
        <v>100</v>
      </c>
      <c r="N81" s="411">
        <f t="shared" si="14"/>
        <v>100</v>
      </c>
      <c r="O81" s="414">
        <f t="shared" si="10"/>
        <v>0</v>
      </c>
      <c r="P81" s="392" t="str">
        <f t="shared" si="11"/>
        <v/>
      </c>
      <c r="Q81" s="385"/>
      <c r="R81" s="572"/>
      <c r="S81" s="386"/>
      <c r="T81" s="4"/>
      <c r="U81" s="4"/>
      <c r="V81" s="4"/>
    </row>
    <row r="82" spans="1:22" x14ac:dyDescent="0.2">
      <c r="A82" s="795">
        <v>5345</v>
      </c>
      <c r="B82" s="387" t="s">
        <v>863</v>
      </c>
      <c r="C82" s="391">
        <v>50.81</v>
      </c>
      <c r="D82" s="383">
        <v>237.71</v>
      </c>
      <c r="E82" s="383">
        <v>835.56</v>
      </c>
      <c r="F82" s="212"/>
      <c r="G82" s="212"/>
      <c r="H82" s="212"/>
      <c r="I82" s="212"/>
      <c r="J82" s="212"/>
      <c r="K82" s="212"/>
      <c r="L82" s="212"/>
      <c r="M82" s="384">
        <f t="shared" si="13"/>
        <v>2500</v>
      </c>
      <c r="N82" s="411">
        <f t="shared" si="14"/>
        <v>2500</v>
      </c>
      <c r="O82" s="414">
        <f t="shared" si="10"/>
        <v>0</v>
      </c>
      <c r="P82" s="392" t="str">
        <f t="shared" si="11"/>
        <v/>
      </c>
      <c r="Q82" s="385"/>
      <c r="R82" s="572"/>
      <c r="S82" s="386"/>
      <c r="T82" s="4"/>
      <c r="U82" s="4"/>
      <c r="V82" s="4"/>
    </row>
    <row r="83" spans="1:22" x14ac:dyDescent="0.2">
      <c r="A83" s="795">
        <v>5420</v>
      </c>
      <c r="B83" s="387" t="s">
        <v>864</v>
      </c>
      <c r="C83" s="383">
        <v>965.81</v>
      </c>
      <c r="D83" s="383">
        <v>694.26</v>
      </c>
      <c r="E83" s="383">
        <v>1611.93</v>
      </c>
      <c r="F83" s="212"/>
      <c r="G83" s="212"/>
      <c r="H83" s="212"/>
      <c r="I83" s="212"/>
      <c r="J83" s="212"/>
      <c r="K83" s="212"/>
      <c r="L83" s="212"/>
      <c r="M83" s="384">
        <f t="shared" si="13"/>
        <v>3500</v>
      </c>
      <c r="N83" s="411">
        <f t="shared" si="14"/>
        <v>3500</v>
      </c>
      <c r="O83" s="414">
        <f t="shared" si="10"/>
        <v>0</v>
      </c>
      <c r="P83" s="392" t="str">
        <f t="shared" si="11"/>
        <v/>
      </c>
      <c r="Q83" s="385"/>
      <c r="R83" s="572"/>
      <c r="S83" s="386"/>
      <c r="T83" s="4"/>
      <c r="U83" s="4"/>
      <c r="V83" s="4"/>
    </row>
    <row r="84" spans="1:22" x14ac:dyDescent="0.2">
      <c r="A84" s="795">
        <v>5430</v>
      </c>
      <c r="B84" s="387" t="s">
        <v>1304</v>
      </c>
      <c r="C84" s="391">
        <v>680.13</v>
      </c>
      <c r="D84" s="383">
        <v>738.74</v>
      </c>
      <c r="E84" s="383">
        <v>671.33</v>
      </c>
      <c r="F84" s="212"/>
      <c r="G84" s="212"/>
      <c r="H84" s="212"/>
      <c r="I84" s="212"/>
      <c r="J84" s="212"/>
      <c r="K84" s="212"/>
      <c r="L84" s="212"/>
      <c r="M84" s="384">
        <f t="shared" si="13"/>
        <v>2500</v>
      </c>
      <c r="N84" s="411">
        <f t="shared" si="14"/>
        <v>2500</v>
      </c>
      <c r="O84" s="414">
        <f t="shared" si="10"/>
        <v>0</v>
      </c>
      <c r="P84" s="392" t="str">
        <f t="shared" si="11"/>
        <v/>
      </c>
      <c r="Q84" s="385"/>
      <c r="R84" s="572"/>
      <c r="S84" s="386"/>
      <c r="T84" s="4"/>
      <c r="U84" s="4"/>
      <c r="V84" s="4"/>
    </row>
    <row r="85" spans="1:22" x14ac:dyDescent="0.2">
      <c r="A85" s="795">
        <v>5432</v>
      </c>
      <c r="B85" s="387" t="s">
        <v>1371</v>
      </c>
      <c r="C85" s="391">
        <v>37.119999999999997</v>
      </c>
      <c r="D85" s="383">
        <v>13.95</v>
      </c>
      <c r="E85" s="383"/>
      <c r="F85" s="212"/>
      <c r="G85" s="212"/>
      <c r="H85" s="212"/>
      <c r="I85" s="212"/>
      <c r="J85" s="212"/>
      <c r="K85" s="212"/>
      <c r="L85" s="212"/>
      <c r="M85" s="384">
        <f t="shared" si="13"/>
        <v>0</v>
      </c>
      <c r="N85" s="411">
        <f t="shared" si="14"/>
        <v>0</v>
      </c>
      <c r="O85" s="414">
        <f t="shared" si="10"/>
        <v>0</v>
      </c>
      <c r="P85" s="392" t="str">
        <f t="shared" si="11"/>
        <v/>
      </c>
      <c r="Q85" s="385"/>
      <c r="R85" s="572"/>
      <c r="S85" s="386"/>
      <c r="T85" s="4"/>
      <c r="U85" s="4"/>
      <c r="V85" s="4"/>
    </row>
    <row r="86" spans="1:22" x14ac:dyDescent="0.2">
      <c r="A86" s="795">
        <v>5435</v>
      </c>
      <c r="B86" s="387" t="s">
        <v>1372</v>
      </c>
      <c r="C86" s="383">
        <v>2223.06</v>
      </c>
      <c r="D86" s="383">
        <v>1519.3</v>
      </c>
      <c r="E86" s="383">
        <v>2230.3200000000002</v>
      </c>
      <c r="F86" s="212"/>
      <c r="G86" s="212"/>
      <c r="H86" s="212"/>
      <c r="I86" s="212"/>
      <c r="J86" s="212"/>
      <c r="K86" s="212"/>
      <c r="L86" s="212"/>
      <c r="M86" s="384">
        <f t="shared" si="13"/>
        <v>5000</v>
      </c>
      <c r="N86" s="411">
        <f t="shared" si="14"/>
        <v>5000</v>
      </c>
      <c r="O86" s="414">
        <f t="shared" si="10"/>
        <v>0</v>
      </c>
      <c r="P86" s="392" t="str">
        <f t="shared" si="11"/>
        <v/>
      </c>
      <c r="Q86" s="385"/>
      <c r="R86" s="572"/>
      <c r="S86" s="386"/>
      <c r="T86" s="4"/>
      <c r="U86" s="4"/>
      <c r="V86" s="4"/>
    </row>
    <row r="87" spans="1:22" x14ac:dyDescent="0.2">
      <c r="A87" s="795">
        <v>5440</v>
      </c>
      <c r="B87" s="387" t="s">
        <v>1307</v>
      </c>
      <c r="C87" s="391">
        <v>4022.66</v>
      </c>
      <c r="D87" s="383">
        <v>4443.3500000000004</v>
      </c>
      <c r="E87" s="383">
        <v>6122.27</v>
      </c>
      <c r="F87" s="212"/>
      <c r="G87" s="212"/>
      <c r="H87" s="212"/>
      <c r="I87" s="212"/>
      <c r="J87" s="212"/>
      <c r="K87" s="212"/>
      <c r="L87" s="212"/>
      <c r="M87" s="384">
        <f t="shared" si="13"/>
        <v>8000</v>
      </c>
      <c r="N87" s="411">
        <f t="shared" si="14"/>
        <v>10000</v>
      </c>
      <c r="O87" s="414">
        <f t="shared" si="10"/>
        <v>2000</v>
      </c>
      <c r="P87" s="392">
        <f t="shared" si="11"/>
        <v>0.25</v>
      </c>
      <c r="Q87" s="385" t="s">
        <v>2244</v>
      </c>
      <c r="R87" s="572"/>
      <c r="S87" s="386"/>
      <c r="T87" s="4"/>
      <c r="U87" s="4"/>
      <c r="V87" s="4"/>
    </row>
    <row r="88" spans="1:22" x14ac:dyDescent="0.2">
      <c r="A88" s="795">
        <v>5443</v>
      </c>
      <c r="B88" s="387" t="s">
        <v>1308</v>
      </c>
      <c r="C88" s="391">
        <v>16245.85</v>
      </c>
      <c r="D88" s="383">
        <v>20320.52</v>
      </c>
      <c r="E88" s="383">
        <v>16077.74</v>
      </c>
      <c r="F88" s="212"/>
      <c r="G88" s="212"/>
      <c r="H88" s="212"/>
      <c r="I88" s="212"/>
      <c r="J88" s="212"/>
      <c r="K88" s="212"/>
      <c r="L88" s="212"/>
      <c r="M88" s="384">
        <f t="shared" si="13"/>
        <v>57000</v>
      </c>
      <c r="N88" s="411">
        <f t="shared" si="14"/>
        <v>57000</v>
      </c>
      <c r="O88" s="414">
        <f t="shared" si="10"/>
        <v>0</v>
      </c>
      <c r="P88" s="392" t="str">
        <f t="shared" si="11"/>
        <v/>
      </c>
      <c r="Q88" s="385"/>
      <c r="R88" s="572"/>
      <c r="S88" s="386"/>
      <c r="T88" s="4"/>
      <c r="U88" s="4"/>
      <c r="V88" s="4"/>
    </row>
    <row r="89" spans="1:22" x14ac:dyDescent="0.2">
      <c r="A89" s="795">
        <v>5481</v>
      </c>
      <c r="B89" s="387" t="s">
        <v>1167</v>
      </c>
      <c r="C89" s="391">
        <v>23072.400000000001</v>
      </c>
      <c r="D89" s="391">
        <v>32924.959999999999</v>
      </c>
      <c r="E89" s="391">
        <v>27697.48</v>
      </c>
      <c r="F89" s="212"/>
      <c r="G89" s="212"/>
      <c r="H89" s="212"/>
      <c r="I89" s="212"/>
      <c r="J89" s="212"/>
      <c r="K89" s="212"/>
      <c r="L89" s="212"/>
      <c r="M89" s="384">
        <f t="shared" si="13"/>
        <v>45000</v>
      </c>
      <c r="N89" s="411">
        <f t="shared" si="14"/>
        <v>63140</v>
      </c>
      <c r="O89" s="414">
        <f t="shared" si="10"/>
        <v>18140</v>
      </c>
      <c r="P89" s="392">
        <f t="shared" si="11"/>
        <v>0.40310000000000001</v>
      </c>
      <c r="Q89" s="385" t="s">
        <v>2244</v>
      </c>
      <c r="R89" s="572"/>
      <c r="S89" s="386"/>
      <c r="T89" s="4"/>
      <c r="U89" s="4"/>
      <c r="V89" s="4"/>
    </row>
    <row r="90" spans="1:22" x14ac:dyDescent="0.2">
      <c r="A90" s="795">
        <v>5482</v>
      </c>
      <c r="B90" s="387" t="s">
        <v>1310</v>
      </c>
      <c r="C90" s="391">
        <v>55086.99</v>
      </c>
      <c r="D90" s="391">
        <v>73803.73</v>
      </c>
      <c r="E90" s="391">
        <v>75053.789999999994</v>
      </c>
      <c r="F90" s="212"/>
      <c r="G90" s="212"/>
      <c r="H90" s="212"/>
      <c r="I90" s="212"/>
      <c r="J90" s="212"/>
      <c r="K90" s="212"/>
      <c r="L90" s="212"/>
      <c r="M90" s="384">
        <f t="shared" si="13"/>
        <v>53000</v>
      </c>
      <c r="N90" s="411">
        <f t="shared" si="14"/>
        <v>67200</v>
      </c>
      <c r="O90" s="414">
        <f t="shared" si="10"/>
        <v>14200</v>
      </c>
      <c r="P90" s="392">
        <f t="shared" si="11"/>
        <v>0.26790000000000003</v>
      </c>
      <c r="Q90" s="385" t="s">
        <v>2244</v>
      </c>
      <c r="R90" s="572"/>
      <c r="S90" s="386"/>
      <c r="T90" s="4"/>
      <c r="U90" s="4"/>
      <c r="V90" s="4"/>
    </row>
    <row r="91" spans="1:22" x14ac:dyDescent="0.2">
      <c r="A91" s="795">
        <v>5484</v>
      </c>
      <c r="B91" s="387" t="s">
        <v>1311</v>
      </c>
      <c r="C91" s="391">
        <v>41019.53</v>
      </c>
      <c r="D91" s="383">
        <v>46732</v>
      </c>
      <c r="E91" s="383">
        <v>75705.59</v>
      </c>
      <c r="F91" s="212"/>
      <c r="G91" s="212"/>
      <c r="H91" s="212"/>
      <c r="I91" s="212"/>
      <c r="J91" s="212"/>
      <c r="K91" s="212"/>
      <c r="L91" s="212"/>
      <c r="M91" s="384">
        <f t="shared" si="13"/>
        <v>85000</v>
      </c>
      <c r="N91" s="411">
        <f t="shared" si="14"/>
        <v>85000</v>
      </c>
      <c r="O91" s="414">
        <f t="shared" si="10"/>
        <v>0</v>
      </c>
      <c r="P91" s="392" t="str">
        <f t="shared" si="11"/>
        <v/>
      </c>
      <c r="Q91" s="385"/>
      <c r="R91" s="572"/>
      <c r="S91" s="386"/>
      <c r="T91" s="4"/>
      <c r="U91" s="4"/>
      <c r="V91" s="4"/>
    </row>
    <row r="92" spans="1:22" x14ac:dyDescent="0.2">
      <c r="A92" s="795">
        <v>5500</v>
      </c>
      <c r="B92" s="387" t="s">
        <v>1312</v>
      </c>
      <c r="C92" s="391"/>
      <c r="D92" s="383"/>
      <c r="E92" s="383">
        <v>11.94</v>
      </c>
      <c r="F92" s="212"/>
      <c r="G92" s="212"/>
      <c r="H92" s="212"/>
      <c r="I92" s="212"/>
      <c r="J92" s="212"/>
      <c r="K92" s="212"/>
      <c r="L92" s="212"/>
      <c r="M92" s="384">
        <f t="shared" si="13"/>
        <v>150</v>
      </c>
      <c r="N92" s="411">
        <f t="shared" si="14"/>
        <v>200</v>
      </c>
      <c r="O92" s="414">
        <f t="shared" si="10"/>
        <v>50</v>
      </c>
      <c r="P92" s="392">
        <f t="shared" si="11"/>
        <v>0.33329999999999999</v>
      </c>
      <c r="Q92" s="385" t="s">
        <v>2244</v>
      </c>
      <c r="R92" s="572"/>
      <c r="S92" s="386"/>
      <c r="T92" s="4"/>
      <c r="U92" s="4"/>
      <c r="V92" s="4"/>
    </row>
    <row r="93" spans="1:22" x14ac:dyDescent="0.2">
      <c r="A93" s="795">
        <v>5530</v>
      </c>
      <c r="B93" s="387" t="s">
        <v>1313</v>
      </c>
      <c r="C93" s="391">
        <v>43029.4</v>
      </c>
      <c r="D93" s="383">
        <v>45445.69</v>
      </c>
      <c r="E93" s="383">
        <v>36322.94</v>
      </c>
      <c r="F93" s="212"/>
      <c r="G93" s="212"/>
      <c r="H93" s="212"/>
      <c r="I93" s="212"/>
      <c r="J93" s="212"/>
      <c r="K93" s="212"/>
      <c r="L93" s="212"/>
      <c r="M93" s="384">
        <f t="shared" si="13"/>
        <v>71500</v>
      </c>
      <c r="N93" s="411">
        <f t="shared" si="14"/>
        <v>71500</v>
      </c>
      <c r="O93" s="414">
        <f t="shared" si="10"/>
        <v>0</v>
      </c>
      <c r="P93" s="392" t="str">
        <f t="shared" si="11"/>
        <v/>
      </c>
      <c r="Q93" s="397" t="s">
        <v>2249</v>
      </c>
      <c r="R93" s="572"/>
      <c r="S93" s="386"/>
      <c r="T93" s="4"/>
      <c r="U93" s="4"/>
      <c r="V93" s="4"/>
    </row>
    <row r="94" spans="1:22" hidden="1" x14ac:dyDescent="0.2">
      <c r="A94" s="795">
        <v>5534</v>
      </c>
      <c r="B94" s="387" t="s">
        <v>1314</v>
      </c>
      <c r="C94" s="391">
        <v>125</v>
      </c>
      <c r="D94" s="383"/>
      <c r="E94" s="383"/>
      <c r="F94" s="212"/>
      <c r="G94" s="212"/>
      <c r="H94" s="212"/>
      <c r="I94" s="212"/>
      <c r="J94" s="212"/>
      <c r="K94" s="212"/>
      <c r="L94" s="212"/>
      <c r="M94" s="384">
        <f t="shared" si="13"/>
        <v>0</v>
      </c>
      <c r="N94" s="411">
        <f t="shared" si="14"/>
        <v>0</v>
      </c>
      <c r="O94" s="414">
        <f t="shared" si="10"/>
        <v>0</v>
      </c>
      <c r="P94" s="392" t="str">
        <f t="shared" si="11"/>
        <v/>
      </c>
      <c r="Q94" s="385"/>
      <c r="R94" s="572"/>
      <c r="S94" s="386"/>
      <c r="T94" s="4"/>
      <c r="U94" s="4"/>
      <c r="V94" s="4"/>
    </row>
    <row r="95" spans="1:22" hidden="1" x14ac:dyDescent="0.2">
      <c r="A95" s="795">
        <v>5580</v>
      </c>
      <c r="B95" s="387" t="s">
        <v>868</v>
      </c>
      <c r="C95" s="391"/>
      <c r="D95" s="383"/>
      <c r="E95" s="383"/>
      <c r="F95" s="212"/>
      <c r="G95" s="212"/>
      <c r="H95" s="212"/>
      <c r="I95" s="212"/>
      <c r="J95" s="212"/>
      <c r="K95" s="212"/>
      <c r="L95" s="212"/>
      <c r="M95" s="384">
        <f t="shared" si="13"/>
        <v>0</v>
      </c>
      <c r="N95" s="411">
        <f t="shared" si="14"/>
        <v>0</v>
      </c>
      <c r="O95" s="414">
        <f t="shared" si="10"/>
        <v>0</v>
      </c>
      <c r="P95" s="392"/>
      <c r="Q95" s="385"/>
      <c r="R95" s="572"/>
      <c r="S95" s="386"/>
      <c r="T95" s="4"/>
      <c r="U95" s="4"/>
      <c r="V95" s="4"/>
    </row>
    <row r="96" spans="1:22" x14ac:dyDescent="0.2">
      <c r="A96" s="795">
        <v>5582</v>
      </c>
      <c r="B96" s="387" t="s">
        <v>1170</v>
      </c>
      <c r="C96" s="391">
        <v>2596.34</v>
      </c>
      <c r="D96" s="383">
        <v>2080.9699999999998</v>
      </c>
      <c r="E96" s="383">
        <v>3880.7</v>
      </c>
      <c r="F96" s="212"/>
      <c r="G96" s="212"/>
      <c r="H96" s="212"/>
      <c r="I96" s="212"/>
      <c r="J96" s="212"/>
      <c r="K96" s="212"/>
      <c r="L96" s="212"/>
      <c r="M96" s="384">
        <f t="shared" si="13"/>
        <v>15500</v>
      </c>
      <c r="N96" s="411">
        <f t="shared" si="14"/>
        <v>15500</v>
      </c>
      <c r="O96" s="414">
        <f t="shared" si="10"/>
        <v>0</v>
      </c>
      <c r="P96" s="392" t="str">
        <f t="shared" ref="P96:P101" si="15">IF(M96+N96&lt;&gt;0,IF(M96&lt;&gt;0,IF(O96&lt;&gt;0,ROUND((+O96/M96),4),""),1),"")</f>
        <v/>
      </c>
      <c r="Q96" s="385"/>
      <c r="R96" s="572"/>
      <c r="S96" s="386"/>
      <c r="T96" s="4"/>
      <c r="U96" s="4"/>
      <c r="V96" s="4"/>
    </row>
    <row r="97" spans="1:22" x14ac:dyDescent="0.2">
      <c r="A97" s="795">
        <v>5588</v>
      </c>
      <c r="B97" s="415" t="s">
        <v>1315</v>
      </c>
      <c r="C97" s="391"/>
      <c r="D97" s="383"/>
      <c r="E97" s="383"/>
      <c r="F97" s="212"/>
      <c r="G97" s="212"/>
      <c r="H97" s="212"/>
      <c r="I97" s="212"/>
      <c r="J97" s="212"/>
      <c r="K97" s="212"/>
      <c r="L97" s="212"/>
      <c r="M97" s="384">
        <f t="shared" si="13"/>
        <v>500</v>
      </c>
      <c r="N97" s="411">
        <f t="shared" si="14"/>
        <v>500</v>
      </c>
      <c r="O97" s="414">
        <f t="shared" si="10"/>
        <v>0</v>
      </c>
      <c r="P97" s="392" t="str">
        <f t="shared" si="15"/>
        <v/>
      </c>
      <c r="Q97" s="385"/>
      <c r="R97" s="572"/>
      <c r="S97" s="386"/>
      <c r="T97" s="4"/>
      <c r="U97" s="4"/>
      <c r="V97" s="4"/>
    </row>
    <row r="98" spans="1:22" x14ac:dyDescent="0.2">
      <c r="A98" s="795">
        <v>5710</v>
      </c>
      <c r="B98" s="387" t="s">
        <v>869</v>
      </c>
      <c r="C98" s="395">
        <v>44.78</v>
      </c>
      <c r="D98" s="383">
        <v>22.6</v>
      </c>
      <c r="E98" s="383"/>
      <c r="F98" s="212"/>
      <c r="G98" s="212"/>
      <c r="H98" s="212"/>
      <c r="I98" s="212"/>
      <c r="J98" s="212"/>
      <c r="K98" s="212"/>
      <c r="L98" s="212"/>
      <c r="M98" s="384">
        <f t="shared" si="13"/>
        <v>125</v>
      </c>
      <c r="N98" s="411">
        <f t="shared" si="14"/>
        <v>125</v>
      </c>
      <c r="O98" s="414">
        <f t="shared" si="10"/>
        <v>0</v>
      </c>
      <c r="P98" s="392" t="str">
        <f t="shared" si="15"/>
        <v/>
      </c>
      <c r="Q98" s="385"/>
      <c r="R98" s="572"/>
      <c r="S98" s="386"/>
      <c r="T98" s="4"/>
      <c r="U98" s="4"/>
      <c r="V98" s="4"/>
    </row>
    <row r="99" spans="1:22" x14ac:dyDescent="0.2">
      <c r="A99" s="795">
        <v>5730</v>
      </c>
      <c r="B99" s="387" t="s">
        <v>870</v>
      </c>
      <c r="C99" s="393">
        <v>361</v>
      </c>
      <c r="D99" s="383">
        <v>233</v>
      </c>
      <c r="E99" s="383">
        <v>381</v>
      </c>
      <c r="F99" s="212"/>
      <c r="G99" s="212"/>
      <c r="H99" s="212"/>
      <c r="I99" s="212"/>
      <c r="J99" s="212"/>
      <c r="K99" s="212"/>
      <c r="L99" s="212"/>
      <c r="M99" s="384">
        <f t="shared" si="13"/>
        <v>500</v>
      </c>
      <c r="N99" s="411">
        <f t="shared" si="14"/>
        <v>500</v>
      </c>
      <c r="O99" s="414">
        <f t="shared" si="10"/>
        <v>0</v>
      </c>
      <c r="P99" s="392" t="str">
        <f t="shared" si="15"/>
        <v/>
      </c>
      <c r="Q99" s="385"/>
      <c r="R99" s="572"/>
      <c r="S99" s="386"/>
      <c r="T99" s="4"/>
      <c r="U99" s="4"/>
      <c r="V99" s="4"/>
    </row>
    <row r="100" spans="1:22" ht="13.5" thickBot="1" x14ac:dyDescent="0.25">
      <c r="A100" s="801">
        <v>5783</v>
      </c>
      <c r="B100" s="415" t="s">
        <v>1317</v>
      </c>
      <c r="C100" s="389">
        <v>780</v>
      </c>
      <c r="D100" s="389">
        <v>1710</v>
      </c>
      <c r="E100" s="389">
        <v>1440</v>
      </c>
      <c r="F100" s="212"/>
      <c r="G100" s="212"/>
      <c r="H100" s="212"/>
      <c r="I100" s="212"/>
      <c r="J100" s="212"/>
      <c r="K100" s="212"/>
      <c r="L100" s="212"/>
      <c r="M100" s="384">
        <f>+O49</f>
        <v>1500</v>
      </c>
      <c r="N100" s="411">
        <f>+Q49</f>
        <v>1500</v>
      </c>
      <c r="O100" s="414">
        <f t="shared" si="10"/>
        <v>0</v>
      </c>
      <c r="P100" s="392" t="str">
        <f t="shared" si="15"/>
        <v/>
      </c>
      <c r="Q100" s="385"/>
      <c r="R100" s="572"/>
      <c r="S100" s="386"/>
      <c r="T100" s="4"/>
      <c r="U100" s="4"/>
      <c r="V100" s="4"/>
    </row>
    <row r="101" spans="1:22" ht="13.5" thickBot="1" x14ac:dyDescent="0.25">
      <c r="A101" s="801">
        <v>5800</v>
      </c>
      <c r="B101" s="415" t="s">
        <v>1376</v>
      </c>
      <c r="C101" s="389">
        <v>780</v>
      </c>
      <c r="D101" s="389">
        <v>1710</v>
      </c>
      <c r="E101" s="389">
        <v>1440</v>
      </c>
      <c r="F101" s="212"/>
      <c r="G101" s="212"/>
      <c r="H101" s="212"/>
      <c r="I101" s="212"/>
      <c r="J101" s="212"/>
      <c r="K101" s="212"/>
      <c r="L101" s="212"/>
      <c r="M101" s="384">
        <f>+O52</f>
        <v>0</v>
      </c>
      <c r="N101" s="411">
        <f>+Q52</f>
        <v>0</v>
      </c>
      <c r="O101" s="414">
        <f t="shared" si="10"/>
        <v>0</v>
      </c>
      <c r="P101" s="392" t="str">
        <f t="shared" si="15"/>
        <v/>
      </c>
      <c r="Q101" s="385"/>
      <c r="R101" s="572"/>
      <c r="S101" s="386"/>
      <c r="T101" s="4"/>
      <c r="U101" s="4"/>
      <c r="V101" s="4"/>
    </row>
    <row r="102" spans="1:22" x14ac:dyDescent="0.2">
      <c r="A102" s="774"/>
      <c r="B102" s="4"/>
      <c r="C102" s="23"/>
      <c r="D102" s="23"/>
      <c r="E102" s="23"/>
      <c r="F102" s="23"/>
      <c r="G102" s="23"/>
      <c r="H102" s="212"/>
      <c r="I102" s="212"/>
      <c r="J102" s="212"/>
      <c r="K102" s="212"/>
      <c r="L102" s="212"/>
      <c r="M102" s="23"/>
      <c r="N102" s="23"/>
      <c r="O102" s="23"/>
      <c r="P102" s="4"/>
      <c r="Q102" s="23"/>
      <c r="R102" s="23"/>
      <c r="S102" s="23"/>
      <c r="T102" s="4"/>
      <c r="U102" s="4"/>
      <c r="V102" s="4"/>
    </row>
    <row r="103" spans="1:22" x14ac:dyDescent="0.2">
      <c r="A103" s="774"/>
      <c r="B103" s="4" t="s">
        <v>846</v>
      </c>
      <c r="C103" s="23"/>
      <c r="D103" s="23"/>
      <c r="E103" s="23"/>
      <c r="F103" s="23"/>
      <c r="G103" s="23"/>
      <c r="H103" s="212"/>
      <c r="I103" s="212"/>
      <c r="J103" s="212"/>
      <c r="K103" s="212"/>
      <c r="L103" s="212"/>
      <c r="M103" s="616">
        <f>SUM(M63:M101)</f>
        <v>1203980</v>
      </c>
      <c r="N103" s="616">
        <f>SUM(N63:N101)</f>
        <v>1329939</v>
      </c>
      <c r="O103" s="25">
        <f>+N103-M103</f>
        <v>125959</v>
      </c>
      <c r="P103" s="617">
        <f>IF(M103+N103&lt;&gt;0,IF(M103&lt;&gt;0,IF(O103&lt;&gt;0,ROUND((+O103/M103),4),""),1),"")</f>
        <v>0.1046</v>
      </c>
      <c r="Q103" s="23"/>
      <c r="R103" s="23"/>
      <c r="S103" s="23"/>
      <c r="T103" s="4"/>
      <c r="U103" s="4"/>
      <c r="V103" s="4"/>
    </row>
    <row r="104" spans="1:22" x14ac:dyDescent="0.2">
      <c r="A104" s="774"/>
      <c r="B104" s="4"/>
      <c r="C104" s="23"/>
      <c r="D104" s="23"/>
      <c r="E104" s="23"/>
      <c r="F104" s="23"/>
      <c r="G104" s="23"/>
      <c r="H104" s="23"/>
      <c r="I104" s="23"/>
      <c r="J104" s="23"/>
      <c r="K104" s="23"/>
      <c r="L104" s="23"/>
      <c r="M104" s="23"/>
      <c r="N104" s="23"/>
      <c r="O104" s="23"/>
      <c r="P104" s="4"/>
      <c r="Q104" s="23"/>
      <c r="R104" s="23"/>
      <c r="S104" s="23"/>
      <c r="T104" s="4"/>
      <c r="U104" s="4"/>
      <c r="V104" s="4"/>
    </row>
    <row r="105" spans="1:22" x14ac:dyDescent="0.2">
      <c r="A105" s="774"/>
      <c r="B105" s="4"/>
      <c r="C105" s="23"/>
      <c r="D105" s="23"/>
      <c r="E105" s="23"/>
      <c r="F105" s="23"/>
      <c r="G105" s="23"/>
      <c r="H105" s="23"/>
      <c r="I105" s="23"/>
      <c r="J105" s="23"/>
      <c r="K105" s="23"/>
      <c r="L105" s="23"/>
      <c r="M105" s="23"/>
      <c r="N105" s="23"/>
      <c r="O105" s="23"/>
      <c r="P105" s="4"/>
      <c r="Q105" s="23"/>
      <c r="R105" s="23"/>
      <c r="S105" s="23"/>
      <c r="T105" s="4"/>
      <c r="U105" s="4"/>
      <c r="V105" s="4"/>
    </row>
    <row r="106" spans="1:22" x14ac:dyDescent="0.2">
      <c r="A106" s="774"/>
      <c r="B106" s="4"/>
      <c r="C106" s="23"/>
      <c r="D106" s="23"/>
      <c r="E106" s="23"/>
      <c r="F106" s="23"/>
      <c r="G106" s="23"/>
      <c r="H106" s="23"/>
      <c r="I106" s="23"/>
      <c r="J106" s="23"/>
      <c r="K106" s="23"/>
      <c r="L106" s="23"/>
      <c r="M106" s="23"/>
      <c r="N106" s="23"/>
      <c r="O106" s="23"/>
      <c r="P106" s="4"/>
      <c r="Q106" s="23"/>
      <c r="R106" s="23"/>
      <c r="S106" s="23"/>
      <c r="T106" s="4"/>
      <c r="U106" s="4"/>
      <c r="V106" s="4"/>
    </row>
    <row r="107" spans="1:22" x14ac:dyDescent="0.2">
      <c r="A107" s="774"/>
      <c r="B107" s="4"/>
      <c r="C107" s="23"/>
      <c r="D107" s="23"/>
      <c r="E107" s="23"/>
      <c r="F107" s="23"/>
      <c r="G107" s="23"/>
      <c r="H107" s="23"/>
      <c r="I107" s="23"/>
      <c r="J107" s="23"/>
      <c r="K107" s="23"/>
      <c r="L107" s="23"/>
      <c r="M107" s="23"/>
      <c r="N107" s="23"/>
      <c r="O107" s="23"/>
      <c r="P107" s="4"/>
      <c r="Q107" s="23"/>
      <c r="R107" s="23"/>
      <c r="S107" s="23"/>
      <c r="T107" s="4"/>
      <c r="U107" s="4"/>
      <c r="V107" s="4"/>
    </row>
    <row r="108" spans="1:22" x14ac:dyDescent="0.2">
      <c r="A108" s="774"/>
      <c r="B108" s="4"/>
      <c r="C108" s="23"/>
      <c r="D108" s="23"/>
      <c r="E108" s="23"/>
      <c r="F108" s="23"/>
      <c r="G108" s="23"/>
      <c r="H108" s="23"/>
      <c r="I108" s="23"/>
      <c r="J108" s="23"/>
      <c r="K108" s="23"/>
      <c r="L108" s="23"/>
      <c r="M108" s="23"/>
      <c r="N108" s="23"/>
      <c r="O108" s="23"/>
      <c r="P108" s="4"/>
      <c r="Q108" s="23"/>
      <c r="R108" s="23"/>
      <c r="S108" s="23"/>
      <c r="T108" s="4"/>
      <c r="U108" s="4"/>
      <c r="V108" s="4"/>
    </row>
    <row r="109" spans="1:22" x14ac:dyDescent="0.2">
      <c r="A109" s="774"/>
      <c r="B109" s="4"/>
      <c r="C109" s="23"/>
      <c r="D109" s="23"/>
      <c r="E109" s="23"/>
      <c r="F109" s="23"/>
      <c r="G109" s="23"/>
      <c r="H109" s="23"/>
      <c r="I109" s="23"/>
      <c r="J109" s="23"/>
      <c r="K109" s="23"/>
      <c r="L109" s="23"/>
      <c r="M109" s="23"/>
      <c r="N109" s="23"/>
      <c r="O109" s="23"/>
      <c r="P109" s="4"/>
      <c r="Q109" s="23"/>
      <c r="R109" s="23"/>
      <c r="S109" s="23"/>
      <c r="T109" s="4"/>
      <c r="U109" s="4"/>
      <c r="V109" s="4"/>
    </row>
    <row r="110" spans="1:22" x14ac:dyDescent="0.2">
      <c r="A110" s="774"/>
      <c r="B110" s="4"/>
      <c r="C110" s="23"/>
      <c r="D110" s="23"/>
      <c r="E110" s="23"/>
      <c r="F110" s="23"/>
      <c r="G110" s="23"/>
      <c r="H110" s="23"/>
      <c r="I110" s="23"/>
      <c r="J110" s="23"/>
      <c r="K110" s="23"/>
      <c r="L110" s="23"/>
      <c r="M110" s="23"/>
      <c r="N110" s="23"/>
      <c r="O110" s="23"/>
      <c r="P110" s="4"/>
      <c r="Q110" s="23"/>
      <c r="R110" s="23"/>
      <c r="S110" s="23"/>
      <c r="T110" s="4"/>
      <c r="U110" s="4"/>
      <c r="V110" s="4"/>
    </row>
    <row r="111" spans="1:22" x14ac:dyDescent="0.2">
      <c r="A111" s="774"/>
      <c r="B111" s="4"/>
      <c r="C111" s="23"/>
      <c r="D111" s="23"/>
      <c r="E111" s="23"/>
      <c r="F111" s="23"/>
      <c r="G111" s="23"/>
      <c r="H111" s="23"/>
      <c r="I111" s="23"/>
      <c r="J111" s="23"/>
      <c r="K111" s="23"/>
      <c r="L111" s="23"/>
      <c r="M111" s="23"/>
      <c r="N111" s="23"/>
      <c r="O111" s="23"/>
      <c r="P111" s="4"/>
      <c r="Q111" s="23"/>
      <c r="R111" s="23"/>
      <c r="S111" s="23"/>
      <c r="T111" s="4"/>
      <c r="U111" s="4"/>
      <c r="V111" s="4"/>
    </row>
    <row r="112" spans="1:22" x14ac:dyDescent="0.2">
      <c r="A112" s="774"/>
      <c r="B112" s="4"/>
      <c r="C112" s="23"/>
      <c r="D112" s="23"/>
      <c r="E112" s="23"/>
      <c r="F112" s="23"/>
      <c r="G112" s="23"/>
      <c r="H112" s="23"/>
      <c r="I112" s="23"/>
      <c r="J112" s="23"/>
      <c r="K112" s="23"/>
      <c r="L112" s="23"/>
      <c r="M112" s="23"/>
      <c r="N112" s="23"/>
      <c r="O112" s="23"/>
      <c r="P112" s="4"/>
      <c r="Q112" s="23"/>
      <c r="R112" s="23"/>
      <c r="S112" s="23"/>
      <c r="T112" s="4"/>
      <c r="U112" s="4"/>
      <c r="V112" s="4"/>
    </row>
    <row r="113" spans="1:22" x14ac:dyDescent="0.2">
      <c r="A113" s="774"/>
      <c r="B113" s="4"/>
      <c r="C113" s="23"/>
      <c r="D113" s="23"/>
      <c r="E113" s="23"/>
      <c r="F113" s="23"/>
      <c r="G113" s="23"/>
      <c r="H113" s="23"/>
      <c r="I113" s="23"/>
      <c r="J113" s="23"/>
      <c r="K113" s="23"/>
      <c r="L113" s="23"/>
      <c r="M113" s="23"/>
      <c r="N113" s="23"/>
      <c r="O113" s="23"/>
      <c r="P113" s="4"/>
      <c r="Q113" s="23"/>
      <c r="R113" s="23"/>
      <c r="S113" s="23"/>
      <c r="T113" s="4"/>
      <c r="U113" s="4"/>
      <c r="V113" s="4"/>
    </row>
    <row r="114" spans="1:22" x14ac:dyDescent="0.2">
      <c r="A114" s="774"/>
      <c r="B114" s="4"/>
      <c r="C114" s="23"/>
      <c r="D114" s="23"/>
      <c r="E114" s="23"/>
      <c r="F114" s="23"/>
      <c r="G114" s="23"/>
      <c r="H114" s="23"/>
      <c r="I114" s="23"/>
      <c r="J114" s="23"/>
      <c r="K114" s="23"/>
      <c r="L114" s="23"/>
      <c r="M114" s="23"/>
      <c r="N114" s="23"/>
      <c r="O114" s="23"/>
      <c r="P114" s="4"/>
      <c r="Q114" s="23"/>
      <c r="R114" s="23"/>
      <c r="S114" s="23"/>
      <c r="T114" s="4"/>
      <c r="U114" s="4"/>
      <c r="V114" s="4"/>
    </row>
    <row r="115" spans="1:22" x14ac:dyDescent="0.2">
      <c r="A115" s="774"/>
      <c r="B115" s="4"/>
      <c r="C115" s="23"/>
      <c r="D115" s="23"/>
      <c r="E115" s="23"/>
      <c r="F115" s="23"/>
      <c r="G115" s="23"/>
      <c r="H115" s="23"/>
      <c r="I115" s="23"/>
      <c r="J115" s="23"/>
      <c r="K115" s="23"/>
      <c r="L115" s="23"/>
      <c r="M115" s="23"/>
      <c r="N115" s="23"/>
      <c r="O115" s="23"/>
      <c r="P115" s="4"/>
      <c r="Q115" s="23"/>
      <c r="R115" s="23"/>
      <c r="S115" s="23"/>
      <c r="T115" s="4"/>
      <c r="U115" s="4"/>
      <c r="V115" s="4"/>
    </row>
    <row r="116" spans="1:22" x14ac:dyDescent="0.2">
      <c r="A116" s="774"/>
      <c r="B116" s="4"/>
      <c r="C116" s="23"/>
      <c r="D116" s="23"/>
      <c r="E116" s="23"/>
      <c r="F116" s="23"/>
      <c r="G116" s="23"/>
      <c r="H116" s="23"/>
      <c r="I116" s="23"/>
      <c r="J116" s="23"/>
      <c r="K116" s="23"/>
      <c r="L116" s="23"/>
      <c r="M116" s="23"/>
      <c r="N116" s="23"/>
      <c r="O116" s="23"/>
      <c r="P116" s="4"/>
      <c r="Q116" s="23"/>
      <c r="R116" s="23"/>
      <c r="S116" s="23"/>
      <c r="T116" s="4"/>
      <c r="U116" s="4"/>
      <c r="V116" s="4"/>
    </row>
    <row r="117" spans="1:22" x14ac:dyDescent="0.2">
      <c r="A117" s="774"/>
      <c r="B117" s="4"/>
      <c r="C117" s="23"/>
      <c r="D117" s="23"/>
      <c r="E117" s="23"/>
      <c r="F117" s="23"/>
      <c r="G117" s="23"/>
      <c r="H117" s="23"/>
      <c r="I117" s="23"/>
      <c r="J117" s="23"/>
      <c r="K117" s="23"/>
      <c r="L117" s="23"/>
      <c r="M117" s="23"/>
      <c r="N117" s="23"/>
      <c r="O117" s="23"/>
      <c r="P117" s="4"/>
      <c r="Q117" s="23"/>
      <c r="R117" s="23"/>
      <c r="S117" s="23"/>
      <c r="T117" s="4"/>
      <c r="U117" s="4"/>
      <c r="V117" s="4"/>
    </row>
    <row r="118" spans="1:22" x14ac:dyDescent="0.2">
      <c r="A118" s="774"/>
      <c r="B118" s="4"/>
      <c r="C118" s="23"/>
      <c r="D118" s="23"/>
      <c r="E118" s="23"/>
      <c r="F118" s="23"/>
      <c r="G118" s="23"/>
      <c r="H118" s="23"/>
      <c r="I118" s="23"/>
      <c r="J118" s="23"/>
      <c r="K118" s="23"/>
      <c r="L118" s="23"/>
      <c r="M118" s="23"/>
      <c r="N118" s="23"/>
      <c r="O118" s="23"/>
      <c r="P118" s="4"/>
      <c r="Q118" s="23"/>
      <c r="R118" s="23"/>
      <c r="S118" s="23"/>
      <c r="T118" s="4"/>
      <c r="U118" s="4"/>
      <c r="V118" s="4"/>
    </row>
    <row r="119" spans="1:22" x14ac:dyDescent="0.2">
      <c r="A119" s="774"/>
      <c r="B119" s="4"/>
      <c r="C119" s="23"/>
      <c r="D119" s="23"/>
      <c r="E119" s="23"/>
      <c r="F119" s="23"/>
      <c r="G119" s="23"/>
      <c r="H119" s="23"/>
      <c r="I119" s="23"/>
      <c r="J119" s="23"/>
      <c r="K119" s="23"/>
      <c r="L119" s="23"/>
      <c r="M119" s="23"/>
      <c r="N119" s="23"/>
      <c r="O119" s="23"/>
      <c r="P119" s="4"/>
      <c r="Q119" s="23"/>
      <c r="R119" s="23"/>
      <c r="S119" s="23"/>
      <c r="T119" s="4"/>
      <c r="U119" s="4"/>
      <c r="V119" s="4"/>
    </row>
    <row r="120" spans="1:22" x14ac:dyDescent="0.2">
      <c r="A120" s="774"/>
      <c r="B120" s="4"/>
      <c r="C120" s="23"/>
      <c r="D120" s="23"/>
      <c r="E120" s="23"/>
      <c r="F120" s="23"/>
      <c r="G120" s="23"/>
      <c r="H120" s="23"/>
      <c r="I120" s="23"/>
      <c r="J120" s="23"/>
      <c r="K120" s="23"/>
      <c r="L120" s="23"/>
      <c r="M120" s="23"/>
      <c r="N120" s="23"/>
      <c r="O120" s="23"/>
      <c r="P120" s="4"/>
      <c r="Q120" s="23"/>
      <c r="R120" s="23"/>
      <c r="S120" s="23"/>
      <c r="T120" s="4"/>
      <c r="U120" s="4"/>
      <c r="V120" s="4"/>
    </row>
    <row r="121" spans="1:22" x14ac:dyDescent="0.2">
      <c r="A121" s="774"/>
      <c r="B121" s="4"/>
      <c r="C121" s="23"/>
      <c r="D121" s="23"/>
      <c r="E121" s="23"/>
      <c r="F121" s="23"/>
      <c r="G121" s="23"/>
      <c r="H121" s="23"/>
      <c r="I121" s="23"/>
      <c r="J121" s="23"/>
      <c r="K121" s="23"/>
      <c r="L121" s="23"/>
      <c r="M121" s="23"/>
      <c r="N121" s="23"/>
      <c r="O121" s="23"/>
      <c r="P121" s="4"/>
      <c r="Q121" s="23"/>
      <c r="R121" s="23"/>
      <c r="S121" s="23"/>
      <c r="T121" s="4"/>
      <c r="U121" s="4"/>
      <c r="V121" s="4"/>
    </row>
    <row r="122" spans="1:22" x14ac:dyDescent="0.2">
      <c r="A122" s="774"/>
      <c r="B122" s="4"/>
      <c r="C122" s="23"/>
      <c r="D122" s="23"/>
      <c r="E122" s="23"/>
      <c r="F122" s="23"/>
      <c r="G122" s="23"/>
      <c r="H122" s="23"/>
      <c r="I122" s="23"/>
      <c r="J122" s="23"/>
      <c r="K122" s="23"/>
      <c r="L122" s="23"/>
      <c r="M122" s="23"/>
      <c r="N122" s="23"/>
      <c r="O122" s="23"/>
      <c r="P122" s="4"/>
      <c r="Q122" s="23"/>
      <c r="R122" s="23"/>
      <c r="S122" s="23"/>
      <c r="T122" s="4"/>
      <c r="U122" s="4"/>
      <c r="V122" s="4"/>
    </row>
    <row r="123" spans="1:22" x14ac:dyDescent="0.2">
      <c r="A123" s="774"/>
      <c r="B123" s="4"/>
      <c r="C123" s="23"/>
      <c r="D123" s="23"/>
      <c r="E123" s="23"/>
      <c r="F123" s="23"/>
      <c r="G123" s="23"/>
      <c r="H123" s="23"/>
      <c r="I123" s="23"/>
      <c r="J123" s="23"/>
      <c r="K123" s="23"/>
      <c r="L123" s="23"/>
      <c r="M123" s="23"/>
      <c r="N123" s="23"/>
      <c r="O123" s="23"/>
      <c r="P123" s="4"/>
      <c r="Q123" s="23"/>
      <c r="R123" s="23"/>
      <c r="S123" s="23"/>
      <c r="T123" s="4"/>
      <c r="U123" s="4"/>
      <c r="V123" s="4"/>
    </row>
    <row r="124" spans="1:22" x14ac:dyDescent="0.2">
      <c r="A124" s="774"/>
      <c r="B124" s="4"/>
      <c r="C124" s="23"/>
      <c r="D124" s="23"/>
      <c r="E124" s="23"/>
      <c r="F124" s="23"/>
      <c r="G124" s="23"/>
      <c r="H124" s="23"/>
      <c r="I124" s="23"/>
      <c r="J124" s="23"/>
      <c r="K124" s="23"/>
      <c r="L124" s="23"/>
      <c r="M124" s="23"/>
      <c r="N124" s="23"/>
      <c r="O124" s="23"/>
      <c r="P124" s="4"/>
      <c r="Q124" s="23"/>
      <c r="R124" s="23"/>
      <c r="S124" s="23"/>
      <c r="T124" s="4"/>
      <c r="U124" s="4"/>
      <c r="V124" s="4"/>
    </row>
    <row r="125" spans="1:22" x14ac:dyDescent="0.2">
      <c r="A125" s="774"/>
      <c r="B125" s="4"/>
      <c r="C125" s="23"/>
      <c r="D125" s="23"/>
      <c r="E125" s="23"/>
      <c r="F125" s="23"/>
      <c r="G125" s="23"/>
      <c r="H125" s="23"/>
      <c r="I125" s="23"/>
      <c r="J125" s="23"/>
      <c r="K125" s="23"/>
      <c r="L125" s="23"/>
      <c r="M125" s="23"/>
      <c r="N125" s="23"/>
      <c r="O125" s="23"/>
      <c r="P125" s="4"/>
      <c r="Q125" s="23"/>
      <c r="R125" s="23"/>
      <c r="S125" s="23"/>
      <c r="T125" s="4"/>
      <c r="U125" s="4"/>
      <c r="V125" s="4"/>
    </row>
    <row r="126" spans="1:22" x14ac:dyDescent="0.2">
      <c r="A126" s="774"/>
      <c r="B126" s="4"/>
      <c r="C126" s="23"/>
      <c r="D126" s="23"/>
      <c r="E126" s="23"/>
      <c r="F126" s="23"/>
      <c r="G126" s="23"/>
      <c r="H126" s="23"/>
      <c r="I126" s="23"/>
      <c r="J126" s="23"/>
      <c r="K126" s="23"/>
      <c r="L126" s="23"/>
      <c r="M126" s="23"/>
      <c r="N126" s="23"/>
      <c r="O126" s="23"/>
      <c r="P126" s="4"/>
      <c r="Q126" s="23"/>
      <c r="R126" s="23"/>
      <c r="S126" s="23"/>
      <c r="T126" s="4"/>
      <c r="U126" s="4"/>
      <c r="V126" s="4"/>
    </row>
    <row r="127" spans="1:22" x14ac:dyDescent="0.2">
      <c r="A127" s="774"/>
      <c r="B127" s="4"/>
      <c r="C127" s="23"/>
      <c r="D127" s="23"/>
      <c r="E127" s="23"/>
      <c r="F127" s="23"/>
      <c r="G127" s="23"/>
      <c r="H127" s="23"/>
      <c r="I127" s="23"/>
      <c r="J127" s="23"/>
      <c r="K127" s="23"/>
      <c r="L127" s="23"/>
      <c r="M127" s="23"/>
      <c r="N127" s="23"/>
      <c r="O127" s="23"/>
      <c r="P127" s="4"/>
      <c r="Q127" s="23"/>
      <c r="R127" s="23"/>
      <c r="S127" s="23"/>
      <c r="T127" s="4"/>
      <c r="U127" s="4"/>
      <c r="V127" s="4"/>
    </row>
    <row r="128" spans="1:22" x14ac:dyDescent="0.2">
      <c r="A128" s="774"/>
      <c r="B128" s="4"/>
      <c r="C128" s="23"/>
      <c r="D128" s="23"/>
      <c r="E128" s="23"/>
      <c r="F128" s="23"/>
      <c r="G128" s="23"/>
      <c r="H128" s="23"/>
      <c r="I128" s="23"/>
      <c r="J128" s="23"/>
      <c r="K128" s="23"/>
      <c r="L128" s="23"/>
      <c r="M128" s="23"/>
      <c r="N128" s="23"/>
      <c r="O128" s="23"/>
      <c r="P128" s="4"/>
      <c r="Q128" s="23"/>
      <c r="R128" s="23"/>
      <c r="S128" s="23"/>
      <c r="T128" s="4"/>
      <c r="U128" s="4"/>
      <c r="V128" s="4"/>
    </row>
    <row r="129" spans="1:22" x14ac:dyDescent="0.2">
      <c r="A129" s="774"/>
      <c r="B129" s="4"/>
      <c r="C129" s="23"/>
      <c r="D129" s="23"/>
      <c r="E129" s="23"/>
      <c r="F129" s="23"/>
      <c r="G129" s="23"/>
      <c r="H129" s="23"/>
      <c r="I129" s="23"/>
      <c r="J129" s="23"/>
      <c r="K129" s="23"/>
      <c r="L129" s="23"/>
      <c r="M129" s="23"/>
      <c r="N129" s="23"/>
      <c r="O129" s="23"/>
      <c r="P129" s="4"/>
      <c r="Q129" s="23"/>
      <c r="R129" s="23"/>
      <c r="S129" s="23"/>
      <c r="T129" s="4"/>
      <c r="U129" s="4"/>
      <c r="V129" s="4"/>
    </row>
    <row r="130" spans="1:22" x14ac:dyDescent="0.2">
      <c r="A130" s="774"/>
      <c r="B130" s="4"/>
      <c r="C130" s="23"/>
      <c r="D130" s="23"/>
      <c r="E130" s="23"/>
      <c r="F130" s="23"/>
      <c r="G130" s="23"/>
      <c r="H130" s="23"/>
      <c r="I130" s="23"/>
      <c r="J130" s="23"/>
      <c r="K130" s="23"/>
      <c r="L130" s="23"/>
      <c r="M130" s="23"/>
      <c r="N130" s="23"/>
      <c r="O130" s="23"/>
      <c r="P130" s="4"/>
      <c r="Q130" s="23"/>
      <c r="R130" s="23"/>
      <c r="S130" s="23"/>
      <c r="T130" s="4"/>
      <c r="U130" s="4"/>
      <c r="V130" s="4"/>
    </row>
    <row r="131" spans="1:22" x14ac:dyDescent="0.2">
      <c r="A131" s="774"/>
      <c r="B131" s="4"/>
      <c r="C131" s="23"/>
      <c r="D131" s="23"/>
      <c r="E131" s="23"/>
      <c r="F131" s="23"/>
      <c r="G131" s="23"/>
      <c r="H131" s="23"/>
      <c r="I131" s="23"/>
      <c r="J131" s="23"/>
      <c r="K131" s="23"/>
      <c r="L131" s="23"/>
      <c r="M131" s="23"/>
      <c r="N131" s="23"/>
      <c r="O131" s="23"/>
      <c r="P131" s="4"/>
      <c r="Q131" s="23"/>
      <c r="R131" s="23"/>
      <c r="S131" s="23"/>
      <c r="T131" s="4"/>
      <c r="U131" s="4"/>
      <c r="V131" s="4"/>
    </row>
    <row r="132" spans="1:22" x14ac:dyDescent="0.2">
      <c r="C132" s="212"/>
      <c r="D132" s="212"/>
      <c r="E132" s="212"/>
      <c r="F132" s="212"/>
      <c r="G132" s="212"/>
      <c r="H132" s="212"/>
      <c r="I132" s="212"/>
      <c r="J132" s="212"/>
      <c r="K132" s="212"/>
      <c r="L132" s="212"/>
      <c r="M132" s="212"/>
      <c r="N132" s="212"/>
      <c r="O132" s="212"/>
    </row>
    <row r="133" spans="1:22" x14ac:dyDescent="0.2">
      <c r="C133" s="212"/>
      <c r="D133" s="212"/>
      <c r="E133" s="212"/>
      <c r="F133" s="212"/>
      <c r="G133" s="212"/>
      <c r="H133" s="212"/>
      <c r="I133" s="212"/>
      <c r="J133" s="212"/>
      <c r="K133" s="212"/>
      <c r="L133" s="212"/>
      <c r="M133" s="212"/>
      <c r="N133" s="212"/>
      <c r="O133" s="212"/>
    </row>
    <row r="134" spans="1:22" x14ac:dyDescent="0.2">
      <c r="C134" s="212"/>
      <c r="D134" s="212"/>
      <c r="E134" s="212"/>
      <c r="F134" s="212"/>
      <c r="G134" s="212"/>
      <c r="H134" s="212"/>
      <c r="I134" s="212"/>
      <c r="J134" s="212"/>
      <c r="K134" s="212"/>
      <c r="L134" s="212"/>
      <c r="M134" s="212"/>
      <c r="N134" s="212"/>
      <c r="O134" s="212"/>
    </row>
    <row r="135" spans="1:22" x14ac:dyDescent="0.2">
      <c r="C135" s="212"/>
      <c r="D135" s="212"/>
      <c r="E135" s="212"/>
      <c r="F135" s="212"/>
      <c r="G135" s="212"/>
      <c r="H135" s="212"/>
      <c r="I135" s="212"/>
      <c r="J135" s="212"/>
      <c r="K135" s="212"/>
      <c r="L135" s="212"/>
      <c r="M135" s="212"/>
      <c r="N135" s="212"/>
      <c r="O135" s="212"/>
    </row>
    <row r="136" spans="1:22" x14ac:dyDescent="0.2">
      <c r="C136" s="212"/>
      <c r="D136" s="212"/>
      <c r="E136" s="212"/>
      <c r="F136" s="212"/>
      <c r="G136" s="212"/>
      <c r="H136" s="212"/>
      <c r="I136" s="212"/>
      <c r="J136" s="212"/>
      <c r="K136" s="212"/>
      <c r="L136" s="212"/>
      <c r="M136" s="212"/>
      <c r="N136" s="212"/>
      <c r="O136" s="212"/>
    </row>
    <row r="137" spans="1:22" x14ac:dyDescent="0.2">
      <c r="C137" s="212"/>
      <c r="D137" s="212"/>
      <c r="E137" s="212"/>
      <c r="F137" s="212"/>
      <c r="G137" s="212"/>
      <c r="H137" s="212"/>
      <c r="I137" s="212"/>
      <c r="J137" s="212"/>
      <c r="K137" s="212"/>
      <c r="L137" s="212"/>
      <c r="M137" s="212"/>
      <c r="N137" s="212"/>
      <c r="O137" s="212"/>
    </row>
    <row r="138" spans="1:22" x14ac:dyDescent="0.2">
      <c r="C138" s="212"/>
      <c r="D138" s="212"/>
      <c r="E138" s="212"/>
      <c r="F138" s="212"/>
      <c r="G138" s="212"/>
      <c r="H138" s="212"/>
      <c r="I138" s="212"/>
      <c r="J138" s="212"/>
      <c r="K138" s="212"/>
      <c r="L138" s="212"/>
      <c r="M138" s="212"/>
      <c r="N138" s="212"/>
      <c r="O138" s="212"/>
    </row>
    <row r="139" spans="1:22" x14ac:dyDescent="0.2">
      <c r="C139" s="212"/>
      <c r="D139" s="212"/>
      <c r="E139" s="212"/>
      <c r="F139" s="212"/>
      <c r="G139" s="212"/>
      <c r="H139" s="212"/>
      <c r="I139" s="212"/>
      <c r="J139" s="212"/>
      <c r="K139" s="212"/>
      <c r="L139" s="212"/>
      <c r="M139" s="212"/>
      <c r="N139" s="212"/>
      <c r="O139" s="212"/>
    </row>
    <row r="140" spans="1:22" x14ac:dyDescent="0.2">
      <c r="C140" s="212"/>
      <c r="D140" s="212"/>
      <c r="E140" s="212"/>
      <c r="F140" s="212"/>
      <c r="G140" s="212"/>
      <c r="H140" s="212"/>
      <c r="I140" s="212"/>
      <c r="J140" s="212"/>
      <c r="K140" s="212"/>
      <c r="L140" s="212"/>
      <c r="M140" s="212"/>
      <c r="N140" s="212"/>
      <c r="O140" s="212"/>
    </row>
    <row r="141" spans="1:22" x14ac:dyDescent="0.2">
      <c r="C141" s="212"/>
      <c r="D141" s="212"/>
      <c r="E141" s="212"/>
      <c r="F141" s="212"/>
      <c r="G141" s="212"/>
      <c r="H141" s="212"/>
      <c r="I141" s="212"/>
      <c r="J141" s="212"/>
      <c r="K141" s="212"/>
      <c r="L141" s="212"/>
      <c r="M141" s="212"/>
      <c r="N141" s="212"/>
      <c r="O141" s="212"/>
    </row>
    <row r="142" spans="1:22" x14ac:dyDescent="0.2">
      <c r="C142" s="212"/>
      <c r="D142" s="212"/>
      <c r="E142" s="212"/>
      <c r="F142" s="212"/>
      <c r="G142" s="212"/>
      <c r="H142" s="212"/>
      <c r="I142" s="212"/>
      <c r="J142" s="212"/>
      <c r="K142" s="212"/>
      <c r="L142" s="212"/>
      <c r="M142" s="212"/>
      <c r="N142" s="212"/>
      <c r="O142" s="212"/>
    </row>
    <row r="143" spans="1:22" x14ac:dyDescent="0.2">
      <c r="C143" s="212"/>
      <c r="D143" s="212"/>
      <c r="E143" s="212"/>
      <c r="F143" s="212"/>
      <c r="G143" s="212"/>
      <c r="H143" s="212"/>
      <c r="I143" s="212"/>
      <c r="J143" s="212"/>
      <c r="K143" s="212"/>
      <c r="L143" s="212"/>
      <c r="M143" s="212"/>
      <c r="N143" s="212"/>
      <c r="O143" s="212"/>
    </row>
    <row r="144" spans="1:22" x14ac:dyDescent="0.2">
      <c r="C144" s="212"/>
      <c r="D144" s="212"/>
      <c r="E144" s="212"/>
      <c r="F144" s="212"/>
      <c r="G144" s="212"/>
      <c r="H144" s="212"/>
      <c r="I144" s="212"/>
      <c r="J144" s="212"/>
      <c r="K144" s="212"/>
      <c r="L144" s="212"/>
      <c r="M144" s="212"/>
      <c r="N144" s="212"/>
      <c r="O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row r="160" spans="3:3" x14ac:dyDescent="0.2">
      <c r="C160" s="212"/>
    </row>
    <row r="161" spans="3:3" x14ac:dyDescent="0.2">
      <c r="C161" s="212"/>
    </row>
    <row r="162" spans="3:3" x14ac:dyDescent="0.2">
      <c r="C162" s="212"/>
    </row>
    <row r="163" spans="3:3" x14ac:dyDescent="0.2">
      <c r="C163" s="212"/>
    </row>
    <row r="164" spans="3:3" x14ac:dyDescent="0.2">
      <c r="C164" s="212"/>
    </row>
    <row r="165" spans="3:3" x14ac:dyDescent="0.2">
      <c r="C165" s="212"/>
    </row>
    <row r="166" spans="3:3" x14ac:dyDescent="0.2">
      <c r="C166" s="212"/>
    </row>
    <row r="167" spans="3:3" x14ac:dyDescent="0.2">
      <c r="C167" s="212"/>
    </row>
    <row r="168" spans="3:3" x14ac:dyDescent="0.2">
      <c r="C168" s="212"/>
    </row>
    <row r="169" spans="3:3" x14ac:dyDescent="0.2">
      <c r="C169" s="212"/>
    </row>
    <row r="170" spans="3:3" x14ac:dyDescent="0.2">
      <c r="C170" s="212"/>
    </row>
    <row r="171" spans="3:3" x14ac:dyDescent="0.2">
      <c r="C171" s="212"/>
    </row>
    <row r="172" spans="3:3" x14ac:dyDescent="0.2">
      <c r="C172" s="212"/>
    </row>
    <row r="173" spans="3:3" x14ac:dyDescent="0.2">
      <c r="C173" s="212"/>
    </row>
    <row r="174" spans="3:3" x14ac:dyDescent="0.2">
      <c r="C174" s="212"/>
    </row>
    <row r="175" spans="3:3" x14ac:dyDescent="0.2">
      <c r="C175" s="212"/>
    </row>
    <row r="176" spans="3:3" x14ac:dyDescent="0.2">
      <c r="C176" s="212"/>
    </row>
    <row r="177" spans="3:3" x14ac:dyDescent="0.2">
      <c r="C177" s="212"/>
    </row>
    <row r="178" spans="3:3" x14ac:dyDescent="0.2">
      <c r="C178" s="212"/>
    </row>
    <row r="179" spans="3:3" x14ac:dyDescent="0.2">
      <c r="C179" s="212"/>
    </row>
    <row r="180" spans="3:3" x14ac:dyDescent="0.2">
      <c r="C180" s="212"/>
    </row>
  </sheetData>
  <phoneticPr fontId="0" type="noConversion"/>
  <hyperlinks>
    <hyperlink ref="A1" location="'420 DPW'!A1" display="Main 440" xr:uid="{00000000-0004-0000-2400-000000000000}"/>
    <hyperlink ref="B1" location="'Table of Contents'!A1" display="TOC" xr:uid="{00000000-0004-0000-2400-000001000000}"/>
  </hyperlinks>
  <pageMargins left="0.75" right="0.75" top="1" bottom="1" header="0.5" footer="0.5"/>
  <pageSetup scale="90" fitToHeight="0" orientation="landscape" r:id="rId1"/>
  <headerFooter alignWithMargins="0">
    <oddFooter>&amp;L&amp;D     &amp;T&amp;C&amp;F&amp;R&amp;A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pageSetUpPr fitToPage="1"/>
  </sheetPr>
  <dimension ref="A1:W176"/>
  <sheetViews>
    <sheetView workbookViewId="0">
      <selection activeCell="P15" sqref="P15"/>
    </sheetView>
  </sheetViews>
  <sheetFormatPr defaultRowHeight="12.75" x14ac:dyDescent="0.2"/>
  <cols>
    <col min="1" max="1" width="8.83203125" style="783"/>
    <col min="2" max="2" width="36.6640625" customWidth="1"/>
    <col min="3" max="3" width="14.5" style="1" hidden="1" customWidth="1"/>
    <col min="4" max="12" width="14.5" style="106" hidden="1" customWidth="1"/>
    <col min="13" max="15" width="14.5" style="106" customWidth="1"/>
    <col min="16" max="16" width="14.5" customWidth="1"/>
    <col min="17" max="19" width="14.5" style="1" customWidth="1"/>
    <col min="20" max="22" width="14.5" customWidth="1"/>
    <col min="23" max="23" width="14.6640625" style="2" customWidth="1"/>
  </cols>
  <sheetData>
    <row r="1" spans="1:22" x14ac:dyDescent="0.2">
      <c r="A1" s="772" t="s">
        <v>1359</v>
      </c>
      <c r="B1" s="308" t="s">
        <v>197</v>
      </c>
      <c r="D1" s="212"/>
      <c r="E1" s="212"/>
      <c r="F1" s="212"/>
      <c r="G1" s="212"/>
      <c r="H1" s="212"/>
      <c r="I1" s="212"/>
      <c r="J1" s="212"/>
      <c r="K1" s="212"/>
      <c r="L1" s="212"/>
      <c r="M1" s="212"/>
      <c r="N1" s="212"/>
      <c r="O1" s="212"/>
      <c r="S1"/>
    </row>
    <row r="2" spans="1:22" ht="15" x14ac:dyDescent="0.25">
      <c r="A2" s="773" t="s">
        <v>1286</v>
      </c>
      <c r="B2" s="43"/>
      <c r="D2" s="212"/>
      <c r="E2" s="126"/>
      <c r="F2" s="212"/>
      <c r="G2" s="212"/>
      <c r="H2" s="212"/>
      <c r="I2" s="126" t="s">
        <v>816</v>
      </c>
      <c r="J2" s="126"/>
      <c r="K2" s="126"/>
      <c r="L2" s="126"/>
      <c r="M2" s="126"/>
      <c r="N2" s="126"/>
      <c r="O2" s="126"/>
      <c r="P2" s="58" t="s">
        <v>1377</v>
      </c>
      <c r="S2" s="44" t="s">
        <v>1378</v>
      </c>
      <c r="U2" s="44"/>
    </row>
    <row r="3" spans="1:22" ht="13.5" thickBot="1" x14ac:dyDescent="0.25">
      <c r="A3" s="774"/>
      <c r="B3" s="4"/>
      <c r="C3" s="23"/>
      <c r="D3" s="23"/>
      <c r="E3" s="23"/>
      <c r="F3" s="23"/>
      <c r="G3" s="23"/>
      <c r="H3" s="23"/>
      <c r="I3" s="23"/>
      <c r="J3" s="23"/>
      <c r="K3" s="23"/>
      <c r="L3" s="23"/>
      <c r="M3" s="23"/>
      <c r="N3" s="23"/>
      <c r="O3" s="23"/>
      <c r="P3" s="4"/>
      <c r="Q3" s="23"/>
      <c r="R3" s="23"/>
      <c r="S3" s="4"/>
      <c r="U3" s="4"/>
      <c r="V3" s="4"/>
    </row>
    <row r="4" spans="1:22"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2"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2" x14ac:dyDescent="0.2">
      <c r="A6" s="776"/>
      <c r="B6" s="202"/>
      <c r="C6" s="113"/>
      <c r="D6" s="113"/>
      <c r="E6" s="113"/>
      <c r="F6" s="113"/>
      <c r="G6" s="113"/>
      <c r="H6" s="113"/>
      <c r="I6" s="83"/>
      <c r="J6" s="83"/>
      <c r="K6" s="83"/>
      <c r="L6" s="83"/>
      <c r="M6" s="83"/>
      <c r="N6" s="83"/>
      <c r="O6" s="83"/>
      <c r="P6" s="113"/>
      <c r="Q6" s="83" t="s">
        <v>823</v>
      </c>
      <c r="R6" s="83" t="s">
        <v>585</v>
      </c>
      <c r="S6" s="45" t="s">
        <v>824</v>
      </c>
    </row>
    <row r="7" spans="1:22"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2" ht="13.5" thickTop="1" x14ac:dyDescent="0.2">
      <c r="A8" s="778"/>
      <c r="B8" s="157"/>
      <c r="C8" s="115"/>
      <c r="D8" s="268"/>
      <c r="E8" s="268"/>
      <c r="F8" s="268"/>
      <c r="G8" s="268"/>
      <c r="H8" s="268"/>
      <c r="I8" s="268"/>
      <c r="J8" s="268"/>
      <c r="K8" s="146"/>
      <c r="L8" s="146"/>
      <c r="M8" s="146"/>
      <c r="N8" s="146"/>
      <c r="O8" s="146"/>
      <c r="P8" s="59"/>
      <c r="Q8" s="10"/>
      <c r="R8" s="10"/>
      <c r="S8" s="10"/>
    </row>
    <row r="9" spans="1:22" x14ac:dyDescent="0.2">
      <c r="A9" s="779">
        <v>5112</v>
      </c>
      <c r="B9" s="60" t="s">
        <v>1362</v>
      </c>
      <c r="C9" s="329">
        <v>41932.800000000003</v>
      </c>
      <c r="D9" s="13">
        <f>2803.4+57361.7</f>
        <v>60165.1</v>
      </c>
      <c r="E9" s="128">
        <v>81342.8</v>
      </c>
      <c r="F9" s="128">
        <v>83923.6</v>
      </c>
      <c r="G9" s="128">
        <v>121300</v>
      </c>
      <c r="H9" s="128">
        <v>128377.60000000001</v>
      </c>
      <c r="I9" s="13">
        <v>134014.39999999999</v>
      </c>
      <c r="J9" s="13">
        <v>140448</v>
      </c>
      <c r="K9" s="14">
        <v>145004</v>
      </c>
      <c r="L9" s="13">
        <v>142739.15</v>
      </c>
      <c r="M9" s="14">
        <v>148491</v>
      </c>
      <c r="N9" s="13">
        <v>129845.92</v>
      </c>
      <c r="O9" s="14">
        <f>4098+136885</f>
        <v>140983</v>
      </c>
      <c r="P9" s="13">
        <v>66218.02</v>
      </c>
      <c r="Q9" s="610">
        <f>+'420 DPW'!P77+'420 DPW'!P78+'420 DPW'!P79</f>
        <v>147908.79999999999</v>
      </c>
      <c r="R9" s="14"/>
      <c r="S9" s="14"/>
    </row>
    <row r="10" spans="1:22" x14ac:dyDescent="0.2">
      <c r="A10" s="779">
        <v>5124</v>
      </c>
      <c r="B10" s="60" t="s">
        <v>892</v>
      </c>
      <c r="C10" s="329">
        <v>4630</v>
      </c>
      <c r="D10" s="13">
        <f>65.57+4175</f>
        <v>4240.57</v>
      </c>
      <c r="E10" s="128">
        <v>3855</v>
      </c>
      <c r="F10" s="128">
        <v>5060</v>
      </c>
      <c r="G10" s="128">
        <v>3335</v>
      </c>
      <c r="H10" s="128">
        <v>4303.75</v>
      </c>
      <c r="I10" s="13">
        <v>3720</v>
      </c>
      <c r="J10" s="13">
        <v>9017.6299999999992</v>
      </c>
      <c r="K10" s="14">
        <v>6000</v>
      </c>
      <c r="L10" s="13">
        <v>9774.94</v>
      </c>
      <c r="M10" s="14">
        <v>12000</v>
      </c>
      <c r="N10" s="13">
        <v>9792.3799999999992</v>
      </c>
      <c r="O10" s="14">
        <v>19000</v>
      </c>
      <c r="P10" s="13">
        <v>3562.5</v>
      </c>
      <c r="Q10" s="14">
        <f>+'420 DPW'!P91+'420 DPW'!P92+'420 DPW'!P93</f>
        <v>21600</v>
      </c>
      <c r="R10" s="14"/>
      <c r="S10" s="14"/>
    </row>
    <row r="11" spans="1:22" x14ac:dyDescent="0.2">
      <c r="A11" s="779">
        <v>5132</v>
      </c>
      <c r="B11" s="60" t="s">
        <v>1379</v>
      </c>
      <c r="C11" s="329">
        <v>3754.23</v>
      </c>
      <c r="D11" s="13">
        <v>1646.91</v>
      </c>
      <c r="E11" s="128">
        <v>1559.88</v>
      </c>
      <c r="F11" s="128">
        <v>2932.54</v>
      </c>
      <c r="G11" s="128">
        <v>3098.86</v>
      </c>
      <c r="H11" s="128">
        <v>1788.23</v>
      </c>
      <c r="I11" s="13">
        <v>3413.58</v>
      </c>
      <c r="J11" s="13">
        <v>4165.6499999999996</v>
      </c>
      <c r="K11" s="14">
        <v>5000</v>
      </c>
      <c r="L11" s="13">
        <v>7423.58</v>
      </c>
      <c r="M11" s="14">
        <v>6000</v>
      </c>
      <c r="N11" s="13">
        <v>1381.29</v>
      </c>
      <c r="O11" s="14">
        <v>6250</v>
      </c>
      <c r="P11" s="13">
        <v>315.11</v>
      </c>
      <c r="Q11" s="14">
        <v>6000</v>
      </c>
      <c r="R11" s="14"/>
      <c r="S11" s="14"/>
    </row>
    <row r="12" spans="1:22" ht="13.5" thickBot="1" x14ac:dyDescent="0.25">
      <c r="A12" s="779">
        <v>5142</v>
      </c>
      <c r="B12" s="60" t="s">
        <v>1146</v>
      </c>
      <c r="C12" s="331">
        <v>3.3</v>
      </c>
      <c r="D12" s="15"/>
      <c r="E12" s="15"/>
      <c r="F12" s="15"/>
      <c r="G12" s="15"/>
      <c r="H12" s="15"/>
      <c r="I12" s="15"/>
      <c r="J12" s="15"/>
      <c r="K12" s="16"/>
      <c r="L12" s="15"/>
      <c r="M12" s="16"/>
      <c r="N12" s="15"/>
      <c r="O12" s="16"/>
      <c r="P12" s="15"/>
      <c r="Q12" s="16"/>
      <c r="R12" s="16"/>
      <c r="S12" s="16"/>
    </row>
    <row r="13" spans="1:22" x14ac:dyDescent="0.2">
      <c r="A13" s="779"/>
      <c r="B13" s="61" t="s">
        <v>828</v>
      </c>
      <c r="C13" s="330">
        <f t="shared" ref="C13:P13" si="0">SUM(C9:C12)</f>
        <v>50320.330000000009</v>
      </c>
      <c r="D13" s="18">
        <f t="shared" si="0"/>
        <v>66052.58</v>
      </c>
      <c r="E13" s="18">
        <f t="shared" si="0"/>
        <v>86757.680000000008</v>
      </c>
      <c r="F13" s="18">
        <f>SUM(F9:F12)</f>
        <v>91916.14</v>
      </c>
      <c r="G13" s="18">
        <f>SUM(G9:G12)</f>
        <v>127733.86</v>
      </c>
      <c r="H13" s="18">
        <f>SUM(H9:H12)</f>
        <v>134469.58000000002</v>
      </c>
      <c r="I13" s="18">
        <f t="shared" si="0"/>
        <v>141147.97999999998</v>
      </c>
      <c r="J13" s="18">
        <f t="shared" si="0"/>
        <v>153631.28</v>
      </c>
      <c r="K13" s="19">
        <f>SUM(K9:K12)</f>
        <v>156004</v>
      </c>
      <c r="L13" s="18">
        <f>SUM(L9:L12)</f>
        <v>159937.66999999998</v>
      </c>
      <c r="M13" s="19">
        <f>SUM(M9:M12)</f>
        <v>166491</v>
      </c>
      <c r="N13" s="18">
        <f>SUM(N9:N12)</f>
        <v>141019.59</v>
      </c>
      <c r="O13" s="19">
        <f>SUM(O9:O12)</f>
        <v>166233</v>
      </c>
      <c r="P13" s="18">
        <f t="shared" si="0"/>
        <v>70095.63</v>
      </c>
      <c r="Q13" s="19">
        <f>SUM(Q9:Q12)</f>
        <v>175508.8</v>
      </c>
      <c r="R13" s="19">
        <f>SUM(R9:R12)</f>
        <v>0</v>
      </c>
      <c r="S13" s="19">
        <f>SUM(S9:S12)</f>
        <v>0</v>
      </c>
    </row>
    <row r="14" spans="1:22" x14ac:dyDescent="0.2">
      <c r="A14" s="779"/>
      <c r="B14" s="60"/>
      <c r="C14" s="329"/>
      <c r="D14" s="13"/>
      <c r="E14" s="13"/>
      <c r="F14" s="13"/>
      <c r="G14" s="13"/>
      <c r="H14" s="13"/>
      <c r="I14" s="13"/>
      <c r="J14" s="13"/>
      <c r="K14" s="14"/>
      <c r="L14" s="13"/>
      <c r="M14" s="14"/>
      <c r="N14" s="13"/>
      <c r="O14" s="14"/>
      <c r="P14" s="13"/>
      <c r="Q14" s="14"/>
      <c r="R14" s="14"/>
      <c r="S14" s="14"/>
    </row>
    <row r="15" spans="1:22" x14ac:dyDescent="0.2">
      <c r="A15" s="779">
        <v>5315</v>
      </c>
      <c r="B15" s="60" t="s">
        <v>1380</v>
      </c>
      <c r="C15" s="329"/>
      <c r="D15" s="13"/>
      <c r="E15" s="13"/>
      <c r="F15" s="13"/>
      <c r="G15" s="13"/>
      <c r="H15" s="13"/>
      <c r="I15" s="13"/>
      <c r="J15" s="13"/>
      <c r="K15" s="14"/>
      <c r="L15" s="13">
        <v>400</v>
      </c>
      <c r="M15" s="14"/>
      <c r="N15" s="13"/>
      <c r="O15" s="14"/>
      <c r="P15" s="13"/>
      <c r="Q15" s="14">
        <v>3500</v>
      </c>
      <c r="R15" s="14"/>
      <c r="S15" s="14"/>
    </row>
    <row r="16" spans="1:22" x14ac:dyDescent="0.2">
      <c r="A16" s="779">
        <v>5443</v>
      </c>
      <c r="B16" s="60" t="s">
        <v>1308</v>
      </c>
      <c r="C16" s="329">
        <v>4952.8900000000003</v>
      </c>
      <c r="D16" s="13">
        <v>5225.26</v>
      </c>
      <c r="E16" s="128">
        <v>8534.39</v>
      </c>
      <c r="F16" s="128">
        <v>9126.2199999999993</v>
      </c>
      <c r="G16" s="128">
        <v>10174.370000000001</v>
      </c>
      <c r="H16" s="128">
        <v>8223.6</v>
      </c>
      <c r="I16" s="13">
        <v>9133.7099999999991</v>
      </c>
      <c r="J16" s="13">
        <v>5633.89</v>
      </c>
      <c r="K16" s="14">
        <v>9000</v>
      </c>
      <c r="L16" s="13">
        <v>9201.35</v>
      </c>
      <c r="M16" s="14">
        <v>9000</v>
      </c>
      <c r="N16" s="13">
        <v>3717.78</v>
      </c>
      <c r="O16" s="14">
        <v>9000</v>
      </c>
      <c r="P16" s="13">
        <v>2069.79</v>
      </c>
      <c r="Q16" s="14">
        <v>9000</v>
      </c>
      <c r="R16" s="14"/>
      <c r="S16" s="14"/>
    </row>
    <row r="17" spans="1:22" ht="13.5" thickBot="1" x14ac:dyDescent="0.25">
      <c r="A17" s="779">
        <v>5460</v>
      </c>
      <c r="B17" s="60" t="s">
        <v>1309</v>
      </c>
      <c r="C17" s="331">
        <v>512</v>
      </c>
      <c r="D17" s="15">
        <v>2052.3200000000002</v>
      </c>
      <c r="E17" s="15"/>
      <c r="F17" s="15">
        <v>40</v>
      </c>
      <c r="G17" s="15">
        <v>0</v>
      </c>
      <c r="H17" s="15"/>
      <c r="I17" s="15">
        <v>0</v>
      </c>
      <c r="J17" s="15"/>
      <c r="K17" s="16">
        <v>2000</v>
      </c>
      <c r="L17" s="15"/>
      <c r="M17" s="16">
        <v>2000</v>
      </c>
      <c r="N17" s="15">
        <v>3694.08</v>
      </c>
      <c r="O17" s="16">
        <v>2000</v>
      </c>
      <c r="P17" s="15">
        <v>3663.94</v>
      </c>
      <c r="Q17" s="16">
        <v>3000</v>
      </c>
      <c r="R17" s="16"/>
      <c r="S17" s="16"/>
    </row>
    <row r="18" spans="1:22" x14ac:dyDescent="0.2">
      <c r="A18" s="779"/>
      <c r="B18" s="61" t="s">
        <v>838</v>
      </c>
      <c r="C18" s="118">
        <f t="shared" ref="C18:E18" si="1">SUM(C16:C17)</f>
        <v>5464.89</v>
      </c>
      <c r="D18" s="18">
        <f t="shared" si="1"/>
        <v>7277.58</v>
      </c>
      <c r="E18" s="18">
        <f t="shared" si="1"/>
        <v>8534.39</v>
      </c>
      <c r="F18" s="18">
        <f>SUM(F16:F17)</f>
        <v>9166.2199999999993</v>
      </c>
      <c r="G18" s="18">
        <f>SUM(G16:G17)</f>
        <v>10174.370000000001</v>
      </c>
      <c r="H18" s="18">
        <f>SUM(H16:H17)</f>
        <v>8223.6</v>
      </c>
      <c r="I18" s="18">
        <f t="shared" ref="I18:Q18" si="2">SUM(I15:I17)</f>
        <v>9133.7099999999991</v>
      </c>
      <c r="J18" s="18">
        <f t="shared" si="2"/>
        <v>5633.89</v>
      </c>
      <c r="K18" s="19">
        <f t="shared" si="2"/>
        <v>11000</v>
      </c>
      <c r="L18" s="18">
        <f t="shared" si="2"/>
        <v>9601.35</v>
      </c>
      <c r="M18" s="19">
        <f t="shared" ref="M18" si="3">SUM(M15:M17)</f>
        <v>11000</v>
      </c>
      <c r="N18" s="18">
        <f t="shared" ref="N18" si="4">SUM(N15:N17)</f>
        <v>7411.8600000000006</v>
      </c>
      <c r="O18" s="19">
        <f t="shared" si="2"/>
        <v>11000</v>
      </c>
      <c r="P18" s="18">
        <f t="shared" si="2"/>
        <v>5733.73</v>
      </c>
      <c r="Q18" s="19">
        <f t="shared" si="2"/>
        <v>15500</v>
      </c>
      <c r="R18" s="19">
        <f t="shared" ref="R18" si="5">SUM(R15:R17)</f>
        <v>0</v>
      </c>
      <c r="S18" s="19">
        <f>SUM(S16:S17)</f>
        <v>0</v>
      </c>
    </row>
    <row r="19" spans="1:22" x14ac:dyDescent="0.2">
      <c r="A19" s="779"/>
      <c r="B19" s="60"/>
      <c r="C19" s="116"/>
      <c r="D19" s="13"/>
      <c r="E19" s="13"/>
      <c r="F19" s="13"/>
      <c r="G19" s="13"/>
      <c r="H19" s="13"/>
      <c r="I19" s="13"/>
      <c r="J19" s="13"/>
      <c r="K19" s="14"/>
      <c r="L19" s="13"/>
      <c r="M19" s="14"/>
      <c r="N19" s="13"/>
      <c r="O19" s="14"/>
      <c r="P19" s="13"/>
      <c r="Q19" s="14"/>
      <c r="R19" s="14"/>
      <c r="S19" s="14"/>
    </row>
    <row r="20" spans="1:22" ht="13.5" thickBot="1" x14ac:dyDescent="0.25">
      <c r="A20" s="780"/>
      <c r="B20" s="20" t="s">
        <v>1381</v>
      </c>
      <c r="C20" s="21">
        <f t="shared" ref="C20:Q20" si="6">+C18+C13</f>
        <v>55785.220000000008</v>
      </c>
      <c r="D20" s="21">
        <f t="shared" si="6"/>
        <v>73330.16</v>
      </c>
      <c r="E20" s="21">
        <f t="shared" ref="E20:J20" si="7">+E18+E13</f>
        <v>95292.07</v>
      </c>
      <c r="F20" s="21">
        <f t="shared" si="7"/>
        <v>101082.36</v>
      </c>
      <c r="G20" s="21">
        <f t="shared" si="7"/>
        <v>137908.23000000001</v>
      </c>
      <c r="H20" s="21">
        <f t="shared" si="7"/>
        <v>142693.18000000002</v>
      </c>
      <c r="I20" s="21">
        <f t="shared" si="7"/>
        <v>150281.68999999997</v>
      </c>
      <c r="J20" s="21">
        <f t="shared" si="7"/>
        <v>159265.17000000001</v>
      </c>
      <c r="K20" s="22">
        <f t="shared" ref="K20:M20" si="8">+K18+K13</f>
        <v>167004</v>
      </c>
      <c r="L20" s="21">
        <f t="shared" si="8"/>
        <v>169539.02</v>
      </c>
      <c r="M20" s="22">
        <f t="shared" si="8"/>
        <v>177491</v>
      </c>
      <c r="N20" s="21">
        <f t="shared" ref="N20" si="9">+N18+N13</f>
        <v>148431.45000000001</v>
      </c>
      <c r="O20" s="22">
        <f t="shared" ref="O20" si="10">+O18+O13</f>
        <v>177233</v>
      </c>
      <c r="P20" s="21">
        <f t="shared" si="6"/>
        <v>75829.36</v>
      </c>
      <c r="Q20" s="22">
        <f t="shared" si="6"/>
        <v>191008.8</v>
      </c>
      <c r="R20" s="22">
        <f>+Q20</f>
        <v>191008.8</v>
      </c>
      <c r="S20" s="22">
        <f>+Q20</f>
        <v>191008.8</v>
      </c>
    </row>
    <row r="21" spans="1:22" ht="13.5" thickTop="1" x14ac:dyDescent="0.2">
      <c r="A21" s="63"/>
      <c r="B21" s="4"/>
      <c r="C21" s="23"/>
      <c r="D21" s="23"/>
      <c r="E21" s="23"/>
      <c r="F21" s="23"/>
      <c r="G21" s="23"/>
      <c r="H21" s="23"/>
      <c r="I21" s="23"/>
      <c r="J21" s="23"/>
      <c r="K21" s="23"/>
      <c r="L21" s="23"/>
      <c r="M21" s="23"/>
      <c r="N21" s="23"/>
      <c r="O21" s="23"/>
      <c r="P21" s="199" t="s">
        <v>843</v>
      </c>
      <c r="Q21" s="1116">
        <f>+Q20-O20</f>
        <v>13775.799999999988</v>
      </c>
      <c r="R21" s="1117">
        <f>ROUND((+Q21/O20),4)</f>
        <v>7.7700000000000005E-2</v>
      </c>
      <c r="S21" s="23"/>
      <c r="T21" s="25"/>
      <c r="U21" s="25"/>
      <c r="V21" s="25"/>
    </row>
    <row r="22" spans="1:22" ht="13.5" thickBot="1" x14ac:dyDescent="0.25">
      <c r="A22" s="774"/>
      <c r="B22" s="4"/>
      <c r="C22" s="23"/>
      <c r="D22" s="23"/>
      <c r="E22" s="23"/>
      <c r="F22" s="23"/>
      <c r="G22" s="23"/>
      <c r="H22" s="23"/>
      <c r="I22" s="23"/>
      <c r="J22" s="23"/>
      <c r="K22" s="23"/>
      <c r="L22" s="23"/>
      <c r="M22" s="23"/>
      <c r="N22" s="23"/>
      <c r="O22" s="23"/>
      <c r="P22" s="25"/>
      <c r="Q22" s="23"/>
      <c r="R22" s="23"/>
      <c r="S22" s="25"/>
      <c r="T22" s="25"/>
      <c r="U22" s="25"/>
      <c r="V22" s="25"/>
    </row>
    <row r="23" spans="1:22" ht="13.5" thickTop="1" x14ac:dyDescent="0.2">
      <c r="A23" s="789"/>
      <c r="B23" s="367"/>
      <c r="C23" s="368" t="s">
        <v>280</v>
      </c>
      <c r="D23" s="369" t="s">
        <v>280</v>
      </c>
      <c r="E23" s="369" t="s">
        <v>280</v>
      </c>
      <c r="F23" s="212"/>
      <c r="G23" s="212"/>
      <c r="H23" s="212"/>
      <c r="I23" s="212"/>
      <c r="J23" s="212"/>
      <c r="K23" s="212"/>
      <c r="L23" s="212"/>
      <c r="M23" s="370" t="s">
        <v>279</v>
      </c>
      <c r="N23" s="371" t="s">
        <v>826</v>
      </c>
      <c r="O23" s="372" t="s">
        <v>840</v>
      </c>
      <c r="P23" s="371" t="s">
        <v>841</v>
      </c>
      <c r="Q23" s="373"/>
      <c r="R23" s="569"/>
      <c r="S23" s="372"/>
      <c r="T23" s="25"/>
      <c r="U23" s="25"/>
      <c r="V23" s="25"/>
    </row>
    <row r="24" spans="1:22" ht="13.5" thickBot="1" x14ac:dyDescent="0.25">
      <c r="A24" s="790" t="s">
        <v>825</v>
      </c>
      <c r="B24" s="374"/>
      <c r="C24" s="375" t="s">
        <v>267</v>
      </c>
      <c r="D24" s="375" t="s">
        <v>268</v>
      </c>
      <c r="E24" s="376" t="s">
        <v>269</v>
      </c>
      <c r="F24" s="212"/>
      <c r="G24" s="212"/>
      <c r="H24" s="212"/>
      <c r="I24" s="212"/>
      <c r="J24" s="212"/>
      <c r="K24" s="212"/>
      <c r="L24" s="212"/>
      <c r="M24" s="377" t="s">
        <v>277</v>
      </c>
      <c r="N24" s="377" t="s">
        <v>571</v>
      </c>
      <c r="O24" s="376" t="s">
        <v>843</v>
      </c>
      <c r="P24" s="378" t="s">
        <v>843</v>
      </c>
      <c r="Q24" s="379" t="s">
        <v>844</v>
      </c>
      <c r="R24" s="570"/>
      <c r="S24" s="377"/>
      <c r="T24" s="25"/>
      <c r="U24" s="25"/>
      <c r="V24" s="25"/>
    </row>
    <row r="25" spans="1:22" ht="13.5" thickTop="1" x14ac:dyDescent="0.2">
      <c r="A25" s="794"/>
      <c r="B25" s="401"/>
      <c r="C25" s="402"/>
      <c r="D25" s="403"/>
      <c r="E25" s="403"/>
      <c r="F25" s="212"/>
      <c r="G25" s="212"/>
      <c r="H25" s="212"/>
      <c r="I25" s="212"/>
      <c r="J25" s="212"/>
      <c r="K25" s="212"/>
      <c r="L25" s="212"/>
      <c r="M25" s="404"/>
      <c r="N25" s="403"/>
      <c r="O25" s="404"/>
      <c r="P25" s="402"/>
      <c r="Q25" s="385"/>
      <c r="R25" s="572"/>
      <c r="S25" s="386"/>
      <c r="T25" s="25"/>
      <c r="U25" s="25"/>
      <c r="V25" s="25"/>
    </row>
    <row r="26" spans="1:22" x14ac:dyDescent="0.2">
      <c r="A26" s="795">
        <v>5112</v>
      </c>
      <c r="B26" s="387" t="s">
        <v>1362</v>
      </c>
      <c r="C26" s="391">
        <v>41932.800000000003</v>
      </c>
      <c r="D26" s="391">
        <f>2803.4+57361.7</f>
        <v>60165.1</v>
      </c>
      <c r="E26" s="391">
        <v>81342.8</v>
      </c>
      <c r="F26" s="212"/>
      <c r="G26" s="212"/>
      <c r="H26" s="212"/>
      <c r="I26" s="212"/>
      <c r="J26" s="212"/>
      <c r="K26" s="212"/>
      <c r="L26" s="212"/>
      <c r="M26" s="390">
        <f>+O9</f>
        <v>140983</v>
      </c>
      <c r="N26" s="411">
        <f>+Q9</f>
        <v>147908.79999999999</v>
      </c>
      <c r="O26" s="414">
        <f t="shared" ref="O26:O31" si="11">+N26-M26</f>
        <v>6925.7999999999884</v>
      </c>
      <c r="P26" s="392">
        <f t="shared" ref="P26:P31" si="12">IF(M26+N26&lt;&gt;0,IF(M26&lt;&gt;0,IF(O26&lt;&gt;0,ROUND((+O26/M26),4),""),1),"")</f>
        <v>4.9099999999999998E-2</v>
      </c>
      <c r="Q26" s="385"/>
      <c r="R26" s="572"/>
      <c r="S26" s="386"/>
      <c r="T26" s="25"/>
      <c r="U26" s="25"/>
      <c r="V26" s="25"/>
    </row>
    <row r="27" spans="1:22" x14ac:dyDescent="0.2">
      <c r="A27" s="795">
        <v>5124</v>
      </c>
      <c r="B27" s="387" t="s">
        <v>892</v>
      </c>
      <c r="C27" s="391">
        <v>4630</v>
      </c>
      <c r="D27" s="391">
        <f>65.57+4175</f>
        <v>4240.57</v>
      </c>
      <c r="E27" s="391">
        <v>3855</v>
      </c>
      <c r="F27" s="212"/>
      <c r="G27" s="212"/>
      <c r="H27" s="212"/>
      <c r="I27" s="212"/>
      <c r="J27" s="212"/>
      <c r="K27" s="212"/>
      <c r="L27" s="212"/>
      <c r="M27" s="390">
        <f>+O10</f>
        <v>19000</v>
      </c>
      <c r="N27" s="411">
        <f>+Q10</f>
        <v>21600</v>
      </c>
      <c r="O27" s="414">
        <f t="shared" si="11"/>
        <v>2600</v>
      </c>
      <c r="P27" s="392">
        <f t="shared" si="12"/>
        <v>0.1368</v>
      </c>
      <c r="Q27" s="385"/>
      <c r="R27" s="572"/>
      <c r="S27" s="386"/>
      <c r="T27" s="25"/>
      <c r="U27" s="25"/>
      <c r="V27" s="25"/>
    </row>
    <row r="28" spans="1:22" x14ac:dyDescent="0.2">
      <c r="A28" s="795">
        <v>5132</v>
      </c>
      <c r="B28" s="387" t="s">
        <v>1379</v>
      </c>
      <c r="C28" s="391">
        <v>3754.23</v>
      </c>
      <c r="D28" s="391">
        <v>1646.91</v>
      </c>
      <c r="E28" s="391">
        <v>1559.88</v>
      </c>
      <c r="F28" s="212"/>
      <c r="G28" s="212"/>
      <c r="H28" s="212"/>
      <c r="I28" s="212"/>
      <c r="J28" s="212"/>
      <c r="K28" s="212"/>
      <c r="L28" s="212"/>
      <c r="M28" s="390">
        <f>+O11</f>
        <v>6250</v>
      </c>
      <c r="N28" s="411">
        <f>+Q11</f>
        <v>6000</v>
      </c>
      <c r="O28" s="414">
        <f t="shared" si="11"/>
        <v>-250</v>
      </c>
      <c r="P28" s="392">
        <f t="shared" si="12"/>
        <v>-0.04</v>
      </c>
      <c r="Q28" s="385"/>
      <c r="R28" s="572"/>
      <c r="S28" s="386"/>
      <c r="T28" s="25"/>
      <c r="U28" s="25"/>
      <c r="V28" s="25"/>
    </row>
    <row r="29" spans="1:22" x14ac:dyDescent="0.2">
      <c r="A29" s="795">
        <v>5315</v>
      </c>
      <c r="B29" s="415" t="s">
        <v>1061</v>
      </c>
      <c r="C29" s="391"/>
      <c r="D29" s="391"/>
      <c r="E29" s="391"/>
      <c r="F29" s="212"/>
      <c r="G29" s="212"/>
      <c r="H29" s="212"/>
      <c r="I29" s="212"/>
      <c r="J29" s="212"/>
      <c r="K29" s="212"/>
      <c r="L29" s="212"/>
      <c r="M29" s="390">
        <f>+O12</f>
        <v>0</v>
      </c>
      <c r="N29" s="411">
        <f>+Q12</f>
        <v>0</v>
      </c>
      <c r="O29" s="414">
        <f t="shared" si="11"/>
        <v>0</v>
      </c>
      <c r="P29" s="392" t="str">
        <f t="shared" si="12"/>
        <v/>
      </c>
      <c r="Q29" s="385"/>
      <c r="R29" s="572"/>
      <c r="S29" s="386"/>
      <c r="T29" s="25"/>
      <c r="U29" s="25"/>
      <c r="V29" s="25"/>
    </row>
    <row r="30" spans="1:22" x14ac:dyDescent="0.2">
      <c r="A30" s="795">
        <v>5443</v>
      </c>
      <c r="B30" s="387" t="s">
        <v>1308</v>
      </c>
      <c r="C30" s="391">
        <v>4952.8900000000003</v>
      </c>
      <c r="D30" s="391">
        <v>5225.26</v>
      </c>
      <c r="E30" s="391">
        <v>8534.39</v>
      </c>
      <c r="F30" s="212"/>
      <c r="G30" s="212"/>
      <c r="H30" s="212"/>
      <c r="I30" s="212"/>
      <c r="J30" s="212"/>
      <c r="K30" s="212"/>
      <c r="L30" s="212"/>
      <c r="M30" s="390">
        <f>+O16</f>
        <v>9000</v>
      </c>
      <c r="N30" s="411">
        <f>+Q16</f>
        <v>9000</v>
      </c>
      <c r="O30" s="414">
        <f t="shared" si="11"/>
        <v>0</v>
      </c>
      <c r="P30" s="392" t="str">
        <f t="shared" si="12"/>
        <v/>
      </c>
      <c r="Q30" s="385"/>
      <c r="R30" s="572"/>
      <c r="S30" s="386"/>
      <c r="T30" s="25"/>
      <c r="U30" s="25"/>
      <c r="V30" s="25"/>
    </row>
    <row r="31" spans="1:22" ht="13.5" thickBot="1" x14ac:dyDescent="0.25">
      <c r="A31" s="795">
        <v>5460</v>
      </c>
      <c r="B31" s="387" t="s">
        <v>1309</v>
      </c>
      <c r="C31" s="389">
        <v>512</v>
      </c>
      <c r="D31" s="389">
        <v>2052.3200000000002</v>
      </c>
      <c r="E31" s="389"/>
      <c r="F31" s="212"/>
      <c r="G31" s="212"/>
      <c r="H31" s="212"/>
      <c r="I31" s="212"/>
      <c r="J31" s="212"/>
      <c r="K31" s="212"/>
      <c r="L31" s="212"/>
      <c r="M31" s="390">
        <f>+O17</f>
        <v>2000</v>
      </c>
      <c r="N31" s="411">
        <f>+Q17</f>
        <v>3000</v>
      </c>
      <c r="O31" s="414">
        <f t="shared" si="11"/>
        <v>1000</v>
      </c>
      <c r="P31" s="392">
        <f t="shared" si="12"/>
        <v>0.5</v>
      </c>
      <c r="Q31" s="385"/>
      <c r="R31" s="572"/>
      <c r="S31" s="386"/>
      <c r="T31" s="25"/>
      <c r="U31" s="25"/>
      <c r="V31" s="25"/>
    </row>
    <row r="32" spans="1:22" x14ac:dyDescent="0.2">
      <c r="A32" s="774"/>
      <c r="B32" s="4"/>
      <c r="C32" s="23"/>
      <c r="D32" s="23"/>
      <c r="E32" s="23"/>
      <c r="F32" s="23"/>
      <c r="G32" s="23"/>
      <c r="H32" s="212"/>
      <c r="I32" s="212"/>
      <c r="J32" s="212"/>
      <c r="K32" s="212"/>
      <c r="L32" s="212"/>
      <c r="M32" s="23"/>
      <c r="N32" s="23"/>
      <c r="O32" s="23"/>
      <c r="P32" s="25"/>
      <c r="Q32" s="23"/>
      <c r="R32" s="23"/>
      <c r="S32" s="23"/>
      <c r="T32" s="25"/>
      <c r="U32" s="25"/>
      <c r="V32" s="25"/>
    </row>
    <row r="33" spans="1:22" x14ac:dyDescent="0.2">
      <c r="A33" s="774"/>
      <c r="B33" s="4" t="s">
        <v>846</v>
      </c>
      <c r="C33" s="23"/>
      <c r="D33" s="23"/>
      <c r="E33" s="23"/>
      <c r="F33" s="23"/>
      <c r="G33" s="23"/>
      <c r="H33" s="212"/>
      <c r="I33" s="212"/>
      <c r="J33" s="212"/>
      <c r="K33" s="212"/>
      <c r="L33" s="212"/>
      <c r="M33" s="616">
        <f>SUM(M25:M32)</f>
        <v>177233</v>
      </c>
      <c r="N33" s="616">
        <f>SUM(N25:N32)</f>
        <v>187508.8</v>
      </c>
      <c r="O33" s="25">
        <f>+N33-M33</f>
        <v>10275.799999999988</v>
      </c>
      <c r="P33" s="617">
        <f>IF(M33+N33&lt;&gt;0,IF(M33&lt;&gt;0,IF(O33&lt;&gt;0,ROUND((+O33/M33),4),""),1),"")</f>
        <v>5.8000000000000003E-2</v>
      </c>
      <c r="Q33" s="23"/>
      <c r="R33" s="23"/>
      <c r="S33" s="23"/>
      <c r="T33" s="25"/>
      <c r="U33" s="25"/>
      <c r="V33" s="25"/>
    </row>
    <row r="34" spans="1:22" x14ac:dyDescent="0.2">
      <c r="A34" s="774"/>
      <c r="B34" s="4"/>
      <c r="C34" s="23"/>
      <c r="D34" s="23"/>
      <c r="E34" s="23"/>
      <c r="F34" s="23"/>
      <c r="G34" s="23"/>
      <c r="H34" s="23"/>
      <c r="I34" s="23"/>
      <c r="J34" s="23"/>
      <c r="K34" s="212"/>
      <c r="L34" s="212"/>
      <c r="M34" s="23"/>
      <c r="N34" s="23"/>
      <c r="O34" s="23"/>
      <c r="P34" s="25"/>
      <c r="Q34" s="23"/>
      <c r="R34" s="23"/>
      <c r="S34" s="23"/>
      <c r="T34" s="25"/>
      <c r="U34" s="25"/>
      <c r="V34" s="25"/>
    </row>
    <row r="35" spans="1:22" x14ac:dyDescent="0.2">
      <c r="A35" s="774"/>
      <c r="B35" s="4"/>
      <c r="C35" s="23"/>
      <c r="D35" s="23"/>
      <c r="E35" s="23"/>
      <c r="F35" s="23"/>
      <c r="G35" s="23"/>
      <c r="H35" s="23"/>
      <c r="I35" s="23"/>
      <c r="J35" s="23"/>
      <c r="K35" s="23"/>
      <c r="L35" s="23"/>
      <c r="M35" s="23"/>
      <c r="N35" s="23"/>
      <c r="O35" s="23"/>
      <c r="P35" s="25"/>
      <c r="Q35" s="23"/>
      <c r="R35" s="23"/>
      <c r="S35" s="23"/>
      <c r="T35" s="25"/>
      <c r="U35" s="25"/>
      <c r="V35" s="25"/>
    </row>
    <row r="36" spans="1:22" x14ac:dyDescent="0.2">
      <c r="A36" s="774"/>
      <c r="B36" s="4"/>
      <c r="C36" s="23"/>
      <c r="D36" s="23"/>
      <c r="E36" s="23"/>
      <c r="F36" s="23"/>
      <c r="G36" s="23"/>
      <c r="H36" s="23"/>
      <c r="I36" s="23"/>
      <c r="J36" s="23"/>
      <c r="K36" s="23"/>
      <c r="L36" s="23"/>
      <c r="M36" s="23"/>
      <c r="N36" s="23"/>
      <c r="O36" s="23"/>
      <c r="P36" s="25"/>
      <c r="Q36" s="23"/>
      <c r="R36" s="23"/>
      <c r="S36" s="23"/>
      <c r="T36" s="25"/>
      <c r="U36" s="25"/>
      <c r="V36" s="25"/>
    </row>
    <row r="37" spans="1:22" x14ac:dyDescent="0.2">
      <c r="A37" s="774"/>
      <c r="B37" s="4"/>
      <c r="C37" s="23"/>
      <c r="D37" s="23"/>
      <c r="E37" s="23"/>
      <c r="F37" s="23"/>
      <c r="G37" s="23"/>
      <c r="H37" s="23"/>
      <c r="I37" s="23"/>
      <c r="J37" s="23"/>
      <c r="K37" s="23"/>
      <c r="L37" s="23"/>
      <c r="M37" s="23"/>
      <c r="N37" s="23"/>
      <c r="O37" s="23"/>
      <c r="P37" s="25"/>
      <c r="Q37" s="23"/>
      <c r="R37" s="23"/>
      <c r="S37" s="23"/>
      <c r="T37" s="25"/>
      <c r="U37" s="25"/>
      <c r="V37" s="25"/>
    </row>
    <row r="38" spans="1:22" x14ac:dyDescent="0.2">
      <c r="A38" s="774"/>
      <c r="B38" s="4"/>
      <c r="C38" s="23"/>
      <c r="D38" s="23"/>
      <c r="E38" s="23"/>
      <c r="F38" s="23"/>
      <c r="G38" s="23"/>
      <c r="H38" s="23"/>
      <c r="I38" s="23"/>
      <c r="J38" s="23"/>
      <c r="K38" s="23"/>
      <c r="L38" s="23"/>
      <c r="M38" s="23"/>
      <c r="N38" s="23"/>
      <c r="O38" s="23"/>
      <c r="P38" s="25"/>
      <c r="Q38" s="23"/>
      <c r="R38" s="23"/>
      <c r="S38" s="23"/>
      <c r="T38" s="25"/>
      <c r="U38" s="25"/>
      <c r="V38" s="25"/>
    </row>
    <row r="39" spans="1:22" x14ac:dyDescent="0.2">
      <c r="A39" s="774"/>
      <c r="B39" s="4"/>
      <c r="C39" s="23"/>
      <c r="D39" s="23"/>
      <c r="E39" s="23"/>
      <c r="F39" s="23"/>
      <c r="G39" s="23"/>
      <c r="H39" s="23"/>
      <c r="I39" s="23"/>
      <c r="J39" s="23"/>
      <c r="K39" s="23"/>
      <c r="L39" s="23"/>
      <c r="M39" s="23"/>
      <c r="N39" s="23"/>
      <c r="O39" s="23"/>
      <c r="P39" s="25"/>
      <c r="Q39" s="23"/>
      <c r="R39" s="23"/>
      <c r="S39" s="23"/>
      <c r="T39" s="25"/>
      <c r="U39" s="25"/>
      <c r="V39" s="25"/>
    </row>
    <row r="40" spans="1:22" x14ac:dyDescent="0.2">
      <c r="A40" s="774"/>
      <c r="B40" s="4"/>
      <c r="C40" s="23"/>
      <c r="D40" s="23"/>
      <c r="E40" s="23"/>
      <c r="F40" s="23"/>
      <c r="G40" s="23"/>
      <c r="H40" s="23"/>
      <c r="I40" s="23"/>
      <c r="J40" s="23"/>
      <c r="K40" s="23"/>
      <c r="L40" s="23"/>
      <c r="M40" s="23"/>
      <c r="N40" s="23"/>
      <c r="O40" s="23"/>
      <c r="P40" s="25"/>
      <c r="Q40" s="23"/>
      <c r="R40" s="23"/>
      <c r="S40" s="23"/>
      <c r="T40" s="25"/>
      <c r="U40" s="25"/>
      <c r="V40" s="25"/>
    </row>
    <row r="41" spans="1:22" x14ac:dyDescent="0.2">
      <c r="A41" s="774"/>
      <c r="B41" s="4"/>
      <c r="C41" s="23"/>
      <c r="D41" s="23"/>
      <c r="E41" s="23"/>
      <c r="F41" s="23"/>
      <c r="G41" s="23"/>
      <c r="H41" s="23"/>
      <c r="I41" s="23"/>
      <c r="J41" s="23"/>
      <c r="K41" s="23"/>
      <c r="L41" s="23"/>
      <c r="M41" s="23"/>
      <c r="N41" s="23"/>
      <c r="O41" s="23"/>
      <c r="P41" s="25"/>
      <c r="Q41" s="23"/>
      <c r="R41" s="23"/>
      <c r="S41" s="23"/>
      <c r="T41" s="25"/>
      <c r="U41" s="25"/>
      <c r="V41" s="25"/>
    </row>
    <row r="42" spans="1:22" x14ac:dyDescent="0.2">
      <c r="A42" s="774"/>
      <c r="B42" s="4"/>
      <c r="C42" s="23"/>
      <c r="D42" s="23"/>
      <c r="E42" s="23"/>
      <c r="F42" s="23"/>
      <c r="G42" s="23"/>
      <c r="H42" s="23"/>
      <c r="I42" s="23"/>
      <c r="J42" s="23"/>
      <c r="K42" s="23"/>
      <c r="L42" s="23"/>
      <c r="M42" s="23"/>
      <c r="N42" s="23"/>
      <c r="O42" s="23"/>
      <c r="P42" s="25"/>
      <c r="Q42" s="23"/>
      <c r="R42" s="23"/>
      <c r="S42" s="23"/>
      <c r="T42" s="25"/>
      <c r="U42" s="25"/>
      <c r="V42" s="25"/>
    </row>
    <row r="43" spans="1:22" x14ac:dyDescent="0.2">
      <c r="A43" s="774"/>
      <c r="B43" s="4"/>
      <c r="C43" s="23"/>
      <c r="D43" s="23"/>
      <c r="E43" s="23"/>
      <c r="F43" s="23"/>
      <c r="G43" s="23"/>
      <c r="H43" s="23"/>
      <c r="I43" s="23"/>
      <c r="J43" s="23"/>
      <c r="K43" s="23"/>
      <c r="L43" s="23"/>
      <c r="M43" s="23"/>
      <c r="N43" s="23"/>
      <c r="O43" s="23"/>
      <c r="P43" s="25"/>
      <c r="Q43" s="23"/>
      <c r="R43" s="23"/>
      <c r="S43" s="23"/>
      <c r="T43" s="25"/>
      <c r="U43" s="25"/>
      <c r="V43" s="25"/>
    </row>
    <row r="44" spans="1:22" x14ac:dyDescent="0.2">
      <c r="A44" s="774"/>
      <c r="B44" s="4"/>
      <c r="C44" s="23"/>
      <c r="D44" s="23"/>
      <c r="E44" s="23"/>
      <c r="F44" s="23"/>
      <c r="G44" s="23"/>
      <c r="H44" s="23"/>
      <c r="I44" s="23"/>
      <c r="J44" s="23"/>
      <c r="K44" s="23"/>
      <c r="L44" s="23"/>
      <c r="M44" s="23"/>
      <c r="N44" s="23"/>
      <c r="O44" s="23"/>
      <c r="P44" s="25"/>
      <c r="Q44" s="23"/>
      <c r="R44" s="23"/>
      <c r="S44" s="23"/>
      <c r="T44" s="25"/>
      <c r="U44" s="25"/>
      <c r="V44" s="25"/>
    </row>
    <row r="45" spans="1:22" x14ac:dyDescent="0.2">
      <c r="A45" s="774"/>
      <c r="B45" s="4"/>
      <c r="C45" s="23"/>
      <c r="D45" s="23"/>
      <c r="E45" s="23"/>
      <c r="F45" s="23"/>
      <c r="G45" s="23"/>
      <c r="H45" s="23"/>
      <c r="I45" s="23"/>
      <c r="J45" s="23"/>
      <c r="K45" s="23"/>
      <c r="L45" s="23"/>
      <c r="M45" s="23"/>
      <c r="N45" s="23"/>
      <c r="O45" s="23"/>
      <c r="P45" s="25"/>
      <c r="Q45" s="23"/>
      <c r="R45" s="23"/>
      <c r="S45" s="23"/>
      <c r="T45" s="25"/>
      <c r="U45" s="25"/>
      <c r="V45" s="25"/>
    </row>
    <row r="46" spans="1:22" x14ac:dyDescent="0.2">
      <c r="A46" s="774"/>
      <c r="B46" s="4"/>
      <c r="C46" s="23"/>
      <c r="D46" s="23"/>
      <c r="E46" s="23"/>
      <c r="F46" s="23"/>
      <c r="G46" s="23"/>
      <c r="H46" s="23"/>
      <c r="I46" s="23"/>
      <c r="J46" s="23"/>
      <c r="K46" s="23"/>
      <c r="L46" s="23"/>
      <c r="M46" s="23"/>
      <c r="N46" s="23"/>
      <c r="O46" s="23"/>
      <c r="P46" s="25"/>
      <c r="Q46" s="23"/>
      <c r="R46" s="23"/>
      <c r="S46" s="23"/>
      <c r="T46" s="25"/>
      <c r="U46" s="25"/>
      <c r="V46" s="25"/>
    </row>
    <row r="47" spans="1:22" x14ac:dyDescent="0.2">
      <c r="A47" s="774"/>
      <c r="B47" s="4"/>
      <c r="C47" s="23"/>
      <c r="D47" s="23"/>
      <c r="E47" s="23"/>
      <c r="F47" s="23"/>
      <c r="G47" s="23"/>
      <c r="H47" s="23"/>
      <c r="I47" s="23"/>
      <c r="J47" s="23"/>
      <c r="K47" s="23"/>
      <c r="L47" s="23"/>
      <c r="M47" s="23"/>
      <c r="N47" s="23"/>
      <c r="O47" s="23"/>
      <c r="P47" s="25"/>
      <c r="Q47" s="23"/>
      <c r="R47" s="23"/>
      <c r="S47" s="23"/>
      <c r="T47" s="25"/>
      <c r="U47" s="25"/>
      <c r="V47" s="25"/>
    </row>
    <row r="48" spans="1:22" x14ac:dyDescent="0.2">
      <c r="A48" s="774"/>
      <c r="B48" s="4"/>
      <c r="C48" s="23"/>
      <c r="D48" s="23"/>
      <c r="E48" s="23"/>
      <c r="F48" s="23"/>
      <c r="G48" s="23"/>
      <c r="H48" s="23"/>
      <c r="I48" s="23"/>
      <c r="J48" s="23"/>
      <c r="K48" s="23"/>
      <c r="L48" s="23"/>
      <c r="M48" s="23"/>
      <c r="N48" s="23"/>
      <c r="O48" s="23"/>
      <c r="P48" s="25"/>
      <c r="Q48" s="23"/>
      <c r="R48" s="23"/>
      <c r="S48" s="23"/>
      <c r="T48" s="25"/>
      <c r="U48" s="25"/>
      <c r="V48" s="25"/>
    </row>
    <row r="49" spans="1:22" x14ac:dyDescent="0.2">
      <c r="A49" s="774"/>
      <c r="B49" s="4"/>
      <c r="C49" s="23"/>
      <c r="D49" s="23"/>
      <c r="E49" s="23"/>
      <c r="F49" s="23"/>
      <c r="G49" s="23"/>
      <c r="H49" s="23"/>
      <c r="I49" s="23"/>
      <c r="J49" s="23"/>
      <c r="K49" s="23"/>
      <c r="L49" s="23"/>
      <c r="M49" s="23"/>
      <c r="N49" s="23"/>
      <c r="O49" s="23"/>
      <c r="P49" s="25"/>
      <c r="Q49" s="23"/>
      <c r="R49" s="23"/>
      <c r="S49" s="23"/>
      <c r="T49" s="25"/>
      <c r="U49" s="25"/>
      <c r="V49" s="25"/>
    </row>
    <row r="50" spans="1:22" x14ac:dyDescent="0.2">
      <c r="A50" s="774"/>
      <c r="B50" s="4"/>
      <c r="C50" s="23"/>
      <c r="D50" s="23"/>
      <c r="E50" s="23"/>
      <c r="F50" s="23"/>
      <c r="G50" s="23"/>
      <c r="H50" s="23"/>
      <c r="I50" s="23"/>
      <c r="J50" s="23"/>
      <c r="K50" s="23"/>
      <c r="L50" s="23"/>
      <c r="M50" s="23"/>
      <c r="N50" s="23"/>
      <c r="O50" s="23"/>
      <c r="P50" s="25"/>
      <c r="Q50" s="23"/>
      <c r="R50" s="23"/>
      <c r="S50" s="23"/>
      <c r="T50" s="25"/>
      <c r="U50" s="25"/>
      <c r="V50" s="25"/>
    </row>
    <row r="51" spans="1:22" x14ac:dyDescent="0.2">
      <c r="A51" s="774"/>
      <c r="B51" s="4"/>
      <c r="C51" s="23"/>
      <c r="D51" s="23"/>
      <c r="E51" s="23"/>
      <c r="F51" s="23"/>
      <c r="G51" s="23"/>
      <c r="H51" s="23"/>
      <c r="I51" s="23"/>
      <c r="J51" s="23"/>
      <c r="K51" s="23"/>
      <c r="L51" s="23"/>
      <c r="M51" s="23"/>
      <c r="N51" s="23"/>
      <c r="O51" s="23"/>
      <c r="P51" s="25"/>
      <c r="Q51" s="23"/>
      <c r="R51" s="23"/>
      <c r="S51" s="23"/>
      <c r="T51" s="25"/>
      <c r="U51" s="25"/>
      <c r="V51" s="25"/>
    </row>
    <row r="52" spans="1:22" x14ac:dyDescent="0.2">
      <c r="A52" s="774"/>
      <c r="B52" s="4"/>
      <c r="C52" s="23"/>
      <c r="D52" s="23"/>
      <c r="E52" s="23"/>
      <c r="F52" s="23"/>
      <c r="G52" s="23"/>
      <c r="H52" s="23"/>
      <c r="I52" s="23"/>
      <c r="J52" s="23"/>
      <c r="K52" s="23"/>
      <c r="L52" s="23"/>
      <c r="M52" s="23"/>
      <c r="N52" s="23"/>
      <c r="O52" s="23"/>
      <c r="P52" s="25"/>
      <c r="Q52" s="23"/>
      <c r="R52" s="23"/>
      <c r="S52" s="23"/>
      <c r="T52" s="25"/>
      <c r="U52" s="25"/>
      <c r="V52" s="25"/>
    </row>
    <row r="53" spans="1:22" x14ac:dyDescent="0.2">
      <c r="A53" s="774"/>
      <c r="B53" s="4"/>
      <c r="C53" s="23"/>
      <c r="D53" s="23"/>
      <c r="E53" s="23"/>
      <c r="F53" s="23"/>
      <c r="G53" s="23"/>
      <c r="H53" s="23"/>
      <c r="I53" s="23"/>
      <c r="J53" s="23"/>
      <c r="K53" s="23"/>
      <c r="L53" s="23"/>
      <c r="M53" s="23"/>
      <c r="N53" s="23"/>
      <c r="O53" s="23"/>
      <c r="P53" s="25"/>
      <c r="Q53" s="23"/>
      <c r="R53" s="23"/>
      <c r="S53" s="23"/>
      <c r="T53" s="25"/>
      <c r="U53" s="25"/>
      <c r="V53" s="25"/>
    </row>
    <row r="54" spans="1:22" x14ac:dyDescent="0.2">
      <c r="A54" s="774"/>
      <c r="B54" s="4"/>
      <c r="C54" s="23"/>
      <c r="D54" s="23"/>
      <c r="E54" s="23"/>
      <c r="F54" s="23"/>
      <c r="G54" s="23"/>
      <c r="H54" s="23"/>
      <c r="I54" s="23"/>
      <c r="J54" s="23"/>
      <c r="K54" s="23"/>
      <c r="L54" s="23"/>
      <c r="M54" s="23"/>
      <c r="N54" s="23"/>
      <c r="O54" s="23"/>
      <c r="P54" s="25"/>
      <c r="Q54" s="23"/>
      <c r="R54" s="23"/>
      <c r="S54" s="23"/>
      <c r="T54" s="25"/>
      <c r="U54" s="25"/>
      <c r="V54" s="25"/>
    </row>
    <row r="55" spans="1:22" x14ac:dyDescent="0.2">
      <c r="A55" s="774"/>
      <c r="B55" s="4"/>
      <c r="C55" s="23"/>
      <c r="D55" s="23"/>
      <c r="E55" s="23"/>
      <c r="F55" s="23"/>
      <c r="G55" s="23"/>
      <c r="H55" s="23"/>
      <c r="I55" s="23"/>
      <c r="J55" s="23"/>
      <c r="K55" s="23"/>
      <c r="L55" s="23"/>
      <c r="M55" s="23"/>
      <c r="N55" s="23"/>
      <c r="O55" s="23"/>
      <c r="P55" s="25"/>
      <c r="Q55" s="23"/>
      <c r="R55" s="23"/>
      <c r="S55" s="23"/>
      <c r="T55" s="25"/>
      <c r="U55" s="25"/>
      <c r="V55" s="25"/>
    </row>
    <row r="56" spans="1:22" x14ac:dyDescent="0.2">
      <c r="A56" s="774"/>
      <c r="B56" s="4"/>
      <c r="C56" s="23"/>
      <c r="D56" s="23"/>
      <c r="E56" s="23"/>
      <c r="F56" s="23"/>
      <c r="G56" s="23"/>
      <c r="H56" s="23"/>
      <c r="I56" s="23"/>
      <c r="J56" s="23"/>
      <c r="K56" s="23"/>
      <c r="L56" s="23"/>
      <c r="M56" s="23"/>
      <c r="N56" s="23"/>
      <c r="O56" s="23"/>
      <c r="P56" s="25"/>
      <c r="Q56" s="23"/>
      <c r="R56" s="23"/>
      <c r="S56" s="23"/>
      <c r="T56" s="25"/>
      <c r="U56" s="25"/>
      <c r="V56" s="25"/>
    </row>
    <row r="57" spans="1:22" x14ac:dyDescent="0.2">
      <c r="A57" s="774"/>
      <c r="B57" s="4"/>
      <c r="C57" s="23"/>
      <c r="D57" s="23"/>
      <c r="E57" s="23"/>
      <c r="F57" s="23"/>
      <c r="G57" s="23"/>
      <c r="H57" s="23"/>
      <c r="I57" s="23"/>
      <c r="J57" s="23"/>
      <c r="K57" s="23"/>
      <c r="L57" s="23"/>
      <c r="M57" s="23"/>
      <c r="N57" s="23"/>
      <c r="O57" s="23"/>
      <c r="P57" s="25"/>
      <c r="Q57" s="23"/>
      <c r="R57" s="23"/>
      <c r="S57" s="23"/>
      <c r="T57" s="25"/>
      <c r="U57" s="25"/>
      <c r="V57" s="25"/>
    </row>
    <row r="58" spans="1:22" x14ac:dyDescent="0.2">
      <c r="A58" s="774"/>
      <c r="B58" s="4"/>
      <c r="C58" s="23"/>
      <c r="D58" s="23"/>
      <c r="E58" s="23"/>
      <c r="F58" s="23"/>
      <c r="G58" s="23"/>
      <c r="H58" s="23"/>
      <c r="I58" s="23"/>
      <c r="J58" s="23"/>
      <c r="K58" s="23"/>
      <c r="L58" s="23"/>
      <c r="M58" s="23"/>
      <c r="N58" s="23"/>
      <c r="O58" s="23"/>
      <c r="P58" s="4"/>
      <c r="Q58" s="23"/>
      <c r="R58" s="23"/>
      <c r="S58" s="23"/>
      <c r="T58" s="4"/>
      <c r="U58" s="4"/>
      <c r="V58" s="4"/>
    </row>
    <row r="59" spans="1:22" x14ac:dyDescent="0.2">
      <c r="A59" s="774"/>
      <c r="B59" s="4"/>
      <c r="C59" s="23"/>
      <c r="D59" s="23"/>
      <c r="E59" s="23"/>
      <c r="F59" s="23"/>
      <c r="G59" s="23"/>
      <c r="H59" s="23"/>
      <c r="I59" s="23"/>
      <c r="J59" s="23"/>
      <c r="K59" s="23"/>
      <c r="L59" s="23"/>
      <c r="M59" s="23"/>
      <c r="N59" s="23"/>
      <c r="O59" s="23"/>
      <c r="P59" s="4"/>
      <c r="Q59" s="23"/>
      <c r="R59" s="23"/>
      <c r="S59" s="23"/>
      <c r="T59" s="4"/>
      <c r="U59" s="4"/>
      <c r="V59" s="4"/>
    </row>
    <row r="60" spans="1:22" x14ac:dyDescent="0.2">
      <c r="A60" s="774"/>
      <c r="B60" s="4"/>
      <c r="C60" s="23"/>
      <c r="D60" s="23"/>
      <c r="E60" s="23"/>
      <c r="F60" s="23"/>
      <c r="G60" s="23"/>
      <c r="H60" s="23"/>
      <c r="I60" s="23"/>
      <c r="J60" s="23"/>
      <c r="K60" s="23"/>
      <c r="L60" s="23"/>
      <c r="M60" s="23"/>
      <c r="N60" s="23"/>
      <c r="O60" s="23"/>
      <c r="P60" s="4"/>
      <c r="Q60" s="23"/>
      <c r="R60" s="23"/>
      <c r="S60" s="23"/>
      <c r="T60" s="4"/>
      <c r="U60" s="4"/>
      <c r="V60" s="4"/>
    </row>
    <row r="61" spans="1:22" x14ac:dyDescent="0.2">
      <c r="A61" s="774"/>
      <c r="B61" s="4"/>
      <c r="C61" s="23"/>
      <c r="D61" s="23"/>
      <c r="E61" s="23"/>
      <c r="F61" s="23"/>
      <c r="G61" s="23"/>
      <c r="H61" s="23"/>
      <c r="I61" s="23"/>
      <c r="J61" s="23"/>
      <c r="K61" s="23"/>
      <c r="L61" s="23"/>
      <c r="M61" s="23"/>
      <c r="N61" s="23"/>
      <c r="O61" s="23"/>
      <c r="P61" s="4"/>
      <c r="Q61" s="23"/>
      <c r="R61" s="23"/>
      <c r="S61" s="23"/>
      <c r="T61" s="4"/>
      <c r="U61" s="4"/>
      <c r="V61" s="4"/>
    </row>
    <row r="62" spans="1:22" x14ac:dyDescent="0.2">
      <c r="A62" s="774"/>
      <c r="B62" s="4"/>
      <c r="C62" s="23"/>
      <c r="D62" s="23"/>
      <c r="E62" s="23"/>
      <c r="F62" s="23"/>
      <c r="G62" s="23"/>
      <c r="H62" s="23"/>
      <c r="I62" s="23"/>
      <c r="J62" s="23"/>
      <c r="K62" s="23"/>
      <c r="L62" s="23"/>
      <c r="M62" s="23"/>
      <c r="N62" s="23"/>
      <c r="O62" s="23"/>
      <c r="P62" s="4"/>
      <c r="Q62" s="23"/>
      <c r="R62" s="23"/>
      <c r="S62" s="23"/>
      <c r="T62" s="4"/>
      <c r="U62" s="4"/>
      <c r="V62" s="4"/>
    </row>
    <row r="63" spans="1:22" x14ac:dyDescent="0.2">
      <c r="A63" s="774"/>
      <c r="B63" s="4"/>
      <c r="C63" s="23"/>
      <c r="D63" s="23"/>
      <c r="E63" s="23"/>
      <c r="F63" s="23"/>
      <c r="G63" s="23"/>
      <c r="H63" s="23"/>
      <c r="I63" s="23"/>
      <c r="J63" s="23"/>
      <c r="K63" s="23"/>
      <c r="L63" s="23"/>
      <c r="M63" s="23"/>
      <c r="N63" s="23"/>
      <c r="O63" s="23"/>
      <c r="P63" s="4"/>
      <c r="Q63" s="23"/>
      <c r="R63" s="23"/>
      <c r="S63" s="23"/>
      <c r="T63" s="4"/>
      <c r="U63" s="4"/>
      <c r="V63" s="4"/>
    </row>
    <row r="64" spans="1:22" x14ac:dyDescent="0.2">
      <c r="A64" s="774"/>
      <c r="B64" s="4"/>
      <c r="C64" s="23"/>
      <c r="D64" s="23"/>
      <c r="E64" s="23"/>
      <c r="F64" s="23"/>
      <c r="G64" s="23"/>
      <c r="H64" s="23"/>
      <c r="I64" s="23"/>
      <c r="J64" s="23"/>
      <c r="K64" s="23"/>
      <c r="L64" s="23"/>
      <c r="M64" s="23"/>
      <c r="N64" s="23"/>
      <c r="O64" s="23"/>
      <c r="P64" s="4"/>
      <c r="Q64" s="23"/>
      <c r="R64" s="23"/>
      <c r="S64" s="23"/>
      <c r="T64" s="4"/>
      <c r="U64" s="4"/>
      <c r="V64" s="4"/>
    </row>
    <row r="65" spans="1:22" x14ac:dyDescent="0.2">
      <c r="A65" s="774"/>
      <c r="B65" s="4"/>
      <c r="C65" s="23"/>
      <c r="D65" s="23"/>
      <c r="E65" s="23"/>
      <c r="F65" s="23"/>
      <c r="G65" s="23"/>
      <c r="H65" s="23"/>
      <c r="I65" s="23"/>
      <c r="J65" s="23"/>
      <c r="K65" s="23"/>
      <c r="L65" s="23"/>
      <c r="M65" s="23"/>
      <c r="N65" s="23"/>
      <c r="O65" s="23"/>
      <c r="P65" s="4"/>
      <c r="Q65" s="23"/>
      <c r="R65" s="23"/>
      <c r="S65" s="23"/>
      <c r="T65" s="4"/>
      <c r="U65" s="4"/>
      <c r="V65" s="4"/>
    </row>
    <row r="66" spans="1:22" x14ac:dyDescent="0.2">
      <c r="A66" s="774"/>
      <c r="B66" s="4"/>
      <c r="C66" s="23"/>
      <c r="D66" s="23"/>
      <c r="E66" s="23"/>
      <c r="F66" s="23"/>
      <c r="G66" s="23"/>
      <c r="H66" s="23"/>
      <c r="I66" s="23"/>
      <c r="J66" s="23"/>
      <c r="K66" s="23"/>
      <c r="L66" s="23"/>
      <c r="M66" s="23"/>
      <c r="N66" s="23"/>
      <c r="O66" s="23"/>
      <c r="P66" s="4"/>
      <c r="Q66" s="23"/>
      <c r="R66" s="23"/>
      <c r="S66" s="23"/>
      <c r="T66" s="4"/>
      <c r="U66" s="4"/>
      <c r="V66" s="4"/>
    </row>
    <row r="67" spans="1:22" x14ac:dyDescent="0.2">
      <c r="A67" s="774"/>
      <c r="B67" s="4"/>
      <c r="C67" s="23"/>
      <c r="D67" s="23"/>
      <c r="E67" s="23"/>
      <c r="F67" s="23"/>
      <c r="G67" s="23"/>
      <c r="H67" s="23"/>
      <c r="I67" s="23"/>
      <c r="J67" s="23"/>
      <c r="K67" s="23"/>
      <c r="L67" s="23"/>
      <c r="M67" s="23"/>
      <c r="N67" s="23"/>
      <c r="O67" s="23"/>
      <c r="P67" s="4"/>
      <c r="Q67" s="23"/>
      <c r="R67" s="23"/>
      <c r="S67" s="23"/>
      <c r="T67" s="4"/>
      <c r="U67" s="4"/>
      <c r="V67" s="4"/>
    </row>
    <row r="68" spans="1:22" x14ac:dyDescent="0.2">
      <c r="A68" s="774"/>
      <c r="B68" s="4"/>
      <c r="C68" s="23"/>
      <c r="D68" s="23"/>
      <c r="E68" s="23"/>
      <c r="F68" s="23"/>
      <c r="G68" s="23"/>
      <c r="H68" s="23"/>
      <c r="I68" s="23"/>
      <c r="J68" s="23"/>
      <c r="K68" s="23"/>
      <c r="L68" s="23"/>
      <c r="M68" s="23"/>
      <c r="N68" s="23"/>
      <c r="O68" s="23"/>
      <c r="P68" s="4"/>
      <c r="Q68" s="23"/>
      <c r="R68" s="23"/>
      <c r="S68" s="23"/>
      <c r="T68" s="4"/>
      <c r="U68" s="4"/>
      <c r="V68" s="4"/>
    </row>
    <row r="69" spans="1:22" x14ac:dyDescent="0.2">
      <c r="A69" s="774"/>
      <c r="B69" s="4"/>
      <c r="C69" s="23"/>
      <c r="D69" s="23"/>
      <c r="E69" s="23"/>
      <c r="F69" s="23"/>
      <c r="G69" s="23"/>
      <c r="H69" s="23"/>
      <c r="I69" s="23"/>
      <c r="J69" s="23"/>
      <c r="K69" s="23"/>
      <c r="L69" s="23"/>
      <c r="M69" s="23"/>
      <c r="N69" s="23"/>
      <c r="O69" s="23"/>
      <c r="P69" s="4"/>
      <c r="Q69" s="23"/>
      <c r="R69" s="23"/>
      <c r="S69" s="23"/>
      <c r="T69" s="4"/>
      <c r="U69" s="4"/>
      <c r="V69" s="4"/>
    </row>
    <row r="70" spans="1:22" x14ac:dyDescent="0.2">
      <c r="A70" s="774"/>
      <c r="B70" s="4"/>
      <c r="C70" s="23"/>
      <c r="D70" s="23"/>
      <c r="E70" s="23"/>
      <c r="F70" s="23"/>
      <c r="G70" s="23"/>
      <c r="H70" s="23"/>
      <c r="I70" s="23"/>
      <c r="J70" s="23"/>
      <c r="K70" s="23"/>
      <c r="L70" s="23"/>
      <c r="M70" s="23"/>
      <c r="N70" s="23"/>
      <c r="O70" s="23"/>
      <c r="P70" s="4"/>
      <c r="Q70" s="23"/>
      <c r="R70" s="23"/>
      <c r="S70" s="23"/>
      <c r="T70" s="4"/>
      <c r="U70" s="4"/>
      <c r="V70" s="4"/>
    </row>
    <row r="71" spans="1:22" x14ac:dyDescent="0.2">
      <c r="A71" s="774"/>
      <c r="B71" s="4"/>
      <c r="C71" s="23"/>
      <c r="D71" s="23"/>
      <c r="E71" s="23"/>
      <c r="F71" s="23"/>
      <c r="G71" s="23"/>
      <c r="H71" s="23"/>
      <c r="I71" s="23"/>
      <c r="J71" s="23"/>
      <c r="K71" s="23"/>
      <c r="L71" s="23"/>
      <c r="M71" s="23"/>
      <c r="N71" s="23"/>
      <c r="O71" s="23"/>
      <c r="P71" s="4"/>
      <c r="Q71" s="23"/>
      <c r="R71" s="23"/>
      <c r="S71" s="23"/>
      <c r="T71" s="4"/>
      <c r="U71" s="4"/>
      <c r="V71" s="4"/>
    </row>
    <row r="72" spans="1:22" x14ac:dyDescent="0.2">
      <c r="A72" s="774"/>
      <c r="B72" s="4"/>
      <c r="C72" s="23"/>
      <c r="D72" s="23"/>
      <c r="E72" s="23"/>
      <c r="F72" s="23"/>
      <c r="G72" s="23"/>
      <c r="H72" s="23"/>
      <c r="I72" s="23"/>
      <c r="J72" s="23"/>
      <c r="K72" s="23"/>
      <c r="L72" s="23"/>
      <c r="M72" s="23"/>
      <c r="N72" s="23"/>
      <c r="O72" s="23"/>
      <c r="P72" s="4"/>
      <c r="Q72" s="23"/>
      <c r="R72" s="23"/>
      <c r="S72" s="23"/>
      <c r="T72" s="4"/>
      <c r="U72" s="4"/>
      <c r="V72" s="4"/>
    </row>
    <row r="73" spans="1:22" x14ac:dyDescent="0.2">
      <c r="A73" s="774"/>
      <c r="B73" s="4"/>
      <c r="C73" s="23"/>
      <c r="D73" s="23"/>
      <c r="E73" s="23"/>
      <c r="F73" s="23"/>
      <c r="G73" s="23"/>
      <c r="H73" s="23"/>
      <c r="I73" s="23"/>
      <c r="J73" s="23"/>
      <c r="K73" s="23"/>
      <c r="L73" s="23"/>
      <c r="M73" s="23"/>
      <c r="N73" s="23"/>
      <c r="O73" s="23"/>
      <c r="P73" s="4"/>
      <c r="Q73" s="23"/>
      <c r="R73" s="23"/>
      <c r="S73" s="23"/>
      <c r="T73" s="4"/>
      <c r="U73" s="4"/>
      <c r="V73" s="4"/>
    </row>
    <row r="74" spans="1:22" x14ac:dyDescent="0.2">
      <c r="A74" s="774"/>
      <c r="B74" s="4"/>
      <c r="C74" s="23"/>
      <c r="D74" s="23"/>
      <c r="E74" s="23"/>
      <c r="F74" s="23"/>
      <c r="G74" s="23"/>
      <c r="H74" s="23"/>
      <c r="I74" s="23"/>
      <c r="J74" s="23"/>
      <c r="K74" s="23"/>
      <c r="L74" s="23"/>
      <c r="M74" s="23"/>
      <c r="N74" s="23"/>
      <c r="O74" s="23"/>
      <c r="P74" s="4"/>
      <c r="Q74" s="23"/>
      <c r="R74" s="23"/>
      <c r="S74" s="23"/>
      <c r="T74" s="4"/>
      <c r="U74" s="4"/>
      <c r="V74" s="4"/>
    </row>
    <row r="75" spans="1:22" x14ac:dyDescent="0.2">
      <c r="A75" s="774"/>
      <c r="B75" s="4"/>
      <c r="C75" s="23"/>
      <c r="D75" s="23"/>
      <c r="E75" s="23"/>
      <c r="F75" s="23"/>
      <c r="G75" s="23"/>
      <c r="H75" s="23"/>
      <c r="I75" s="23"/>
      <c r="J75" s="23"/>
      <c r="K75" s="23"/>
      <c r="L75" s="23"/>
      <c r="M75" s="23"/>
      <c r="N75" s="23"/>
      <c r="O75" s="23"/>
      <c r="P75" s="4"/>
      <c r="Q75" s="23"/>
      <c r="R75" s="23"/>
      <c r="S75" s="23"/>
      <c r="T75" s="4"/>
      <c r="U75" s="4"/>
      <c r="V75" s="4"/>
    </row>
    <row r="76" spans="1:22" x14ac:dyDescent="0.2">
      <c r="A76" s="774"/>
      <c r="B76" s="4"/>
      <c r="C76" s="23"/>
      <c r="D76" s="23"/>
      <c r="E76" s="23"/>
      <c r="F76" s="23"/>
      <c r="G76" s="23"/>
      <c r="H76" s="23"/>
      <c r="I76" s="23"/>
      <c r="J76" s="23"/>
      <c r="K76" s="23"/>
      <c r="L76" s="23"/>
      <c r="M76" s="23"/>
      <c r="N76" s="23"/>
      <c r="O76" s="23"/>
      <c r="P76" s="4"/>
      <c r="Q76" s="23"/>
      <c r="R76" s="23"/>
      <c r="S76" s="23"/>
      <c r="T76" s="4"/>
      <c r="U76" s="4"/>
      <c r="V76" s="4"/>
    </row>
    <row r="77" spans="1:22" x14ac:dyDescent="0.2">
      <c r="A77" s="774"/>
      <c r="B77" s="4"/>
      <c r="C77" s="23"/>
      <c r="D77" s="23"/>
      <c r="E77" s="23"/>
      <c r="F77" s="23"/>
      <c r="G77" s="23"/>
      <c r="H77" s="23"/>
      <c r="I77" s="23"/>
      <c r="J77" s="23"/>
      <c r="K77" s="23"/>
      <c r="L77" s="23"/>
      <c r="M77" s="23"/>
      <c r="N77" s="23"/>
      <c r="O77" s="23"/>
      <c r="P77" s="4"/>
      <c r="Q77" s="23"/>
      <c r="R77" s="23"/>
      <c r="S77" s="23"/>
      <c r="T77" s="4"/>
      <c r="U77" s="4"/>
      <c r="V77" s="4"/>
    </row>
    <row r="78" spans="1:22" x14ac:dyDescent="0.2">
      <c r="A78" s="774"/>
      <c r="B78" s="4"/>
      <c r="C78" s="23"/>
      <c r="D78" s="23"/>
      <c r="E78" s="23"/>
      <c r="F78" s="23"/>
      <c r="G78" s="23"/>
      <c r="H78" s="23"/>
      <c r="I78" s="23"/>
      <c r="J78" s="23"/>
      <c r="K78" s="23"/>
      <c r="L78" s="23"/>
      <c r="M78" s="23"/>
      <c r="N78" s="23"/>
      <c r="O78" s="23"/>
      <c r="P78" s="4"/>
      <c r="Q78" s="23"/>
      <c r="R78" s="23"/>
      <c r="S78" s="23"/>
      <c r="T78" s="4"/>
      <c r="U78" s="4"/>
      <c r="V78" s="4"/>
    </row>
    <row r="79" spans="1:22" x14ac:dyDescent="0.2">
      <c r="A79" s="774"/>
      <c r="B79" s="4"/>
      <c r="C79" s="23"/>
      <c r="D79" s="23"/>
      <c r="E79" s="23"/>
      <c r="F79" s="23"/>
      <c r="G79" s="23"/>
      <c r="H79" s="23"/>
      <c r="I79" s="23"/>
      <c r="J79" s="23"/>
      <c r="K79" s="23"/>
      <c r="L79" s="23"/>
      <c r="M79" s="23"/>
      <c r="N79" s="23"/>
      <c r="O79" s="23"/>
      <c r="P79" s="4"/>
      <c r="Q79" s="23"/>
      <c r="R79" s="23"/>
      <c r="S79" s="23"/>
      <c r="T79" s="4"/>
      <c r="U79" s="4"/>
      <c r="V79" s="4"/>
    </row>
    <row r="80" spans="1:22" x14ac:dyDescent="0.2">
      <c r="A80" s="774"/>
      <c r="B80" s="4"/>
      <c r="C80" s="23"/>
      <c r="D80" s="23"/>
      <c r="E80" s="23"/>
      <c r="F80" s="23"/>
      <c r="G80" s="23"/>
      <c r="H80" s="23"/>
      <c r="I80" s="23"/>
      <c r="J80" s="23"/>
      <c r="K80" s="23"/>
      <c r="L80" s="23"/>
      <c r="M80" s="23"/>
      <c r="N80" s="23"/>
      <c r="O80" s="23"/>
      <c r="P80" s="4"/>
      <c r="Q80" s="23"/>
      <c r="R80" s="23"/>
      <c r="S80" s="23"/>
      <c r="T80" s="4"/>
      <c r="U80" s="4"/>
      <c r="V80" s="4"/>
    </row>
    <row r="81" spans="1:22" x14ac:dyDescent="0.2">
      <c r="A81" s="774"/>
      <c r="B81" s="4"/>
      <c r="C81" s="23"/>
      <c r="D81" s="23"/>
      <c r="E81" s="23"/>
      <c r="F81" s="23"/>
      <c r="G81" s="23"/>
      <c r="H81" s="23"/>
      <c r="I81" s="23"/>
      <c r="J81" s="23"/>
      <c r="K81" s="23"/>
      <c r="L81" s="23"/>
      <c r="M81" s="23"/>
      <c r="N81" s="23"/>
      <c r="O81" s="23"/>
      <c r="P81" s="4"/>
      <c r="Q81" s="23"/>
      <c r="R81" s="23"/>
      <c r="S81" s="23"/>
      <c r="T81" s="4"/>
      <c r="U81" s="4"/>
      <c r="V81" s="4"/>
    </row>
    <row r="82" spans="1:22" x14ac:dyDescent="0.2">
      <c r="A82" s="774"/>
      <c r="B82" s="4"/>
      <c r="C82" s="23"/>
      <c r="D82" s="23"/>
      <c r="E82" s="23"/>
      <c r="F82" s="23"/>
      <c r="G82" s="23"/>
      <c r="H82" s="23"/>
      <c r="I82" s="23"/>
      <c r="J82" s="23"/>
      <c r="K82" s="23"/>
      <c r="L82" s="23"/>
      <c r="M82" s="23"/>
      <c r="N82" s="23"/>
      <c r="O82" s="23"/>
      <c r="P82" s="4"/>
      <c r="Q82" s="23"/>
      <c r="R82" s="23"/>
      <c r="S82" s="23"/>
      <c r="T82" s="4"/>
      <c r="U82" s="4"/>
      <c r="V82" s="4"/>
    </row>
    <row r="83" spans="1:22" x14ac:dyDescent="0.2">
      <c r="A83" s="774"/>
      <c r="B83" s="4"/>
      <c r="C83" s="23"/>
      <c r="D83" s="23"/>
      <c r="E83" s="23"/>
      <c r="F83" s="23"/>
      <c r="G83" s="23"/>
      <c r="H83" s="23"/>
      <c r="I83" s="23"/>
      <c r="J83" s="23"/>
      <c r="K83" s="23"/>
      <c r="L83" s="23"/>
      <c r="M83" s="23"/>
      <c r="N83" s="23"/>
      <c r="O83" s="23"/>
      <c r="P83" s="4"/>
      <c r="Q83" s="23"/>
      <c r="R83" s="23"/>
      <c r="S83" s="23"/>
      <c r="T83" s="4"/>
      <c r="U83" s="4"/>
      <c r="V83" s="4"/>
    </row>
    <row r="84" spans="1:22" x14ac:dyDescent="0.2">
      <c r="A84" s="774"/>
      <c r="B84" s="4"/>
      <c r="C84" s="23"/>
      <c r="D84" s="23"/>
      <c r="E84" s="23"/>
      <c r="F84" s="23"/>
      <c r="G84" s="23"/>
      <c r="H84" s="23"/>
      <c r="I84" s="23"/>
      <c r="J84" s="23"/>
      <c r="K84" s="23"/>
      <c r="L84" s="23"/>
      <c r="M84" s="23"/>
      <c r="N84" s="23"/>
      <c r="O84" s="23"/>
      <c r="P84" s="4"/>
      <c r="Q84" s="23"/>
      <c r="R84" s="23"/>
      <c r="S84" s="23"/>
      <c r="T84" s="4"/>
      <c r="U84" s="4"/>
      <c r="V84" s="4"/>
    </row>
    <row r="85" spans="1:22" x14ac:dyDescent="0.2">
      <c r="A85" s="774"/>
      <c r="B85" s="4"/>
      <c r="C85" s="23"/>
      <c r="D85" s="23"/>
      <c r="E85" s="23"/>
      <c r="F85" s="23"/>
      <c r="G85" s="23"/>
      <c r="H85" s="23"/>
      <c r="I85" s="23"/>
      <c r="J85" s="23"/>
      <c r="K85" s="23"/>
      <c r="L85" s="23"/>
      <c r="M85" s="23"/>
      <c r="N85" s="23"/>
      <c r="O85" s="23"/>
      <c r="P85" s="4"/>
      <c r="Q85" s="23"/>
      <c r="R85" s="23"/>
      <c r="S85" s="23"/>
      <c r="T85" s="4"/>
      <c r="U85" s="4"/>
      <c r="V85" s="4"/>
    </row>
    <row r="86" spans="1:22" x14ac:dyDescent="0.2">
      <c r="A86" s="774"/>
      <c r="B86" s="4"/>
      <c r="C86" s="23"/>
      <c r="D86" s="23"/>
      <c r="E86" s="23"/>
      <c r="F86" s="23"/>
      <c r="G86" s="23"/>
      <c r="H86" s="23"/>
      <c r="I86" s="23"/>
      <c r="J86" s="23"/>
      <c r="K86" s="23"/>
      <c r="L86" s="23"/>
      <c r="M86" s="23"/>
      <c r="N86" s="23"/>
      <c r="O86" s="23"/>
      <c r="P86" s="4"/>
      <c r="Q86" s="23"/>
      <c r="R86" s="23"/>
      <c r="S86" s="23"/>
      <c r="T86" s="4"/>
      <c r="U86" s="4"/>
      <c r="V86" s="4"/>
    </row>
    <row r="87" spans="1:22" x14ac:dyDescent="0.2">
      <c r="A87" s="774"/>
      <c r="B87" s="4"/>
      <c r="C87" s="23"/>
      <c r="D87" s="23"/>
      <c r="E87" s="23"/>
      <c r="F87" s="23"/>
      <c r="G87" s="23"/>
      <c r="H87" s="23"/>
      <c r="I87" s="23"/>
      <c r="J87" s="23"/>
      <c r="K87" s="23"/>
      <c r="L87" s="23"/>
      <c r="M87" s="23"/>
      <c r="N87" s="23"/>
      <c r="O87" s="23"/>
      <c r="P87" s="4"/>
      <c r="Q87" s="23"/>
      <c r="R87" s="23"/>
      <c r="S87" s="23"/>
      <c r="T87" s="4"/>
      <c r="U87" s="4"/>
      <c r="V87" s="4"/>
    </row>
    <row r="88" spans="1:22" x14ac:dyDescent="0.2">
      <c r="A88" s="774"/>
      <c r="B88" s="4"/>
      <c r="C88" s="23"/>
      <c r="D88" s="23"/>
      <c r="E88" s="23"/>
      <c r="F88" s="23"/>
      <c r="G88" s="23"/>
      <c r="H88" s="23"/>
      <c r="I88" s="23"/>
      <c r="J88" s="23"/>
      <c r="K88" s="23"/>
      <c r="L88" s="23"/>
      <c r="M88" s="23"/>
      <c r="N88" s="23"/>
      <c r="O88" s="23"/>
      <c r="P88" s="4"/>
      <c r="Q88" s="23"/>
      <c r="R88" s="23"/>
      <c r="S88" s="23"/>
      <c r="T88" s="4"/>
      <c r="U88" s="4"/>
      <c r="V88" s="4"/>
    </row>
    <row r="89" spans="1:22" x14ac:dyDescent="0.2">
      <c r="A89" s="774"/>
      <c r="B89" s="4"/>
      <c r="C89" s="23"/>
      <c r="D89" s="23"/>
      <c r="E89" s="23"/>
      <c r="F89" s="23"/>
      <c r="G89" s="23"/>
      <c r="H89" s="23"/>
      <c r="I89" s="23"/>
      <c r="J89" s="23"/>
      <c r="K89" s="23"/>
      <c r="L89" s="23"/>
      <c r="M89" s="23"/>
      <c r="N89" s="23"/>
      <c r="O89" s="23"/>
      <c r="P89" s="4"/>
      <c r="Q89" s="23"/>
      <c r="R89" s="23"/>
      <c r="S89" s="23"/>
      <c r="T89" s="4"/>
      <c r="U89" s="4"/>
      <c r="V89" s="4"/>
    </row>
    <row r="90" spans="1:22" x14ac:dyDescent="0.2">
      <c r="A90" s="774"/>
      <c r="B90" s="4"/>
      <c r="C90" s="23"/>
      <c r="D90" s="23"/>
      <c r="E90" s="23"/>
      <c r="F90" s="23"/>
      <c r="G90" s="23"/>
      <c r="H90" s="23"/>
      <c r="I90" s="23"/>
      <c r="J90" s="23"/>
      <c r="K90" s="23"/>
      <c r="L90" s="23"/>
      <c r="M90" s="23"/>
      <c r="N90" s="23"/>
      <c r="O90" s="23"/>
      <c r="P90" s="4"/>
      <c r="Q90" s="23"/>
      <c r="R90" s="23"/>
      <c r="S90" s="23"/>
      <c r="T90" s="4"/>
      <c r="U90" s="4"/>
      <c r="V90" s="4"/>
    </row>
    <row r="91" spans="1:22" x14ac:dyDescent="0.2">
      <c r="A91" s="774"/>
      <c r="B91" s="4"/>
      <c r="C91" s="23"/>
      <c r="D91" s="23"/>
      <c r="E91" s="23"/>
      <c r="F91" s="23"/>
      <c r="G91" s="23"/>
      <c r="H91" s="23"/>
      <c r="I91" s="23"/>
      <c r="J91" s="23"/>
      <c r="K91" s="23"/>
      <c r="L91" s="23"/>
      <c r="M91" s="23"/>
      <c r="N91" s="23"/>
      <c r="O91" s="23"/>
      <c r="P91" s="4"/>
      <c r="Q91" s="23"/>
      <c r="R91" s="23"/>
      <c r="S91" s="23"/>
      <c r="T91" s="4"/>
      <c r="U91" s="4"/>
      <c r="V91" s="4"/>
    </row>
    <row r="92" spans="1:22" x14ac:dyDescent="0.2">
      <c r="A92" s="774"/>
      <c r="B92" s="4"/>
      <c r="C92" s="23"/>
      <c r="D92" s="23"/>
      <c r="E92" s="23"/>
      <c r="F92" s="23"/>
      <c r="G92" s="23"/>
      <c r="H92" s="23"/>
      <c r="I92" s="23"/>
      <c r="J92" s="23"/>
      <c r="K92" s="23"/>
      <c r="L92" s="23"/>
      <c r="M92" s="23"/>
      <c r="N92" s="23"/>
      <c r="O92" s="23"/>
      <c r="P92" s="4"/>
      <c r="Q92" s="23"/>
      <c r="R92" s="23"/>
      <c r="S92" s="23"/>
      <c r="T92" s="4"/>
      <c r="U92" s="4"/>
      <c r="V92" s="4"/>
    </row>
    <row r="93" spans="1:22" x14ac:dyDescent="0.2">
      <c r="A93" s="774"/>
      <c r="B93" s="4"/>
      <c r="C93" s="23"/>
      <c r="D93" s="23"/>
      <c r="E93" s="23"/>
      <c r="F93" s="23"/>
      <c r="G93" s="23"/>
      <c r="H93" s="23"/>
      <c r="I93" s="23"/>
      <c r="J93" s="23"/>
      <c r="K93" s="23"/>
      <c r="L93" s="23"/>
      <c r="M93" s="23"/>
      <c r="N93" s="23"/>
      <c r="O93" s="23"/>
      <c r="P93" s="4"/>
      <c r="Q93" s="23"/>
      <c r="R93" s="23"/>
      <c r="S93" s="23"/>
      <c r="T93" s="4"/>
      <c r="U93" s="4"/>
      <c r="V93" s="4"/>
    </row>
    <row r="94" spans="1:22" x14ac:dyDescent="0.2">
      <c r="A94" s="774"/>
      <c r="B94" s="4"/>
      <c r="C94" s="23"/>
      <c r="D94" s="23"/>
      <c r="E94" s="23"/>
      <c r="F94" s="23"/>
      <c r="G94" s="23"/>
      <c r="H94" s="23"/>
      <c r="I94" s="23"/>
      <c r="J94" s="23"/>
      <c r="K94" s="23"/>
      <c r="L94" s="23"/>
      <c r="M94" s="23"/>
      <c r="N94" s="23"/>
      <c r="O94" s="23"/>
      <c r="P94" s="4"/>
      <c r="Q94" s="23"/>
      <c r="R94" s="23"/>
      <c r="S94" s="23"/>
      <c r="T94" s="4"/>
      <c r="U94" s="4"/>
      <c r="V94" s="4"/>
    </row>
    <row r="95" spans="1:22" x14ac:dyDescent="0.2">
      <c r="A95" s="774"/>
      <c r="B95" s="4"/>
      <c r="C95" s="23"/>
      <c r="D95" s="23"/>
      <c r="E95" s="23"/>
      <c r="F95" s="23"/>
      <c r="G95" s="23"/>
      <c r="H95" s="23"/>
      <c r="I95" s="23"/>
      <c r="J95" s="23"/>
      <c r="K95" s="23"/>
      <c r="L95" s="23"/>
      <c r="M95" s="23"/>
      <c r="N95" s="23"/>
      <c r="O95" s="23"/>
      <c r="P95" s="4"/>
      <c r="Q95" s="23"/>
      <c r="R95" s="23"/>
      <c r="S95" s="23"/>
      <c r="T95" s="4"/>
      <c r="U95" s="4"/>
      <c r="V95" s="4"/>
    </row>
    <row r="96" spans="1:22" x14ac:dyDescent="0.2">
      <c r="A96" s="774"/>
      <c r="B96" s="4"/>
      <c r="C96" s="23"/>
      <c r="D96" s="23"/>
      <c r="E96" s="23"/>
      <c r="F96" s="23"/>
      <c r="G96" s="23"/>
      <c r="H96" s="23"/>
      <c r="I96" s="23"/>
      <c r="J96" s="23"/>
      <c r="K96" s="23"/>
      <c r="L96" s="23"/>
      <c r="M96" s="23"/>
      <c r="N96" s="23"/>
      <c r="O96" s="23"/>
      <c r="P96" s="4"/>
      <c r="Q96" s="23"/>
      <c r="R96" s="23"/>
      <c r="S96" s="23"/>
      <c r="T96" s="4"/>
      <c r="U96" s="4"/>
      <c r="V96" s="4"/>
    </row>
    <row r="97" spans="1:22" x14ac:dyDescent="0.2">
      <c r="A97" s="774"/>
      <c r="B97" s="4"/>
      <c r="C97" s="23"/>
      <c r="D97" s="23"/>
      <c r="E97" s="23"/>
      <c r="F97" s="23"/>
      <c r="G97" s="23"/>
      <c r="H97" s="23"/>
      <c r="I97" s="23"/>
      <c r="J97" s="23"/>
      <c r="K97" s="23"/>
      <c r="L97" s="23"/>
      <c r="M97" s="23"/>
      <c r="N97" s="23"/>
      <c r="O97" s="23"/>
      <c r="P97" s="4"/>
      <c r="Q97" s="23"/>
      <c r="R97" s="23"/>
      <c r="S97" s="23"/>
      <c r="T97" s="4"/>
      <c r="U97" s="4"/>
      <c r="V97" s="4"/>
    </row>
    <row r="98" spans="1:22" x14ac:dyDescent="0.2">
      <c r="A98" s="774"/>
      <c r="B98" s="4"/>
      <c r="C98" s="23"/>
      <c r="D98" s="23"/>
      <c r="E98" s="23"/>
      <c r="F98" s="23"/>
      <c r="G98" s="23"/>
      <c r="H98" s="23"/>
      <c r="I98" s="23"/>
      <c r="J98" s="23"/>
      <c r="K98" s="23"/>
      <c r="L98" s="23"/>
      <c r="M98" s="23"/>
      <c r="N98" s="23"/>
      <c r="O98" s="23"/>
      <c r="P98" s="4"/>
      <c r="Q98" s="23"/>
      <c r="R98" s="23"/>
      <c r="S98" s="23"/>
      <c r="T98" s="4"/>
      <c r="U98" s="4"/>
      <c r="V98" s="4"/>
    </row>
    <row r="99" spans="1:22" x14ac:dyDescent="0.2">
      <c r="A99" s="774"/>
      <c r="B99" s="4"/>
      <c r="C99" s="23"/>
      <c r="D99" s="23"/>
      <c r="E99" s="23"/>
      <c r="F99" s="23"/>
      <c r="G99" s="23"/>
      <c r="H99" s="23"/>
      <c r="I99" s="23"/>
      <c r="J99" s="23"/>
      <c r="K99" s="23"/>
      <c r="L99" s="23"/>
      <c r="M99" s="23"/>
      <c r="N99" s="23"/>
      <c r="O99" s="23"/>
      <c r="P99" s="4"/>
      <c r="Q99" s="23"/>
      <c r="R99" s="23"/>
      <c r="S99" s="23"/>
      <c r="T99" s="4"/>
      <c r="U99" s="4"/>
      <c r="V99" s="4"/>
    </row>
    <row r="100" spans="1:22" x14ac:dyDescent="0.2">
      <c r="A100" s="774"/>
      <c r="B100" s="4"/>
      <c r="C100" s="23"/>
      <c r="D100" s="23"/>
      <c r="E100" s="23"/>
      <c r="F100" s="23"/>
      <c r="G100" s="23"/>
      <c r="H100" s="23"/>
      <c r="I100" s="23"/>
      <c r="J100" s="23"/>
      <c r="K100" s="23"/>
      <c r="L100" s="23"/>
      <c r="M100" s="23"/>
      <c r="N100" s="23"/>
      <c r="O100" s="23"/>
      <c r="P100" s="4"/>
      <c r="Q100" s="23"/>
      <c r="R100" s="23"/>
      <c r="S100" s="23"/>
      <c r="T100" s="4"/>
      <c r="U100" s="4"/>
      <c r="V100" s="4"/>
    </row>
    <row r="101" spans="1:22" x14ac:dyDescent="0.2">
      <c r="A101" s="774"/>
      <c r="B101" s="4"/>
      <c r="C101" s="23"/>
      <c r="D101" s="23"/>
      <c r="E101" s="23"/>
      <c r="F101" s="23"/>
      <c r="G101" s="23"/>
      <c r="H101" s="23"/>
      <c r="I101" s="23"/>
      <c r="J101" s="23"/>
      <c r="K101" s="23"/>
      <c r="L101" s="23"/>
      <c r="M101" s="23"/>
      <c r="N101" s="23"/>
      <c r="O101" s="23"/>
      <c r="P101" s="4"/>
      <c r="Q101" s="23"/>
      <c r="R101" s="23"/>
      <c r="S101" s="23"/>
      <c r="T101" s="4"/>
      <c r="U101" s="4"/>
      <c r="V101" s="4"/>
    </row>
    <row r="102" spans="1:22" x14ac:dyDescent="0.2">
      <c r="A102" s="774"/>
      <c r="B102" s="4"/>
      <c r="C102" s="23"/>
      <c r="D102" s="23"/>
      <c r="E102" s="23"/>
      <c r="F102" s="23"/>
      <c r="G102" s="23"/>
      <c r="H102" s="23"/>
      <c r="I102" s="23"/>
      <c r="J102" s="23"/>
      <c r="K102" s="23"/>
      <c r="L102" s="23"/>
      <c r="M102" s="23"/>
      <c r="N102" s="23"/>
      <c r="O102" s="23"/>
      <c r="P102" s="4"/>
      <c r="Q102" s="23"/>
      <c r="R102" s="23"/>
      <c r="S102" s="23"/>
      <c r="T102" s="4"/>
      <c r="U102" s="4"/>
      <c r="V102" s="4"/>
    </row>
    <row r="103" spans="1:22" x14ac:dyDescent="0.2">
      <c r="A103" s="774"/>
      <c r="B103" s="4"/>
      <c r="C103" s="23"/>
      <c r="D103" s="23"/>
      <c r="E103" s="23"/>
      <c r="F103" s="23"/>
      <c r="G103" s="23"/>
      <c r="H103" s="23"/>
      <c r="I103" s="23"/>
      <c r="J103" s="23"/>
      <c r="K103" s="23"/>
      <c r="L103" s="23"/>
      <c r="M103" s="23"/>
      <c r="N103" s="23"/>
      <c r="O103" s="23"/>
      <c r="P103" s="4"/>
      <c r="Q103" s="23"/>
      <c r="R103" s="23"/>
      <c r="S103" s="23"/>
      <c r="T103" s="4"/>
      <c r="U103" s="4"/>
      <c r="V103" s="4"/>
    </row>
    <row r="104" spans="1:22" x14ac:dyDescent="0.2">
      <c r="A104" s="774"/>
      <c r="B104" s="4"/>
      <c r="C104" s="23"/>
      <c r="D104" s="23"/>
      <c r="E104" s="23"/>
      <c r="F104" s="23"/>
      <c r="G104" s="23"/>
      <c r="H104" s="23"/>
      <c r="I104" s="23"/>
      <c r="J104" s="23"/>
      <c r="K104" s="23"/>
      <c r="L104" s="23"/>
      <c r="M104" s="23"/>
      <c r="N104" s="23"/>
      <c r="O104" s="23"/>
      <c r="P104" s="4"/>
      <c r="Q104" s="23"/>
      <c r="R104" s="23"/>
      <c r="S104" s="23"/>
      <c r="T104" s="4"/>
      <c r="U104" s="4"/>
      <c r="V104" s="4"/>
    </row>
    <row r="105" spans="1:22" x14ac:dyDescent="0.2">
      <c r="A105" s="774"/>
      <c r="B105" s="4"/>
      <c r="C105" s="23"/>
      <c r="D105" s="23"/>
      <c r="E105" s="23"/>
      <c r="F105" s="23"/>
      <c r="G105" s="23"/>
      <c r="H105" s="23"/>
      <c r="I105" s="23"/>
      <c r="J105" s="23"/>
      <c r="K105" s="23"/>
      <c r="L105" s="23"/>
      <c r="M105" s="23"/>
      <c r="N105" s="23"/>
      <c r="O105" s="23"/>
      <c r="P105" s="4"/>
      <c r="Q105" s="23"/>
      <c r="R105" s="23"/>
      <c r="S105" s="23"/>
      <c r="T105" s="4"/>
      <c r="U105" s="4"/>
      <c r="V105" s="4"/>
    </row>
    <row r="106" spans="1:22" x14ac:dyDescent="0.2">
      <c r="A106" s="774"/>
      <c r="B106" s="4"/>
      <c r="C106" s="23"/>
      <c r="D106" s="23"/>
      <c r="E106" s="23"/>
      <c r="F106" s="23"/>
      <c r="G106" s="23"/>
      <c r="H106" s="23"/>
      <c r="I106" s="23"/>
      <c r="J106" s="23"/>
      <c r="K106" s="23"/>
      <c r="L106" s="23"/>
      <c r="M106" s="23"/>
      <c r="N106" s="23"/>
      <c r="O106" s="23"/>
      <c r="P106" s="4"/>
      <c r="Q106" s="23"/>
      <c r="R106" s="23"/>
      <c r="S106" s="23"/>
      <c r="T106" s="4"/>
      <c r="U106" s="4"/>
      <c r="V106" s="4"/>
    </row>
    <row r="107" spans="1:22" x14ac:dyDescent="0.2">
      <c r="A107" s="774"/>
      <c r="B107" s="4"/>
      <c r="C107" s="23"/>
      <c r="D107" s="23"/>
      <c r="E107" s="23"/>
      <c r="F107" s="23"/>
      <c r="G107" s="23"/>
      <c r="H107" s="23"/>
      <c r="I107" s="23"/>
      <c r="J107" s="23"/>
      <c r="K107" s="23"/>
      <c r="L107" s="23"/>
      <c r="M107" s="23"/>
      <c r="N107" s="23"/>
      <c r="O107" s="23"/>
      <c r="P107" s="4"/>
      <c r="Q107" s="23"/>
      <c r="R107" s="23"/>
      <c r="S107" s="23"/>
      <c r="T107" s="4"/>
      <c r="U107" s="4"/>
      <c r="V107" s="4"/>
    </row>
    <row r="108" spans="1:22" x14ac:dyDescent="0.2">
      <c r="A108" s="774"/>
      <c r="B108" s="4"/>
      <c r="C108" s="23"/>
      <c r="D108" s="23"/>
      <c r="E108" s="23"/>
      <c r="F108" s="23"/>
      <c r="G108" s="23"/>
      <c r="H108" s="23"/>
      <c r="I108" s="23"/>
      <c r="J108" s="23"/>
      <c r="K108" s="23"/>
      <c r="L108" s="23"/>
      <c r="M108" s="23"/>
      <c r="N108" s="23"/>
      <c r="O108" s="23"/>
      <c r="P108" s="4"/>
      <c r="Q108" s="23"/>
      <c r="R108" s="23"/>
      <c r="S108" s="23"/>
      <c r="T108" s="4"/>
      <c r="U108" s="4"/>
      <c r="V108" s="4"/>
    </row>
    <row r="109" spans="1:22" x14ac:dyDescent="0.2">
      <c r="A109" s="774"/>
      <c r="B109" s="4"/>
      <c r="C109" s="23"/>
      <c r="D109" s="23"/>
      <c r="E109" s="23"/>
      <c r="F109" s="23"/>
      <c r="G109" s="23"/>
      <c r="H109" s="23"/>
      <c r="I109" s="23"/>
      <c r="J109" s="23"/>
      <c r="K109" s="23"/>
      <c r="L109" s="23"/>
      <c r="M109" s="23"/>
      <c r="N109" s="23"/>
      <c r="O109" s="23"/>
      <c r="P109" s="4"/>
      <c r="Q109" s="23"/>
      <c r="R109" s="23"/>
      <c r="S109" s="23"/>
      <c r="T109" s="4"/>
      <c r="U109" s="4"/>
      <c r="V109" s="4"/>
    </row>
    <row r="110" spans="1:22" x14ac:dyDescent="0.2">
      <c r="A110" s="774"/>
      <c r="B110" s="4"/>
      <c r="C110" s="23"/>
      <c r="D110" s="23"/>
      <c r="E110" s="23"/>
      <c r="F110" s="23"/>
      <c r="G110" s="23"/>
      <c r="H110" s="23"/>
      <c r="I110" s="23"/>
      <c r="J110" s="23"/>
      <c r="K110" s="23"/>
      <c r="L110" s="23"/>
      <c r="M110" s="23"/>
      <c r="N110" s="23"/>
      <c r="O110" s="23"/>
      <c r="P110" s="4"/>
      <c r="Q110" s="23"/>
      <c r="R110" s="23"/>
      <c r="S110" s="23"/>
      <c r="T110" s="4"/>
      <c r="U110" s="4"/>
      <c r="V110" s="4"/>
    </row>
    <row r="111" spans="1:22" x14ac:dyDescent="0.2">
      <c r="A111" s="774"/>
      <c r="B111" s="4"/>
      <c r="C111" s="23"/>
      <c r="D111" s="23"/>
      <c r="E111" s="23"/>
      <c r="F111" s="23"/>
      <c r="G111" s="23"/>
      <c r="H111" s="23"/>
      <c r="I111" s="23"/>
      <c r="J111" s="23"/>
      <c r="K111" s="23"/>
      <c r="L111" s="23"/>
      <c r="M111" s="23"/>
      <c r="N111" s="23"/>
      <c r="O111" s="23"/>
      <c r="P111" s="4"/>
      <c r="Q111" s="23"/>
      <c r="R111" s="23"/>
      <c r="S111" s="23"/>
      <c r="T111" s="4"/>
      <c r="U111" s="4"/>
      <c r="V111" s="4"/>
    </row>
    <row r="112" spans="1:22" x14ac:dyDescent="0.2">
      <c r="A112" s="774"/>
      <c r="B112" s="4"/>
      <c r="C112" s="23"/>
      <c r="D112" s="23"/>
      <c r="E112" s="23"/>
      <c r="F112" s="23"/>
      <c r="G112" s="23"/>
      <c r="H112" s="23"/>
      <c r="I112" s="23"/>
      <c r="J112" s="23"/>
      <c r="K112" s="23"/>
      <c r="L112" s="23"/>
      <c r="M112" s="23"/>
      <c r="N112" s="23"/>
      <c r="O112" s="23"/>
      <c r="P112" s="4"/>
      <c r="Q112" s="23"/>
      <c r="R112" s="23"/>
      <c r="S112" s="23"/>
      <c r="T112" s="4"/>
      <c r="U112" s="4"/>
      <c r="V112" s="4"/>
    </row>
    <row r="113" spans="1:22" x14ac:dyDescent="0.2">
      <c r="A113" s="774"/>
      <c r="B113" s="4"/>
      <c r="C113" s="23"/>
      <c r="D113" s="23"/>
      <c r="E113" s="23"/>
      <c r="F113" s="23"/>
      <c r="G113" s="23"/>
      <c r="H113" s="23"/>
      <c r="I113" s="23"/>
      <c r="J113" s="23"/>
      <c r="K113" s="23"/>
      <c r="L113" s="23"/>
      <c r="M113" s="23"/>
      <c r="N113" s="23"/>
      <c r="O113" s="23"/>
      <c r="P113" s="4"/>
      <c r="Q113" s="23"/>
      <c r="R113" s="23"/>
      <c r="S113" s="23"/>
      <c r="T113" s="4"/>
      <c r="U113" s="4"/>
      <c r="V113" s="4"/>
    </row>
    <row r="114" spans="1:22" x14ac:dyDescent="0.2">
      <c r="A114" s="774"/>
      <c r="B114" s="4"/>
      <c r="C114" s="23"/>
      <c r="D114" s="23"/>
      <c r="E114" s="23"/>
      <c r="F114" s="23"/>
      <c r="G114" s="23"/>
      <c r="H114" s="23"/>
      <c r="I114" s="23"/>
      <c r="J114" s="23"/>
      <c r="K114" s="23"/>
      <c r="L114" s="23"/>
      <c r="M114" s="23"/>
      <c r="N114" s="23"/>
      <c r="O114" s="23"/>
      <c r="P114" s="4"/>
      <c r="Q114" s="23"/>
      <c r="R114" s="23"/>
      <c r="S114" s="23"/>
      <c r="T114" s="4"/>
      <c r="U114" s="4"/>
      <c r="V114" s="4"/>
    </row>
    <row r="115" spans="1:22" x14ac:dyDescent="0.2">
      <c r="A115" s="774"/>
      <c r="B115" s="4"/>
      <c r="C115" s="23"/>
      <c r="D115" s="23"/>
      <c r="E115" s="23"/>
      <c r="F115" s="23"/>
      <c r="G115" s="23"/>
      <c r="H115" s="23"/>
      <c r="I115" s="23"/>
      <c r="J115" s="23"/>
      <c r="K115" s="23"/>
      <c r="L115" s="23"/>
      <c r="M115" s="23"/>
      <c r="N115" s="23"/>
      <c r="O115" s="23"/>
      <c r="P115" s="4"/>
      <c r="Q115" s="23"/>
      <c r="R115" s="23"/>
      <c r="S115" s="23"/>
      <c r="T115" s="4"/>
      <c r="U115" s="4"/>
      <c r="V115" s="4"/>
    </row>
    <row r="116" spans="1:22" x14ac:dyDescent="0.2">
      <c r="A116" s="774"/>
      <c r="B116" s="4"/>
      <c r="C116" s="23"/>
      <c r="D116" s="23"/>
      <c r="E116" s="23"/>
      <c r="F116" s="23"/>
      <c r="G116" s="23"/>
      <c r="H116" s="23"/>
      <c r="I116" s="23"/>
      <c r="J116" s="23"/>
      <c r="K116" s="23"/>
      <c r="L116" s="23"/>
      <c r="M116" s="23"/>
      <c r="N116" s="23"/>
      <c r="O116" s="23"/>
      <c r="P116" s="4"/>
      <c r="Q116" s="23"/>
      <c r="R116" s="23"/>
      <c r="S116" s="23"/>
      <c r="T116" s="4"/>
      <c r="U116" s="4"/>
      <c r="V116" s="4"/>
    </row>
    <row r="117" spans="1:22" x14ac:dyDescent="0.2">
      <c r="A117" s="774"/>
      <c r="B117" s="4"/>
      <c r="C117" s="23"/>
      <c r="D117" s="23"/>
      <c r="E117" s="23"/>
      <c r="F117" s="23"/>
      <c r="G117" s="23"/>
      <c r="H117" s="23"/>
      <c r="I117" s="23"/>
      <c r="J117" s="23"/>
      <c r="K117" s="23"/>
      <c r="L117" s="23"/>
      <c r="M117" s="23"/>
      <c r="N117" s="23"/>
      <c r="O117" s="23"/>
      <c r="P117" s="4"/>
      <c r="Q117" s="23"/>
      <c r="R117" s="23"/>
      <c r="S117" s="23"/>
      <c r="T117" s="4"/>
      <c r="U117" s="4"/>
      <c r="V117" s="4"/>
    </row>
    <row r="118" spans="1:22" x14ac:dyDescent="0.2">
      <c r="A118" s="774"/>
      <c r="B118" s="4"/>
      <c r="C118" s="23"/>
      <c r="D118" s="23"/>
      <c r="E118" s="23"/>
      <c r="F118" s="23"/>
      <c r="G118" s="23"/>
      <c r="H118" s="23"/>
      <c r="I118" s="23"/>
      <c r="J118" s="23"/>
      <c r="K118" s="23"/>
      <c r="L118" s="23"/>
      <c r="M118" s="23"/>
      <c r="N118" s="23"/>
      <c r="O118" s="23"/>
      <c r="P118" s="4"/>
      <c r="Q118" s="23"/>
      <c r="R118" s="23"/>
      <c r="S118" s="23"/>
      <c r="T118" s="4"/>
      <c r="U118" s="4"/>
      <c r="V118" s="4"/>
    </row>
    <row r="119" spans="1:22" x14ac:dyDescent="0.2">
      <c r="A119" s="774"/>
      <c r="B119" s="4"/>
      <c r="C119" s="23"/>
      <c r="D119" s="23"/>
      <c r="E119" s="23"/>
      <c r="F119" s="23"/>
      <c r="G119" s="23"/>
      <c r="H119" s="23"/>
      <c r="I119" s="23"/>
      <c r="J119" s="23"/>
      <c r="K119" s="23"/>
      <c r="L119" s="23"/>
      <c r="M119" s="23"/>
      <c r="N119" s="23"/>
      <c r="O119" s="23"/>
      <c r="P119" s="4"/>
      <c r="Q119" s="23"/>
      <c r="R119" s="23"/>
      <c r="S119" s="23"/>
      <c r="T119" s="4"/>
      <c r="U119" s="4"/>
      <c r="V119" s="4"/>
    </row>
    <row r="120" spans="1:22" x14ac:dyDescent="0.2">
      <c r="A120" s="774"/>
      <c r="B120" s="4"/>
      <c r="C120" s="23"/>
      <c r="D120" s="23"/>
      <c r="E120" s="23"/>
      <c r="F120" s="23"/>
      <c r="G120" s="23"/>
      <c r="H120" s="23"/>
      <c r="I120" s="23"/>
      <c r="J120" s="23"/>
      <c r="K120" s="23"/>
      <c r="L120" s="23"/>
      <c r="M120" s="23"/>
      <c r="N120" s="23"/>
      <c r="O120" s="23"/>
      <c r="P120" s="4"/>
      <c r="Q120" s="23"/>
      <c r="R120" s="23"/>
      <c r="S120" s="23"/>
      <c r="T120" s="4"/>
      <c r="U120" s="4"/>
      <c r="V120" s="4"/>
    </row>
    <row r="121" spans="1:22" x14ac:dyDescent="0.2">
      <c r="C121" s="212"/>
      <c r="D121" s="212"/>
      <c r="E121" s="212"/>
      <c r="F121" s="212"/>
      <c r="G121" s="212"/>
      <c r="H121" s="212"/>
      <c r="I121" s="212"/>
      <c r="J121" s="212"/>
      <c r="K121" s="212"/>
      <c r="L121" s="212"/>
      <c r="M121" s="212"/>
      <c r="N121" s="212"/>
      <c r="O121" s="212"/>
    </row>
    <row r="122" spans="1:22" x14ac:dyDescent="0.2">
      <c r="C122" s="212"/>
      <c r="D122" s="212"/>
      <c r="E122" s="212"/>
      <c r="F122" s="212"/>
      <c r="G122" s="212"/>
      <c r="H122" s="212"/>
      <c r="I122" s="212"/>
      <c r="J122" s="212"/>
      <c r="K122" s="212"/>
      <c r="L122" s="212"/>
      <c r="M122" s="212"/>
      <c r="N122" s="212"/>
      <c r="O122" s="212"/>
    </row>
    <row r="123" spans="1:22" x14ac:dyDescent="0.2">
      <c r="C123" s="212"/>
      <c r="D123" s="212"/>
      <c r="E123" s="212"/>
      <c r="F123" s="212"/>
      <c r="G123" s="212"/>
      <c r="H123" s="212"/>
      <c r="I123" s="212"/>
      <c r="J123" s="212"/>
      <c r="K123" s="212"/>
      <c r="L123" s="212"/>
      <c r="M123" s="212"/>
      <c r="N123" s="212"/>
      <c r="O123" s="212"/>
    </row>
    <row r="124" spans="1:22" x14ac:dyDescent="0.2">
      <c r="C124" s="212"/>
      <c r="D124" s="212"/>
      <c r="E124" s="212"/>
      <c r="F124" s="212"/>
      <c r="G124" s="212"/>
      <c r="H124" s="212"/>
      <c r="I124" s="212"/>
      <c r="J124" s="212"/>
      <c r="K124" s="212"/>
      <c r="L124" s="212"/>
      <c r="M124" s="212"/>
      <c r="N124" s="212"/>
      <c r="O124" s="212"/>
    </row>
    <row r="125" spans="1:22" x14ac:dyDescent="0.2">
      <c r="C125" s="212"/>
      <c r="D125" s="212"/>
      <c r="E125" s="212"/>
      <c r="F125" s="212"/>
      <c r="G125" s="212"/>
      <c r="H125" s="212"/>
      <c r="I125" s="212"/>
      <c r="J125" s="212"/>
      <c r="K125" s="212"/>
      <c r="L125" s="212"/>
      <c r="M125" s="212"/>
      <c r="N125" s="212"/>
      <c r="O125" s="212"/>
    </row>
    <row r="126" spans="1:22" x14ac:dyDescent="0.2">
      <c r="C126" s="212"/>
      <c r="D126" s="212"/>
      <c r="E126" s="212"/>
      <c r="F126" s="212"/>
      <c r="G126" s="212"/>
      <c r="H126" s="212"/>
      <c r="I126" s="212"/>
      <c r="J126" s="212"/>
      <c r="K126" s="212"/>
      <c r="L126" s="212"/>
      <c r="M126" s="212"/>
      <c r="N126" s="212"/>
      <c r="O126" s="212"/>
    </row>
    <row r="127" spans="1:22" x14ac:dyDescent="0.2">
      <c r="C127" s="212"/>
      <c r="D127" s="212"/>
      <c r="E127" s="212"/>
      <c r="F127" s="212"/>
      <c r="G127" s="212"/>
      <c r="H127" s="212"/>
      <c r="I127" s="212"/>
      <c r="J127" s="212"/>
      <c r="K127" s="212"/>
      <c r="L127" s="212"/>
      <c r="M127" s="212"/>
      <c r="N127" s="212"/>
      <c r="O127" s="212"/>
    </row>
    <row r="128" spans="1:22" x14ac:dyDescent="0.2">
      <c r="C128" s="212"/>
      <c r="D128" s="212"/>
      <c r="E128" s="212"/>
      <c r="F128" s="212"/>
      <c r="G128" s="212"/>
      <c r="H128" s="212"/>
      <c r="I128" s="212"/>
      <c r="J128" s="212"/>
      <c r="K128" s="212"/>
      <c r="L128" s="212"/>
      <c r="M128" s="212"/>
      <c r="N128" s="212"/>
      <c r="O128" s="212"/>
    </row>
    <row r="129" spans="3:3" x14ac:dyDescent="0.2">
      <c r="C129" s="212"/>
    </row>
    <row r="130" spans="3:3" x14ac:dyDescent="0.2">
      <c r="C130" s="212"/>
    </row>
    <row r="131" spans="3:3" x14ac:dyDescent="0.2">
      <c r="C131" s="212"/>
    </row>
    <row r="132" spans="3:3" x14ac:dyDescent="0.2">
      <c r="C132" s="212"/>
    </row>
    <row r="133" spans="3:3" x14ac:dyDescent="0.2">
      <c r="C133" s="212"/>
    </row>
    <row r="134" spans="3:3" x14ac:dyDescent="0.2">
      <c r="C134" s="212"/>
    </row>
    <row r="135" spans="3:3" x14ac:dyDescent="0.2">
      <c r="C135" s="212"/>
    </row>
    <row r="136" spans="3:3" x14ac:dyDescent="0.2">
      <c r="C136" s="212"/>
    </row>
    <row r="137" spans="3:3" x14ac:dyDescent="0.2">
      <c r="C137" s="212"/>
    </row>
    <row r="138" spans="3:3" x14ac:dyDescent="0.2">
      <c r="C138" s="212"/>
    </row>
    <row r="139" spans="3:3" x14ac:dyDescent="0.2">
      <c r="C139" s="212"/>
    </row>
    <row r="140" spans="3:3" x14ac:dyDescent="0.2">
      <c r="C140" s="212"/>
    </row>
    <row r="141" spans="3:3" x14ac:dyDescent="0.2">
      <c r="C141" s="212"/>
    </row>
    <row r="142" spans="3:3" x14ac:dyDescent="0.2">
      <c r="C142" s="212"/>
    </row>
    <row r="143" spans="3:3" x14ac:dyDescent="0.2">
      <c r="C143" s="212"/>
    </row>
    <row r="144" spans="3:3" x14ac:dyDescent="0.2">
      <c r="C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row r="160" spans="3:3" x14ac:dyDescent="0.2">
      <c r="C160" s="212"/>
    </row>
    <row r="161" spans="3:3" x14ac:dyDescent="0.2">
      <c r="C161" s="212"/>
    </row>
    <row r="162" spans="3:3" x14ac:dyDescent="0.2">
      <c r="C162" s="212"/>
    </row>
    <row r="163" spans="3:3" x14ac:dyDescent="0.2">
      <c r="C163" s="212"/>
    </row>
    <row r="164" spans="3:3" x14ac:dyDescent="0.2">
      <c r="C164" s="212"/>
    </row>
    <row r="165" spans="3:3" x14ac:dyDescent="0.2">
      <c r="C165" s="212"/>
    </row>
    <row r="166" spans="3:3" x14ac:dyDescent="0.2">
      <c r="C166" s="212"/>
    </row>
    <row r="167" spans="3:3" x14ac:dyDescent="0.2">
      <c r="C167" s="212"/>
    </row>
    <row r="168" spans="3:3" x14ac:dyDescent="0.2">
      <c r="C168" s="212"/>
    </row>
    <row r="169" spans="3:3" x14ac:dyDescent="0.2">
      <c r="C169" s="212"/>
    </row>
    <row r="170" spans="3:3" x14ac:dyDescent="0.2">
      <c r="C170" s="212"/>
    </row>
    <row r="171" spans="3:3" x14ac:dyDescent="0.2">
      <c r="C171" s="212"/>
    </row>
    <row r="172" spans="3:3" x14ac:dyDescent="0.2">
      <c r="C172" s="212"/>
    </row>
    <row r="173" spans="3:3" x14ac:dyDescent="0.2">
      <c r="C173" s="212"/>
    </row>
    <row r="174" spans="3:3" x14ac:dyDescent="0.2">
      <c r="C174" s="212"/>
    </row>
    <row r="175" spans="3:3" x14ac:dyDescent="0.2">
      <c r="C175" s="212"/>
    </row>
    <row r="176" spans="3:3" x14ac:dyDescent="0.2">
      <c r="C176" s="212"/>
    </row>
  </sheetData>
  <phoneticPr fontId="0" type="noConversion"/>
  <hyperlinks>
    <hyperlink ref="A1" location="'420 DPW'!A1" display="Main 440" xr:uid="{00000000-0004-0000-2500-000000000000}"/>
    <hyperlink ref="B1" location="'Table of Contents'!A1" display="TOC" xr:uid="{00000000-0004-0000-2500-000001000000}"/>
  </hyperlinks>
  <pageMargins left="0.75" right="0.75" top="1" bottom="1" header="0.5" footer="0.5"/>
  <pageSetup scale="92" orientation="landscape" r:id="rId1"/>
  <headerFooter alignWithMargins="0">
    <oddFooter>&amp;L&amp;D     &amp;T&amp;C&amp;F&amp;R&amp;A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50"/>
    <pageSetUpPr fitToPage="1"/>
  </sheetPr>
  <dimension ref="A1:W178"/>
  <sheetViews>
    <sheetView workbookViewId="0">
      <selection activeCell="P15" sqref="P15"/>
    </sheetView>
  </sheetViews>
  <sheetFormatPr defaultRowHeight="12.75" x14ac:dyDescent="0.2"/>
  <cols>
    <col min="1" max="1" width="8.83203125" style="783"/>
    <col min="2" max="2" width="36.6640625" customWidth="1"/>
    <col min="3" max="3" width="14.5" style="1" hidden="1" customWidth="1"/>
    <col min="4" max="12" width="14.5" style="106" hidden="1" customWidth="1"/>
    <col min="13" max="15" width="14.5" style="106" customWidth="1"/>
    <col min="16" max="16" width="14.5" customWidth="1"/>
    <col min="17" max="19" width="14.5" style="1" customWidth="1"/>
    <col min="20" max="22" width="14.5" customWidth="1"/>
    <col min="23" max="23" width="14.6640625" style="2" customWidth="1"/>
  </cols>
  <sheetData>
    <row r="1" spans="1:22" x14ac:dyDescent="0.2">
      <c r="A1" s="772" t="s">
        <v>847</v>
      </c>
      <c r="B1" s="308" t="s">
        <v>197</v>
      </c>
      <c r="D1" s="212"/>
      <c r="E1" s="212"/>
      <c r="F1" s="212"/>
      <c r="G1" s="212"/>
      <c r="H1" s="212"/>
      <c r="I1" s="212"/>
      <c r="J1" s="212"/>
      <c r="K1" s="212"/>
      <c r="L1" s="212"/>
      <c r="M1" s="212"/>
      <c r="N1" s="212"/>
      <c r="O1" s="212"/>
      <c r="S1"/>
    </row>
    <row r="2" spans="1:22" ht="15" x14ac:dyDescent="0.25">
      <c r="A2" s="773" t="s">
        <v>1286</v>
      </c>
      <c r="B2" s="43"/>
      <c r="D2" s="212"/>
      <c r="E2" s="126"/>
      <c r="F2" s="212"/>
      <c r="G2" s="212"/>
      <c r="H2" s="212"/>
      <c r="I2" s="126" t="s">
        <v>816</v>
      </c>
      <c r="J2" s="126"/>
      <c r="K2" s="126"/>
      <c r="L2" s="126"/>
      <c r="M2" s="126"/>
      <c r="N2" s="126"/>
      <c r="O2" s="126"/>
      <c r="P2" s="58" t="s">
        <v>650</v>
      </c>
      <c r="S2" s="44" t="s">
        <v>1382</v>
      </c>
    </row>
    <row r="3" spans="1:22" ht="13.5" thickBot="1" x14ac:dyDescent="0.25">
      <c r="A3" s="774"/>
      <c r="B3" s="4"/>
      <c r="C3" s="23"/>
      <c r="D3" s="23"/>
      <c r="E3" s="23"/>
      <c r="F3" s="23"/>
      <c r="G3" s="23"/>
      <c r="H3" s="23"/>
      <c r="I3" s="23"/>
      <c r="J3" s="23"/>
      <c r="K3" s="23"/>
      <c r="L3" s="23"/>
      <c r="M3" s="23"/>
      <c r="N3" s="23"/>
      <c r="O3" s="23"/>
      <c r="P3" s="4"/>
      <c r="Q3" s="23"/>
      <c r="R3" s="23"/>
      <c r="S3" s="4"/>
      <c r="V3" s="4"/>
    </row>
    <row r="4" spans="1:22"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2"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2" x14ac:dyDescent="0.2">
      <c r="A6" s="776"/>
      <c r="B6" s="202"/>
      <c r="C6" s="113"/>
      <c r="D6" s="113"/>
      <c r="E6" s="113"/>
      <c r="F6" s="113"/>
      <c r="G6" s="113"/>
      <c r="H6" s="113"/>
      <c r="I6" s="83"/>
      <c r="J6" s="83"/>
      <c r="K6" s="83"/>
      <c r="L6" s="83"/>
      <c r="M6" s="83"/>
      <c r="N6" s="83"/>
      <c r="O6" s="83"/>
      <c r="P6" s="113"/>
      <c r="Q6" s="83" t="s">
        <v>823</v>
      </c>
      <c r="R6" s="83" t="s">
        <v>585</v>
      </c>
      <c r="S6" s="45" t="s">
        <v>824</v>
      </c>
    </row>
    <row r="7" spans="1:22"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2" ht="13.5" thickTop="1" x14ac:dyDescent="0.2">
      <c r="A8" s="796"/>
      <c r="B8" s="203"/>
      <c r="C8" s="118"/>
      <c r="D8" s="18"/>
      <c r="E8" s="18"/>
      <c r="F8" s="18"/>
      <c r="G8" s="18"/>
      <c r="H8" s="18"/>
      <c r="I8" s="18"/>
      <c r="J8" s="18"/>
      <c r="K8" s="19"/>
      <c r="L8" s="19"/>
      <c r="M8" s="19"/>
      <c r="N8" s="19"/>
      <c r="O8" s="19"/>
      <c r="P8" s="18"/>
      <c r="Q8" s="19"/>
      <c r="R8" s="19"/>
      <c r="S8" s="19"/>
    </row>
    <row r="9" spans="1:22" x14ac:dyDescent="0.2">
      <c r="A9" s="796">
        <v>5124</v>
      </c>
      <c r="B9" s="102" t="s">
        <v>1383</v>
      </c>
      <c r="C9" s="118">
        <v>640</v>
      </c>
      <c r="D9" s="18">
        <v>305</v>
      </c>
      <c r="E9" s="18">
        <v>335</v>
      </c>
      <c r="F9" s="18">
        <v>135</v>
      </c>
      <c r="G9" s="18"/>
      <c r="H9" s="18">
        <v>0</v>
      </c>
      <c r="I9" s="112">
        <v>0</v>
      </c>
      <c r="J9" s="112"/>
      <c r="K9" s="19">
        <v>2000</v>
      </c>
      <c r="L9" s="112"/>
      <c r="M9" s="19">
        <v>2000</v>
      </c>
      <c r="N9" s="112">
        <v>0</v>
      </c>
      <c r="O9" s="19">
        <v>2000</v>
      </c>
      <c r="P9" s="18"/>
      <c r="Q9" s="19">
        <v>2000</v>
      </c>
      <c r="R9" s="19"/>
      <c r="S9" s="19"/>
    </row>
    <row r="10" spans="1:22" x14ac:dyDescent="0.2">
      <c r="A10" s="779">
        <v>5132</v>
      </c>
      <c r="B10" s="60" t="s">
        <v>1291</v>
      </c>
      <c r="C10" s="116">
        <v>40717.339999999997</v>
      </c>
      <c r="D10" s="13">
        <f>1377.54+63082.85</f>
        <v>64460.39</v>
      </c>
      <c r="E10" s="13">
        <v>82691.58</v>
      </c>
      <c r="F10" s="13">
        <v>22371.74</v>
      </c>
      <c r="G10" s="13">
        <v>68334</v>
      </c>
      <c r="H10" s="13">
        <v>70028.600000000006</v>
      </c>
      <c r="I10" s="128">
        <v>55481.56</v>
      </c>
      <c r="J10" s="128">
        <v>39043.360000000001</v>
      </c>
      <c r="K10" s="14">
        <v>77000</v>
      </c>
      <c r="L10" s="128">
        <v>40754.160000000003</v>
      </c>
      <c r="M10" s="14">
        <v>77000</v>
      </c>
      <c r="N10" s="128">
        <v>47675.72</v>
      </c>
      <c r="O10" s="14">
        <v>77000</v>
      </c>
      <c r="P10" s="13">
        <v>12706.37</v>
      </c>
      <c r="Q10" s="14">
        <v>77000</v>
      </c>
      <c r="R10" s="14"/>
      <c r="S10" s="14"/>
    </row>
    <row r="11" spans="1:22" ht="13.5" thickBot="1" x14ac:dyDescent="0.25">
      <c r="A11" s="779">
        <v>5142</v>
      </c>
      <c r="B11" s="60" t="s">
        <v>1384</v>
      </c>
      <c r="C11" s="228">
        <v>12342.85</v>
      </c>
      <c r="D11" s="35">
        <v>12942.86</v>
      </c>
      <c r="E11" s="35">
        <v>12719.9</v>
      </c>
      <c r="F11" s="35">
        <v>8482.24</v>
      </c>
      <c r="G11" s="35">
        <v>14840</v>
      </c>
      <c r="H11" s="35">
        <v>14320</v>
      </c>
      <c r="I11" s="218">
        <v>14040</v>
      </c>
      <c r="J11" s="218">
        <v>15720</v>
      </c>
      <c r="K11" s="36">
        <f>(170*11)*15</f>
        <v>28050</v>
      </c>
      <c r="L11" s="218">
        <v>15570</v>
      </c>
      <c r="M11" s="36">
        <f>(170*11)*15</f>
        <v>28050</v>
      </c>
      <c r="N11" s="21">
        <v>16360</v>
      </c>
      <c r="O11" s="36">
        <f>((170*11)*15)-6000+3000</f>
        <v>25050</v>
      </c>
      <c r="P11" s="35">
        <v>3630</v>
      </c>
      <c r="Q11" s="36">
        <v>18000</v>
      </c>
      <c r="R11" s="36"/>
      <c r="S11" s="36"/>
    </row>
    <row r="12" spans="1:22" ht="13.5" thickTop="1" x14ac:dyDescent="0.2">
      <c r="A12" s="779"/>
      <c r="B12" s="61" t="s">
        <v>828</v>
      </c>
      <c r="C12" s="592">
        <f t="shared" ref="C12:S12" si="0">SUM(C9:C11)</f>
        <v>53700.189999999995</v>
      </c>
      <c r="D12" s="30">
        <f t="shared" si="0"/>
        <v>77708.25</v>
      </c>
      <c r="E12" s="30">
        <f t="shared" si="0"/>
        <v>95746.48</v>
      </c>
      <c r="F12" s="30">
        <f t="shared" ref="F12:N12" si="1">SUM(F9:F11)</f>
        <v>30988.980000000003</v>
      </c>
      <c r="G12" s="30">
        <f t="shared" si="1"/>
        <v>83174</v>
      </c>
      <c r="H12" s="30">
        <f t="shared" si="1"/>
        <v>84348.6</v>
      </c>
      <c r="I12" s="274">
        <f t="shared" si="1"/>
        <v>69521.56</v>
      </c>
      <c r="J12" s="274">
        <f t="shared" si="1"/>
        <v>54763.360000000001</v>
      </c>
      <c r="K12" s="31">
        <f t="shared" si="1"/>
        <v>107050</v>
      </c>
      <c r="L12" s="274">
        <f t="shared" si="1"/>
        <v>56324.160000000003</v>
      </c>
      <c r="M12" s="31">
        <f>SUM(M9:M11)</f>
        <v>107050</v>
      </c>
      <c r="N12" s="274">
        <f t="shared" si="1"/>
        <v>64035.72</v>
      </c>
      <c r="O12" s="31">
        <f>SUM(O9:O11)</f>
        <v>104050</v>
      </c>
      <c r="P12" s="30">
        <f t="shared" si="0"/>
        <v>16336.37</v>
      </c>
      <c r="Q12" s="31">
        <f>SUM(Q9:Q11)</f>
        <v>97000</v>
      </c>
      <c r="R12" s="31"/>
      <c r="S12" s="31">
        <f t="shared" si="0"/>
        <v>0</v>
      </c>
    </row>
    <row r="13" spans="1:22" x14ac:dyDescent="0.2">
      <c r="A13" s="779"/>
      <c r="B13" s="60"/>
      <c r="C13" s="116"/>
      <c r="D13" s="13"/>
      <c r="E13" s="13"/>
      <c r="F13" s="13"/>
      <c r="G13" s="13"/>
      <c r="H13" s="13"/>
      <c r="I13" s="128"/>
      <c r="J13" s="128"/>
      <c r="K13" s="14"/>
      <c r="L13" s="128"/>
      <c r="M13" s="14"/>
      <c r="N13" s="128"/>
      <c r="O13" s="14"/>
      <c r="P13" s="13"/>
      <c r="Q13" s="14"/>
      <c r="R13" s="14"/>
      <c r="S13" s="14"/>
    </row>
    <row r="14" spans="1:22" x14ac:dyDescent="0.2">
      <c r="A14" s="779">
        <v>5350</v>
      </c>
      <c r="B14" s="60" t="s">
        <v>1061</v>
      </c>
      <c r="C14" s="116"/>
      <c r="D14" s="13">
        <v>0</v>
      </c>
      <c r="E14" s="13"/>
      <c r="F14" s="13"/>
      <c r="G14" s="13"/>
      <c r="H14" s="13"/>
      <c r="I14" s="128">
        <v>0</v>
      </c>
      <c r="J14" s="128"/>
      <c r="K14" s="14">
        <v>1000</v>
      </c>
      <c r="L14" s="128"/>
      <c r="M14" s="14">
        <v>1000</v>
      </c>
      <c r="N14" s="128">
        <v>600</v>
      </c>
      <c r="O14" s="14">
        <v>1000</v>
      </c>
      <c r="P14" s="13"/>
      <c r="Q14" s="14">
        <v>1000</v>
      </c>
      <c r="R14" s="14"/>
      <c r="S14" s="14"/>
    </row>
    <row r="15" spans="1:22" x14ac:dyDescent="0.2">
      <c r="A15" s="779">
        <v>5532</v>
      </c>
      <c r="B15" s="60" t="s">
        <v>1385</v>
      </c>
      <c r="C15" s="116">
        <v>57995.07</v>
      </c>
      <c r="D15" s="18">
        <v>57239.44</v>
      </c>
      <c r="E15" s="18">
        <v>61212.41</v>
      </c>
      <c r="F15" s="18">
        <v>59100.23</v>
      </c>
      <c r="G15" s="18">
        <v>54605.77</v>
      </c>
      <c r="H15" s="18">
        <v>53550.54</v>
      </c>
      <c r="I15" s="112">
        <v>78251.64</v>
      </c>
      <c r="J15" s="112">
        <v>60127.33</v>
      </c>
      <c r="K15" s="19">
        <v>80000</v>
      </c>
      <c r="L15" s="112">
        <v>56865</v>
      </c>
      <c r="M15" s="19">
        <v>80000</v>
      </c>
      <c r="N15" s="1059">
        <v>134381.6</v>
      </c>
      <c r="O15" s="19">
        <v>80000</v>
      </c>
      <c r="P15" s="13">
        <v>23908.52</v>
      </c>
      <c r="Q15" s="19">
        <v>138250</v>
      </c>
      <c r="R15" s="19"/>
      <c r="S15" s="19"/>
    </row>
    <row r="16" spans="1:22" x14ac:dyDescent="0.2">
      <c r="A16" s="779">
        <v>5533</v>
      </c>
      <c r="B16" s="60" t="s">
        <v>1386</v>
      </c>
      <c r="C16" s="228">
        <v>36656.76</v>
      </c>
      <c r="D16" s="18">
        <v>60400.06</v>
      </c>
      <c r="E16" s="18">
        <v>52174.22</v>
      </c>
      <c r="F16" s="18">
        <v>21420.54</v>
      </c>
      <c r="G16" s="18">
        <v>39101.39</v>
      </c>
      <c r="H16" s="18">
        <v>49696.36</v>
      </c>
      <c r="I16" s="112">
        <v>37999.449999999997</v>
      </c>
      <c r="J16" s="112">
        <v>37589.589999999997</v>
      </c>
      <c r="K16" s="19">
        <v>65000</v>
      </c>
      <c r="L16" s="272">
        <v>6328.46</v>
      </c>
      <c r="M16" s="19">
        <v>56000</v>
      </c>
      <c r="N16" s="672">
        <v>6506.35</v>
      </c>
      <c r="O16" s="19">
        <v>56000</v>
      </c>
      <c r="P16" s="35">
        <v>2350.79</v>
      </c>
      <c r="Q16" s="19">
        <v>35000</v>
      </c>
      <c r="R16" s="19"/>
      <c r="S16" s="19"/>
    </row>
    <row r="17" spans="1:22" ht="13.5" thickBot="1" x14ac:dyDescent="0.25">
      <c r="A17" s="779">
        <v>5590</v>
      </c>
      <c r="B17" s="60" t="s">
        <v>1387</v>
      </c>
      <c r="C17" s="117">
        <v>12092.28</v>
      </c>
      <c r="D17" s="15">
        <v>14792.81</v>
      </c>
      <c r="E17" s="15">
        <v>10111.780000000001</v>
      </c>
      <c r="F17" s="15">
        <v>12249.29</v>
      </c>
      <c r="G17" s="15">
        <v>28447.74</v>
      </c>
      <c r="H17" s="15">
        <v>35002.49</v>
      </c>
      <c r="I17" s="270">
        <v>14368.52</v>
      </c>
      <c r="J17" s="270">
        <v>30839.51</v>
      </c>
      <c r="K17" s="16">
        <v>25000</v>
      </c>
      <c r="L17" s="270">
        <v>41761.58</v>
      </c>
      <c r="M17" s="16">
        <v>34000</v>
      </c>
      <c r="N17" s="270">
        <v>31072.11</v>
      </c>
      <c r="O17" s="16">
        <v>40000</v>
      </c>
      <c r="P17" s="15">
        <v>10362.99</v>
      </c>
      <c r="Q17" s="16">
        <v>40000</v>
      </c>
      <c r="R17" s="16"/>
      <c r="S17" s="16"/>
    </row>
    <row r="18" spans="1:22" x14ac:dyDescent="0.2">
      <c r="A18" s="779"/>
      <c r="B18" s="61" t="s">
        <v>838</v>
      </c>
      <c r="C18" s="118">
        <f t="shared" ref="C18:S18" si="2">SUM(C14:C17)</f>
        <v>106744.11</v>
      </c>
      <c r="D18" s="18">
        <f t="shared" si="2"/>
        <v>132432.31</v>
      </c>
      <c r="E18" s="18">
        <f t="shared" si="2"/>
        <v>123498.41</v>
      </c>
      <c r="F18" s="18">
        <f>SUM(F14:F17)</f>
        <v>92770.06</v>
      </c>
      <c r="G18" s="18">
        <f>SUM(G14:G17)</f>
        <v>122154.90000000001</v>
      </c>
      <c r="H18" s="18">
        <f>SUM(H14:H17)</f>
        <v>138249.38999999998</v>
      </c>
      <c r="I18" s="18">
        <f t="shared" si="2"/>
        <v>130619.61</v>
      </c>
      <c r="J18" s="18">
        <f t="shared" ref="J18" si="3">SUM(J14:J17)</f>
        <v>128556.43</v>
      </c>
      <c r="K18" s="227">
        <f>SUM(K14:K17)</f>
        <v>171000</v>
      </c>
      <c r="L18" s="112">
        <f t="shared" ref="L18:O18" si="4">SUM(L14:L17)</f>
        <v>104955.04000000001</v>
      </c>
      <c r="M18" s="227">
        <f t="shared" si="4"/>
        <v>171000</v>
      </c>
      <c r="N18" s="112">
        <f t="shared" ref="N18" si="5">SUM(N14:N17)</f>
        <v>172560.06</v>
      </c>
      <c r="O18" s="227">
        <f t="shared" si="4"/>
        <v>177000</v>
      </c>
      <c r="P18" s="18">
        <f t="shared" si="2"/>
        <v>36622.300000000003</v>
      </c>
      <c r="Q18" s="227">
        <f>SUM(Q14:Q17)</f>
        <v>214250</v>
      </c>
      <c r="R18" s="227"/>
      <c r="S18" s="227">
        <f t="shared" si="2"/>
        <v>0</v>
      </c>
    </row>
    <row r="19" spans="1:22" x14ac:dyDescent="0.2">
      <c r="A19" s="779"/>
      <c r="B19" s="12"/>
      <c r="C19" s="13"/>
      <c r="D19" s="13"/>
      <c r="E19" s="13"/>
      <c r="F19" s="13"/>
      <c r="G19" s="13"/>
      <c r="H19" s="13"/>
      <c r="I19" s="13"/>
      <c r="J19" s="13"/>
      <c r="K19" s="14"/>
      <c r="L19" s="128"/>
      <c r="M19" s="14"/>
      <c r="N19" s="128"/>
      <c r="O19" s="14"/>
      <c r="P19" s="13"/>
      <c r="Q19" s="14"/>
      <c r="R19" s="14"/>
      <c r="S19" s="14"/>
    </row>
    <row r="20" spans="1:22" ht="13.5" thickBot="1" x14ac:dyDescent="0.25">
      <c r="A20" s="780"/>
      <c r="B20" s="20" t="s">
        <v>1388</v>
      </c>
      <c r="C20" s="21">
        <f t="shared" ref="C20:Q20" si="6">+C18+C12</f>
        <v>160444.29999999999</v>
      </c>
      <c r="D20" s="21">
        <f t="shared" si="6"/>
        <v>210140.56</v>
      </c>
      <c r="E20" s="21">
        <f t="shared" si="6"/>
        <v>219244.89</v>
      </c>
      <c r="F20" s="21">
        <f>+F18+F12</f>
        <v>123759.04000000001</v>
      </c>
      <c r="G20" s="21">
        <f>+G18+G12</f>
        <v>205328.90000000002</v>
      </c>
      <c r="H20" s="21">
        <f>+H18+H12</f>
        <v>222597.99</v>
      </c>
      <c r="I20" s="21">
        <f t="shared" si="6"/>
        <v>200141.16999999998</v>
      </c>
      <c r="J20" s="21">
        <f t="shared" ref="J20" si="7">+J18+J12</f>
        <v>183319.78999999998</v>
      </c>
      <c r="K20" s="22">
        <f t="shared" ref="K20:O20" si="8">+K18+K12</f>
        <v>278050</v>
      </c>
      <c r="L20" s="21">
        <f t="shared" si="8"/>
        <v>161279.20000000001</v>
      </c>
      <c r="M20" s="22">
        <f t="shared" si="8"/>
        <v>278050</v>
      </c>
      <c r="N20" s="21">
        <f t="shared" ref="N20" si="9">+N18+N12</f>
        <v>236595.78</v>
      </c>
      <c r="O20" s="22">
        <f t="shared" si="8"/>
        <v>281050</v>
      </c>
      <c r="P20" s="21">
        <f t="shared" si="6"/>
        <v>52958.670000000006</v>
      </c>
      <c r="Q20" s="22">
        <f t="shared" si="6"/>
        <v>311250</v>
      </c>
      <c r="R20" s="22">
        <f>+Q20</f>
        <v>311250</v>
      </c>
      <c r="S20" s="22">
        <f>+Q20</f>
        <v>311250</v>
      </c>
    </row>
    <row r="21" spans="1:22" ht="13.5" thickTop="1" x14ac:dyDescent="0.2">
      <c r="A21" s="63"/>
      <c r="B21" s="4"/>
      <c r="C21" s="23"/>
      <c r="D21" s="23"/>
      <c r="E21" s="23" t="s">
        <v>1389</v>
      </c>
      <c r="F21" s="23"/>
      <c r="G21" s="23"/>
      <c r="H21" s="23"/>
      <c r="I21" s="23"/>
      <c r="J21" s="23"/>
      <c r="K21" s="23"/>
      <c r="L21" s="23"/>
      <c r="M21" s="23"/>
      <c r="N21" s="23"/>
      <c r="O21" s="23"/>
      <c r="P21" s="199" t="s">
        <v>843</v>
      </c>
      <c r="Q21" s="1116">
        <f>+Q20-O20</f>
        <v>30200</v>
      </c>
      <c r="R21" s="1117">
        <f>ROUND((+Q21/O20),4)</f>
        <v>0.1075</v>
      </c>
      <c r="S21" s="23"/>
      <c r="T21" s="25"/>
      <c r="U21" s="25"/>
      <c r="V21" s="25"/>
    </row>
    <row r="22" spans="1:22" ht="13.5" thickBot="1" x14ac:dyDescent="0.25">
      <c r="A22" s="774"/>
      <c r="B22" s="4"/>
      <c r="C22" s="24"/>
      <c r="D22" s="23"/>
      <c r="E22" s="23"/>
      <c r="F22" s="23"/>
      <c r="G22" s="23"/>
      <c r="H22" s="23"/>
      <c r="I22" s="23"/>
      <c r="J22" s="23"/>
      <c r="K22" s="23"/>
      <c r="L22" s="23"/>
      <c r="M22" s="23"/>
      <c r="N22" s="23"/>
      <c r="O22" s="23"/>
      <c r="P22" s="25"/>
      <c r="Q22" s="23"/>
      <c r="R22" s="23"/>
      <c r="S22" s="25"/>
      <c r="T22" s="25"/>
      <c r="U22" s="25"/>
      <c r="V22" s="25"/>
    </row>
    <row r="23" spans="1:22" ht="13.5" thickTop="1" x14ac:dyDescent="0.2">
      <c r="A23" s="789"/>
      <c r="B23" s="367"/>
      <c r="C23" s="368" t="s">
        <v>280</v>
      </c>
      <c r="D23" s="369" t="s">
        <v>280</v>
      </c>
      <c r="E23" s="369" t="s">
        <v>280</v>
      </c>
      <c r="F23" s="212"/>
      <c r="G23" s="212"/>
      <c r="H23" s="212"/>
      <c r="I23" s="212"/>
      <c r="J23" s="212"/>
      <c r="K23" s="212"/>
      <c r="L23" s="212"/>
      <c r="M23" s="370" t="s">
        <v>279</v>
      </c>
      <c r="N23" s="371" t="s">
        <v>826</v>
      </c>
      <c r="O23" s="372" t="s">
        <v>840</v>
      </c>
      <c r="P23" s="371" t="s">
        <v>841</v>
      </c>
      <c r="Q23" s="373"/>
      <c r="R23" s="569"/>
      <c r="S23" s="372"/>
      <c r="T23" s="25"/>
      <c r="U23" s="25"/>
      <c r="V23" s="25"/>
    </row>
    <row r="24" spans="1:22" ht="13.5" thickBot="1" x14ac:dyDescent="0.25">
      <c r="A24" s="790" t="s">
        <v>825</v>
      </c>
      <c r="B24" s="374"/>
      <c r="C24" s="375" t="s">
        <v>267</v>
      </c>
      <c r="D24" s="375" t="s">
        <v>268</v>
      </c>
      <c r="E24" s="376" t="s">
        <v>269</v>
      </c>
      <c r="F24" s="212"/>
      <c r="G24" s="212"/>
      <c r="H24" s="212"/>
      <c r="I24" s="212"/>
      <c r="J24" s="212"/>
      <c r="K24" s="212"/>
      <c r="L24" s="212"/>
      <c r="M24" s="377" t="s">
        <v>277</v>
      </c>
      <c r="N24" s="377" t="s">
        <v>571</v>
      </c>
      <c r="O24" s="376" t="s">
        <v>843</v>
      </c>
      <c r="P24" s="378" t="s">
        <v>843</v>
      </c>
      <c r="Q24" s="379" t="s">
        <v>844</v>
      </c>
      <c r="R24" s="570"/>
      <c r="S24" s="377"/>
      <c r="T24" s="25"/>
      <c r="U24" s="25"/>
      <c r="V24" s="25"/>
    </row>
    <row r="25" spans="1:22" ht="13.5" thickTop="1" x14ac:dyDescent="0.2">
      <c r="A25" s="797"/>
      <c r="B25" s="394"/>
      <c r="C25" s="383"/>
      <c r="D25" s="383"/>
      <c r="E25" s="383"/>
      <c r="F25" s="212"/>
      <c r="G25" s="212"/>
      <c r="H25" s="212"/>
      <c r="I25" s="212"/>
      <c r="J25" s="212"/>
      <c r="K25" s="212"/>
      <c r="L25" s="212"/>
      <c r="M25" s="384"/>
      <c r="N25" s="383"/>
      <c r="O25" s="414"/>
      <c r="P25" s="392"/>
      <c r="Q25" s="385"/>
      <c r="R25" s="572"/>
      <c r="S25" s="386"/>
      <c r="T25" s="25"/>
      <c r="U25" s="25"/>
      <c r="V25" s="25"/>
    </row>
    <row r="26" spans="1:22" x14ac:dyDescent="0.2">
      <c r="A26" s="797">
        <v>5124</v>
      </c>
      <c r="B26" s="394" t="s">
        <v>1383</v>
      </c>
      <c r="C26" s="383">
        <v>640</v>
      </c>
      <c r="D26" s="383">
        <v>305</v>
      </c>
      <c r="E26" s="383">
        <v>335</v>
      </c>
      <c r="F26" s="212"/>
      <c r="G26" s="212"/>
      <c r="H26" s="212"/>
      <c r="I26" s="212"/>
      <c r="J26" s="212"/>
      <c r="K26" s="212"/>
      <c r="L26" s="212"/>
      <c r="M26" s="384">
        <f>+O9</f>
        <v>2000</v>
      </c>
      <c r="N26" s="410">
        <f>+Q9</f>
        <v>2000</v>
      </c>
      <c r="O26" s="414">
        <f t="shared" ref="O26:O32" si="10">+N26-M26</f>
        <v>0</v>
      </c>
      <c r="P26" s="392" t="str">
        <f t="shared" ref="P26:P32" si="11">IF(M26+N26&lt;&gt;0,IF(M26&lt;&gt;0,IF(O26&lt;&gt;0,ROUND((+O26/M26),4),""),1),"")</f>
        <v/>
      </c>
      <c r="Q26" s="385"/>
      <c r="R26" s="572"/>
      <c r="S26" s="386"/>
      <c r="T26" s="25"/>
      <c r="U26" s="25"/>
      <c r="V26" s="25"/>
    </row>
    <row r="27" spans="1:22" x14ac:dyDescent="0.2">
      <c r="A27" s="795">
        <v>5132</v>
      </c>
      <c r="B27" s="387" t="s">
        <v>1291</v>
      </c>
      <c r="C27" s="391">
        <v>40717.339999999997</v>
      </c>
      <c r="D27" s="391">
        <f>1377.54+63082.85</f>
        <v>64460.39</v>
      </c>
      <c r="E27" s="391">
        <v>82691.58</v>
      </c>
      <c r="F27" s="212"/>
      <c r="G27" s="212"/>
      <c r="H27" s="212"/>
      <c r="I27" s="212"/>
      <c r="J27" s="212"/>
      <c r="K27" s="212"/>
      <c r="L27" s="212"/>
      <c r="M27" s="384">
        <f>+O10</f>
        <v>77000</v>
      </c>
      <c r="N27" s="410">
        <f>+Q10</f>
        <v>77000</v>
      </c>
      <c r="O27" s="414">
        <f t="shared" si="10"/>
        <v>0</v>
      </c>
      <c r="P27" s="392" t="str">
        <f t="shared" si="11"/>
        <v/>
      </c>
      <c r="Q27" s="385"/>
      <c r="R27" s="572"/>
      <c r="S27" s="386"/>
      <c r="T27" s="25"/>
      <c r="U27" s="25"/>
      <c r="V27" s="25"/>
    </row>
    <row r="28" spans="1:22" x14ac:dyDescent="0.2">
      <c r="A28" s="795">
        <v>5142</v>
      </c>
      <c r="B28" s="387" t="s">
        <v>1384</v>
      </c>
      <c r="C28" s="393">
        <v>12342.85</v>
      </c>
      <c r="D28" s="393">
        <v>12942.86</v>
      </c>
      <c r="E28" s="393">
        <v>12719.9</v>
      </c>
      <c r="F28" s="212"/>
      <c r="G28" s="212"/>
      <c r="H28" s="212"/>
      <c r="I28" s="212"/>
      <c r="J28" s="212"/>
      <c r="K28" s="212"/>
      <c r="L28" s="212"/>
      <c r="M28" s="384">
        <f>+O11</f>
        <v>25050</v>
      </c>
      <c r="N28" s="410">
        <f>+Q11</f>
        <v>18000</v>
      </c>
      <c r="O28" s="414">
        <f t="shared" si="10"/>
        <v>-7050</v>
      </c>
      <c r="P28" s="392">
        <f t="shared" si="11"/>
        <v>-0.28139999999999998</v>
      </c>
      <c r="Q28" s="385"/>
      <c r="R28" s="572"/>
      <c r="S28" s="386"/>
      <c r="T28" s="25"/>
      <c r="U28" s="25"/>
      <c r="V28" s="25"/>
    </row>
    <row r="29" spans="1:22" x14ac:dyDescent="0.2">
      <c r="A29" s="795">
        <v>5350</v>
      </c>
      <c r="B29" s="387" t="s">
        <v>1061</v>
      </c>
      <c r="C29" s="391"/>
      <c r="D29" s="391">
        <v>0</v>
      </c>
      <c r="E29" s="391"/>
      <c r="F29" s="212"/>
      <c r="G29" s="212"/>
      <c r="H29" s="212"/>
      <c r="I29" s="212"/>
      <c r="J29" s="212"/>
      <c r="K29" s="212"/>
      <c r="L29" s="212"/>
      <c r="M29" s="390">
        <f>+O14</f>
        <v>1000</v>
      </c>
      <c r="N29" s="410">
        <f>+Q14</f>
        <v>1000</v>
      </c>
      <c r="O29" s="414">
        <f t="shared" si="10"/>
        <v>0</v>
      </c>
      <c r="P29" s="392" t="str">
        <f t="shared" si="11"/>
        <v/>
      </c>
      <c r="Q29" s="385"/>
      <c r="R29" s="572"/>
      <c r="S29" s="386"/>
      <c r="T29" s="25"/>
      <c r="U29" s="25"/>
      <c r="V29" s="25"/>
    </row>
    <row r="30" spans="1:22" x14ac:dyDescent="0.2">
      <c r="A30" s="795">
        <v>5532</v>
      </c>
      <c r="B30" s="387" t="s">
        <v>1385</v>
      </c>
      <c r="C30" s="391">
        <v>57995.07</v>
      </c>
      <c r="D30" s="383">
        <v>57239.44</v>
      </c>
      <c r="E30" s="383">
        <v>61212.41</v>
      </c>
      <c r="F30" s="212"/>
      <c r="G30" s="212"/>
      <c r="H30" s="212"/>
      <c r="I30" s="212"/>
      <c r="J30" s="212"/>
      <c r="K30" s="212"/>
      <c r="L30" s="212"/>
      <c r="M30" s="390">
        <f>+O15</f>
        <v>80000</v>
      </c>
      <c r="N30" s="410">
        <f>+Q15</f>
        <v>138250</v>
      </c>
      <c r="O30" s="414">
        <f t="shared" si="10"/>
        <v>58250</v>
      </c>
      <c r="P30" s="392">
        <f t="shared" si="11"/>
        <v>0.72809999999999997</v>
      </c>
      <c r="Q30" s="385" t="s">
        <v>2245</v>
      </c>
      <c r="R30" s="572"/>
      <c r="S30" s="386"/>
      <c r="T30" s="25"/>
      <c r="U30" s="25"/>
      <c r="V30" s="25"/>
    </row>
    <row r="31" spans="1:22" x14ac:dyDescent="0.2">
      <c r="A31" s="795">
        <v>5533</v>
      </c>
      <c r="B31" s="387" t="s">
        <v>1386</v>
      </c>
      <c r="C31" s="393">
        <v>36656.76</v>
      </c>
      <c r="D31" s="383">
        <v>60400.06</v>
      </c>
      <c r="E31" s="383">
        <v>52174.22</v>
      </c>
      <c r="F31" s="212"/>
      <c r="G31" s="212"/>
      <c r="H31" s="212"/>
      <c r="I31" s="212"/>
      <c r="J31" s="212"/>
      <c r="K31" s="212"/>
      <c r="L31" s="212"/>
      <c r="M31" s="390">
        <f>+O16</f>
        <v>56000</v>
      </c>
      <c r="N31" s="410">
        <f>+Q16</f>
        <v>35000</v>
      </c>
      <c r="O31" s="414">
        <f t="shared" si="10"/>
        <v>-21000</v>
      </c>
      <c r="P31" s="392">
        <f t="shared" si="11"/>
        <v>-0.375</v>
      </c>
      <c r="Q31" s="385"/>
      <c r="R31" s="572"/>
      <c r="S31" s="386"/>
      <c r="T31" s="25"/>
      <c r="U31" s="25"/>
      <c r="V31" s="25"/>
    </row>
    <row r="32" spans="1:22" ht="13.5" thickBot="1" x14ac:dyDescent="0.25">
      <c r="A32" s="795">
        <v>5590</v>
      </c>
      <c r="B32" s="387" t="s">
        <v>1387</v>
      </c>
      <c r="C32" s="389">
        <v>12092.28</v>
      </c>
      <c r="D32" s="389">
        <v>14792.81</v>
      </c>
      <c r="E32" s="389">
        <v>10111.780000000001</v>
      </c>
      <c r="F32" s="212"/>
      <c r="G32" s="212"/>
      <c r="H32" s="212"/>
      <c r="I32" s="212"/>
      <c r="J32" s="212"/>
      <c r="K32" s="212"/>
      <c r="L32" s="212"/>
      <c r="M32" s="390">
        <f>+O17</f>
        <v>40000</v>
      </c>
      <c r="N32" s="410">
        <f>+Q17</f>
        <v>40000</v>
      </c>
      <c r="O32" s="414">
        <f t="shared" si="10"/>
        <v>0</v>
      </c>
      <c r="P32" s="392" t="str">
        <f t="shared" si="11"/>
        <v/>
      </c>
      <c r="Q32" s="385"/>
      <c r="R32" s="572"/>
      <c r="S32" s="386"/>
      <c r="T32" s="25"/>
      <c r="U32" s="25"/>
      <c r="V32" s="25"/>
    </row>
    <row r="33" spans="1:22" x14ac:dyDescent="0.2">
      <c r="A33" s="774"/>
      <c r="B33" s="4"/>
      <c r="C33" s="23"/>
      <c r="D33" s="23"/>
      <c r="E33" s="23"/>
      <c r="F33" s="23"/>
      <c r="G33" s="23"/>
      <c r="H33" s="212"/>
      <c r="I33" s="212"/>
      <c r="J33" s="212"/>
      <c r="K33" s="212"/>
      <c r="L33" s="212"/>
      <c r="M33" s="23"/>
      <c r="N33" s="23"/>
      <c r="O33" s="23"/>
      <c r="P33" s="25"/>
      <c r="Q33" s="23"/>
      <c r="R33" s="23"/>
      <c r="S33" s="23"/>
      <c r="T33" s="25"/>
      <c r="U33" s="25"/>
      <c r="V33" s="25"/>
    </row>
    <row r="34" spans="1:22" x14ac:dyDescent="0.2">
      <c r="A34" s="774"/>
      <c r="B34" s="4" t="s">
        <v>846</v>
      </c>
      <c r="C34" s="23"/>
      <c r="D34" s="23"/>
      <c r="E34" s="23"/>
      <c r="F34" s="23"/>
      <c r="G34" s="23"/>
      <c r="H34" s="212"/>
      <c r="I34" s="212"/>
      <c r="J34" s="212"/>
      <c r="K34" s="212"/>
      <c r="L34" s="212"/>
      <c r="M34" s="616">
        <f>SUM(M26:M33)</f>
        <v>281050</v>
      </c>
      <c r="N34" s="616">
        <f>SUM(N26:N33)</f>
        <v>311250</v>
      </c>
      <c r="O34" s="25">
        <f>+N34-M34</f>
        <v>30200</v>
      </c>
      <c r="P34" s="617">
        <f>IF(M34+N34&lt;&gt;0,IF(M34&lt;&gt;0,IF(O34&lt;&gt;0,ROUND((+O34/M34),4),""),1),"")</f>
        <v>0.1075</v>
      </c>
      <c r="Q34" s="23"/>
      <c r="R34" s="23"/>
      <c r="S34" s="23"/>
      <c r="T34" s="25"/>
      <c r="U34" s="25"/>
      <c r="V34" s="25"/>
    </row>
    <row r="35" spans="1:22" x14ac:dyDescent="0.2">
      <c r="A35" s="774"/>
      <c r="B35" s="4"/>
      <c r="C35" s="23"/>
      <c r="D35" s="23"/>
      <c r="E35" s="23"/>
      <c r="F35" s="23"/>
      <c r="G35" s="23"/>
      <c r="H35" s="23"/>
      <c r="I35" s="23"/>
      <c r="J35" s="23"/>
      <c r="K35" s="23"/>
      <c r="L35" s="23"/>
      <c r="M35" s="23"/>
      <c r="N35" s="23"/>
      <c r="O35" s="23"/>
      <c r="P35" s="25"/>
      <c r="Q35" s="23"/>
      <c r="R35" s="23"/>
      <c r="S35" s="23"/>
      <c r="T35" s="25"/>
      <c r="U35" s="25"/>
      <c r="V35" s="25"/>
    </row>
    <row r="36" spans="1:22" x14ac:dyDescent="0.2">
      <c r="A36" s="774" t="s">
        <v>1390</v>
      </c>
      <c r="B36" s="4"/>
      <c r="C36" s="23"/>
      <c r="D36" s="23"/>
      <c r="E36" s="23"/>
      <c r="F36" s="23"/>
      <c r="G36" s="23"/>
      <c r="H36" s="23"/>
      <c r="I36" s="23"/>
      <c r="J36" s="23"/>
      <c r="K36" s="23"/>
      <c r="L36" s="23"/>
      <c r="M36" s="23"/>
      <c r="N36" s="23"/>
      <c r="O36" s="23"/>
      <c r="P36" s="25"/>
      <c r="Q36" s="23"/>
      <c r="R36" s="23"/>
      <c r="S36" s="23"/>
      <c r="T36" s="25"/>
      <c r="U36" s="25"/>
      <c r="V36" s="25"/>
    </row>
    <row r="37" spans="1:22" x14ac:dyDescent="0.2">
      <c r="A37" s="774"/>
      <c r="B37" s="4"/>
      <c r="C37" s="23"/>
      <c r="D37" s="23"/>
      <c r="E37" s="23"/>
      <c r="F37" s="23"/>
      <c r="G37" s="23"/>
      <c r="H37" s="23"/>
      <c r="I37" s="23"/>
      <c r="J37" s="23"/>
      <c r="K37" s="23"/>
      <c r="L37" s="23"/>
      <c r="M37" s="23"/>
      <c r="N37" s="23"/>
      <c r="O37" s="23"/>
      <c r="P37" s="25"/>
      <c r="Q37" s="23"/>
      <c r="R37" s="23"/>
      <c r="S37" s="23"/>
      <c r="T37" s="25"/>
      <c r="U37" s="25"/>
      <c r="V37" s="25"/>
    </row>
    <row r="38" spans="1:22" x14ac:dyDescent="0.2">
      <c r="A38" s="774"/>
      <c r="B38" s="4"/>
      <c r="C38" s="23"/>
      <c r="D38" s="23"/>
      <c r="E38" s="23"/>
      <c r="F38" s="23"/>
      <c r="G38" s="23"/>
      <c r="H38" s="23"/>
      <c r="I38" s="23"/>
      <c r="J38" s="23"/>
      <c r="K38" s="23"/>
      <c r="L38" s="23"/>
      <c r="M38" s="23"/>
      <c r="N38" s="23"/>
      <c r="O38" s="23"/>
      <c r="P38" s="25"/>
      <c r="Q38" s="23"/>
      <c r="R38" s="23"/>
      <c r="S38" s="23"/>
      <c r="T38" s="25"/>
      <c r="U38" s="25"/>
      <c r="V38" s="25"/>
    </row>
    <row r="39" spans="1:22" x14ac:dyDescent="0.2">
      <c r="A39" s="774"/>
      <c r="B39" s="4"/>
      <c r="C39" s="23"/>
      <c r="D39" s="23"/>
      <c r="E39" s="23"/>
      <c r="F39" s="23"/>
      <c r="G39" s="23"/>
      <c r="H39" s="23"/>
      <c r="I39" s="23"/>
      <c r="J39" s="23"/>
      <c r="K39" s="23"/>
      <c r="L39" s="23"/>
      <c r="M39" s="23"/>
      <c r="N39" s="23"/>
      <c r="O39" s="23"/>
      <c r="P39" s="25"/>
      <c r="Q39" s="23"/>
      <c r="R39" s="23"/>
      <c r="S39" s="23"/>
      <c r="T39" s="25"/>
      <c r="U39" s="25"/>
      <c r="V39" s="25"/>
    </row>
    <row r="40" spans="1:22" x14ac:dyDescent="0.2">
      <c r="A40" s="774"/>
      <c r="B40" s="4"/>
      <c r="C40" s="23"/>
      <c r="D40" s="23"/>
      <c r="E40" s="23"/>
      <c r="F40" s="23"/>
      <c r="G40" s="23"/>
      <c r="H40" s="23"/>
      <c r="I40" s="23"/>
      <c r="J40" s="23"/>
      <c r="K40" s="23"/>
      <c r="L40" s="23"/>
      <c r="M40" s="23"/>
      <c r="N40" s="23"/>
      <c r="O40" s="23"/>
      <c r="P40" s="25"/>
      <c r="Q40" s="23"/>
      <c r="R40" s="23"/>
      <c r="S40" s="23"/>
      <c r="T40" s="25"/>
      <c r="U40" s="25"/>
      <c r="V40" s="25"/>
    </row>
    <row r="41" spans="1:22" x14ac:dyDescent="0.2">
      <c r="A41" s="774"/>
      <c r="B41" s="4"/>
      <c r="C41" s="23"/>
      <c r="D41" s="23"/>
      <c r="E41" s="23"/>
      <c r="F41" s="23"/>
      <c r="G41" s="23"/>
      <c r="H41" s="23"/>
      <c r="I41" s="23"/>
      <c r="J41" s="23"/>
      <c r="K41" s="23"/>
      <c r="L41" s="23"/>
      <c r="M41" s="23"/>
      <c r="N41" s="23"/>
      <c r="O41" s="23"/>
      <c r="P41" s="25"/>
      <c r="Q41" s="23"/>
      <c r="R41" s="23"/>
      <c r="S41" s="23"/>
      <c r="T41" s="25"/>
      <c r="U41" s="25"/>
      <c r="V41" s="25"/>
    </row>
    <row r="42" spans="1:22" x14ac:dyDescent="0.2">
      <c r="A42" s="774"/>
      <c r="B42" s="4"/>
      <c r="C42" s="23"/>
      <c r="D42" s="23"/>
      <c r="E42" s="23"/>
      <c r="F42" s="23"/>
      <c r="G42" s="23"/>
      <c r="H42" s="23"/>
      <c r="I42" s="23"/>
      <c r="J42" s="23"/>
      <c r="K42" s="23"/>
      <c r="L42" s="23"/>
      <c r="M42" s="23"/>
      <c r="N42" s="23"/>
      <c r="O42" s="23"/>
      <c r="P42" s="25"/>
      <c r="Q42" s="23"/>
      <c r="R42" s="23"/>
      <c r="S42" s="23"/>
      <c r="T42" s="25"/>
      <c r="U42" s="25"/>
      <c r="V42" s="25"/>
    </row>
    <row r="43" spans="1:22" x14ac:dyDescent="0.2">
      <c r="A43" s="774"/>
      <c r="B43" s="4"/>
      <c r="C43" s="23"/>
      <c r="D43" s="23"/>
      <c r="E43" s="23"/>
      <c r="F43" s="23"/>
      <c r="G43" s="23"/>
      <c r="H43" s="23"/>
      <c r="I43" s="23"/>
      <c r="J43" s="23"/>
      <c r="K43" s="23"/>
      <c r="L43" s="23"/>
      <c r="M43" s="23"/>
      <c r="N43" s="23"/>
      <c r="O43" s="23"/>
      <c r="P43" s="25"/>
      <c r="Q43" s="23"/>
      <c r="R43" s="23"/>
      <c r="S43" s="23"/>
      <c r="T43" s="25"/>
      <c r="U43" s="25"/>
      <c r="V43" s="25"/>
    </row>
    <row r="44" spans="1:22" x14ac:dyDescent="0.2">
      <c r="A44" s="774"/>
      <c r="B44" s="4"/>
      <c r="C44" s="23"/>
      <c r="D44" s="23"/>
      <c r="E44" s="23"/>
      <c r="F44" s="23"/>
      <c r="G44" s="23"/>
      <c r="H44" s="23"/>
      <c r="I44" s="23"/>
      <c r="J44" s="23"/>
      <c r="K44" s="23"/>
      <c r="L44" s="23"/>
      <c r="M44" s="23"/>
      <c r="N44" s="23"/>
      <c r="O44" s="23"/>
      <c r="P44" s="25"/>
      <c r="Q44" s="23"/>
      <c r="R44" s="23"/>
      <c r="S44" s="23"/>
      <c r="T44" s="25"/>
      <c r="U44" s="25"/>
      <c r="V44" s="25"/>
    </row>
    <row r="45" spans="1:22" x14ac:dyDescent="0.2">
      <c r="A45" s="774"/>
      <c r="B45" s="4"/>
      <c r="C45" s="23"/>
      <c r="D45" s="23"/>
      <c r="E45" s="23"/>
      <c r="F45" s="23"/>
      <c r="G45" s="23"/>
      <c r="H45" s="23"/>
      <c r="I45" s="23"/>
      <c r="J45" s="23"/>
      <c r="K45" s="23"/>
      <c r="L45" s="23"/>
      <c r="M45" s="23"/>
      <c r="N45" s="23"/>
      <c r="O45" s="23"/>
      <c r="P45" s="25"/>
      <c r="Q45" s="23"/>
      <c r="R45" s="23"/>
      <c r="S45" s="23"/>
      <c r="T45" s="25"/>
      <c r="U45" s="25"/>
      <c r="V45" s="25"/>
    </row>
    <row r="46" spans="1:22" x14ac:dyDescent="0.2">
      <c r="A46" s="774"/>
      <c r="B46" s="4"/>
      <c r="C46" s="23"/>
      <c r="D46" s="23"/>
      <c r="E46" s="23"/>
      <c r="F46" s="23"/>
      <c r="G46" s="23"/>
      <c r="H46" s="23"/>
      <c r="I46" s="23"/>
      <c r="J46" s="23"/>
      <c r="K46" s="23"/>
      <c r="L46" s="23"/>
      <c r="M46" s="23"/>
      <c r="N46" s="23"/>
      <c r="O46" s="23"/>
      <c r="P46" s="25"/>
      <c r="Q46" s="23"/>
      <c r="R46" s="23"/>
      <c r="S46" s="23"/>
      <c r="T46" s="25"/>
      <c r="U46" s="25"/>
      <c r="V46" s="25"/>
    </row>
    <row r="47" spans="1:22" x14ac:dyDescent="0.2">
      <c r="A47" s="774"/>
      <c r="B47" s="4"/>
      <c r="C47" s="23"/>
      <c r="D47" s="23"/>
      <c r="E47" s="23"/>
      <c r="F47" s="23"/>
      <c r="G47" s="23"/>
      <c r="H47" s="23"/>
      <c r="I47" s="23"/>
      <c r="J47" s="23"/>
      <c r="K47" s="23"/>
      <c r="L47" s="23"/>
      <c r="M47" s="23"/>
      <c r="N47" s="23"/>
      <c r="O47" s="23"/>
      <c r="P47" s="25"/>
      <c r="Q47" s="23"/>
      <c r="R47" s="23"/>
      <c r="S47" s="23"/>
      <c r="T47" s="25"/>
      <c r="U47" s="25"/>
      <c r="V47" s="25"/>
    </row>
    <row r="48" spans="1:22" x14ac:dyDescent="0.2">
      <c r="A48" s="774"/>
      <c r="B48" s="4"/>
      <c r="C48" s="23"/>
      <c r="D48" s="23"/>
      <c r="E48" s="23"/>
      <c r="F48" s="23"/>
      <c r="G48" s="23"/>
      <c r="H48" s="23"/>
      <c r="I48" s="23"/>
      <c r="J48" s="23"/>
      <c r="K48" s="23"/>
      <c r="L48" s="23"/>
      <c r="M48" s="23"/>
      <c r="N48" s="23"/>
      <c r="O48" s="23"/>
      <c r="P48" s="25"/>
      <c r="Q48" s="23"/>
      <c r="R48" s="23"/>
      <c r="S48" s="23"/>
      <c r="T48" s="25"/>
      <c r="U48" s="25"/>
      <c r="V48" s="25"/>
    </row>
    <row r="49" spans="1:22" x14ac:dyDescent="0.2">
      <c r="A49" s="774"/>
      <c r="B49" s="4"/>
      <c r="C49" s="23"/>
      <c r="D49" s="23"/>
      <c r="E49" s="23"/>
      <c r="F49" s="23"/>
      <c r="G49" s="23"/>
      <c r="H49" s="23"/>
      <c r="I49" s="23"/>
      <c r="J49" s="23"/>
      <c r="K49" s="23"/>
      <c r="L49" s="23"/>
      <c r="M49" s="23"/>
      <c r="N49" s="23"/>
      <c r="O49" s="23"/>
      <c r="P49" s="25"/>
      <c r="Q49" s="23"/>
      <c r="R49" s="23"/>
      <c r="S49" s="23"/>
      <c r="T49" s="25"/>
      <c r="U49" s="25"/>
      <c r="V49" s="25"/>
    </row>
    <row r="50" spans="1:22" x14ac:dyDescent="0.2">
      <c r="A50" s="774"/>
      <c r="B50" s="4"/>
      <c r="C50" s="23"/>
      <c r="D50" s="23"/>
      <c r="E50" s="23"/>
      <c r="F50" s="23"/>
      <c r="G50" s="23"/>
      <c r="H50" s="23"/>
      <c r="I50" s="23"/>
      <c r="J50" s="23"/>
      <c r="K50" s="23"/>
      <c r="L50" s="23"/>
      <c r="M50" s="23"/>
      <c r="N50" s="23"/>
      <c r="O50" s="23"/>
      <c r="P50" s="25"/>
      <c r="Q50" s="23"/>
      <c r="R50" s="23"/>
      <c r="S50" s="23"/>
      <c r="T50" s="25"/>
      <c r="U50" s="25"/>
      <c r="V50" s="25"/>
    </row>
    <row r="51" spans="1:22" x14ac:dyDescent="0.2">
      <c r="A51" s="774"/>
      <c r="B51" s="4"/>
      <c r="C51" s="23"/>
      <c r="D51" s="23"/>
      <c r="E51" s="23"/>
      <c r="F51" s="23"/>
      <c r="G51" s="23"/>
      <c r="H51" s="23"/>
      <c r="I51" s="23"/>
      <c r="J51" s="23"/>
      <c r="K51" s="23"/>
      <c r="L51" s="23"/>
      <c r="M51" s="23"/>
      <c r="N51" s="23"/>
      <c r="O51" s="23"/>
      <c r="P51" s="25"/>
      <c r="Q51" s="23"/>
      <c r="R51" s="23"/>
      <c r="S51" s="23"/>
      <c r="T51" s="25"/>
      <c r="U51" s="25"/>
      <c r="V51" s="25"/>
    </row>
    <row r="52" spans="1:22" x14ac:dyDescent="0.2">
      <c r="A52" s="774"/>
      <c r="B52" s="4"/>
      <c r="C52" s="23"/>
      <c r="D52" s="23"/>
      <c r="E52" s="23"/>
      <c r="F52" s="23"/>
      <c r="G52" s="23"/>
      <c r="H52" s="23"/>
      <c r="I52" s="23"/>
      <c r="J52" s="23"/>
      <c r="K52" s="23"/>
      <c r="L52" s="23"/>
      <c r="M52" s="23"/>
      <c r="N52" s="23"/>
      <c r="O52" s="23"/>
      <c r="P52" s="25"/>
      <c r="Q52" s="23"/>
      <c r="R52" s="23"/>
      <c r="S52" s="23"/>
      <c r="T52" s="25"/>
      <c r="U52" s="25"/>
      <c r="V52" s="25"/>
    </row>
    <row r="53" spans="1:22" x14ac:dyDescent="0.2">
      <c r="A53" s="774"/>
      <c r="B53" s="4"/>
      <c r="C53" s="23"/>
      <c r="D53" s="23"/>
      <c r="E53" s="23"/>
      <c r="F53" s="23"/>
      <c r="G53" s="23"/>
      <c r="H53" s="23"/>
      <c r="I53" s="23"/>
      <c r="J53" s="23"/>
      <c r="K53" s="23"/>
      <c r="L53" s="23"/>
      <c r="M53" s="23"/>
      <c r="N53" s="23"/>
      <c r="O53" s="23"/>
      <c r="P53" s="25"/>
      <c r="Q53" s="23"/>
      <c r="R53" s="23"/>
      <c r="S53" s="23"/>
      <c r="T53" s="25"/>
      <c r="U53" s="25"/>
      <c r="V53" s="25"/>
    </row>
    <row r="54" spans="1:22" x14ac:dyDescent="0.2">
      <c r="A54" s="774"/>
      <c r="B54" s="4"/>
      <c r="C54" s="23"/>
      <c r="D54" s="23"/>
      <c r="E54" s="23"/>
      <c r="F54" s="23"/>
      <c r="G54" s="23"/>
      <c r="H54" s="23"/>
      <c r="I54" s="23"/>
      <c r="J54" s="23"/>
      <c r="K54" s="23"/>
      <c r="L54" s="23"/>
      <c r="M54" s="23"/>
      <c r="N54" s="23"/>
      <c r="O54" s="23"/>
      <c r="P54" s="25"/>
      <c r="Q54" s="23"/>
      <c r="R54" s="23"/>
      <c r="S54" s="23"/>
      <c r="T54" s="25"/>
      <c r="U54" s="25"/>
      <c r="V54" s="25"/>
    </row>
    <row r="55" spans="1:22" x14ac:dyDescent="0.2">
      <c r="A55" s="774"/>
      <c r="B55" s="4"/>
      <c r="C55" s="23"/>
      <c r="D55" s="23"/>
      <c r="E55" s="23"/>
      <c r="F55" s="23"/>
      <c r="G55" s="23"/>
      <c r="H55" s="23"/>
      <c r="I55" s="23"/>
      <c r="J55" s="23"/>
      <c r="K55" s="23"/>
      <c r="L55" s="23"/>
      <c r="M55" s="23"/>
      <c r="N55" s="23"/>
      <c r="O55" s="23"/>
      <c r="P55" s="25"/>
      <c r="Q55" s="23"/>
      <c r="R55" s="23"/>
      <c r="S55" s="23"/>
      <c r="T55" s="25"/>
      <c r="U55" s="25"/>
      <c r="V55" s="25"/>
    </row>
    <row r="56" spans="1:22" x14ac:dyDescent="0.2">
      <c r="A56" s="774"/>
      <c r="B56" s="4"/>
      <c r="C56" s="23"/>
      <c r="D56" s="23"/>
      <c r="E56" s="23"/>
      <c r="F56" s="23"/>
      <c r="G56" s="23"/>
      <c r="H56" s="23"/>
      <c r="I56" s="23"/>
      <c r="J56" s="23"/>
      <c r="K56" s="23"/>
      <c r="L56" s="23"/>
      <c r="M56" s="23"/>
      <c r="N56" s="23"/>
      <c r="O56" s="23"/>
      <c r="P56" s="25"/>
      <c r="Q56" s="23"/>
      <c r="R56" s="23"/>
      <c r="S56" s="23"/>
      <c r="T56" s="25"/>
      <c r="U56" s="25"/>
      <c r="V56" s="25"/>
    </row>
    <row r="57" spans="1:22" x14ac:dyDescent="0.2">
      <c r="A57" s="774"/>
      <c r="B57" s="4"/>
      <c r="C57" s="23"/>
      <c r="D57" s="23"/>
      <c r="E57" s="23"/>
      <c r="F57" s="23"/>
      <c r="G57" s="23"/>
      <c r="H57" s="23"/>
      <c r="I57" s="23"/>
      <c r="J57" s="23"/>
      <c r="K57" s="23"/>
      <c r="L57" s="23"/>
      <c r="M57" s="23"/>
      <c r="N57" s="23"/>
      <c r="O57" s="23"/>
      <c r="P57" s="25"/>
      <c r="Q57" s="23"/>
      <c r="R57" s="23"/>
      <c r="S57" s="23"/>
      <c r="T57" s="25"/>
      <c r="U57" s="25"/>
      <c r="V57" s="25"/>
    </row>
    <row r="58" spans="1:22" x14ac:dyDescent="0.2">
      <c r="A58" s="774"/>
      <c r="B58" s="4"/>
      <c r="C58" s="23"/>
      <c r="D58" s="23"/>
      <c r="E58" s="23"/>
      <c r="F58" s="23"/>
      <c r="G58" s="23"/>
      <c r="H58" s="23"/>
      <c r="I58" s="23"/>
      <c r="J58" s="23"/>
      <c r="K58" s="23"/>
      <c r="L58" s="23"/>
      <c r="M58" s="23"/>
      <c r="N58" s="23"/>
      <c r="O58" s="23"/>
      <c r="P58" s="4"/>
      <c r="Q58" s="23"/>
      <c r="R58" s="23"/>
      <c r="S58" s="23"/>
      <c r="T58" s="4"/>
      <c r="U58" s="4"/>
      <c r="V58" s="4"/>
    </row>
    <row r="59" spans="1:22" x14ac:dyDescent="0.2">
      <c r="A59" s="774"/>
      <c r="B59" s="4"/>
      <c r="C59" s="23"/>
      <c r="D59" s="23"/>
      <c r="E59" s="23"/>
      <c r="F59" s="23"/>
      <c r="G59" s="23"/>
      <c r="H59" s="23"/>
      <c r="I59" s="23"/>
      <c r="J59" s="23"/>
      <c r="K59" s="23"/>
      <c r="L59" s="23"/>
      <c r="M59" s="23"/>
      <c r="N59" s="23"/>
      <c r="O59" s="23"/>
      <c r="P59" s="4"/>
      <c r="Q59" s="23"/>
      <c r="R59" s="23"/>
      <c r="S59" s="23"/>
      <c r="T59" s="4"/>
      <c r="U59" s="4"/>
      <c r="V59" s="4"/>
    </row>
    <row r="60" spans="1:22" x14ac:dyDescent="0.2">
      <c r="A60" s="774"/>
      <c r="B60" s="4"/>
      <c r="C60" s="23"/>
      <c r="D60" s="23"/>
      <c r="E60" s="23"/>
      <c r="F60" s="23"/>
      <c r="G60" s="23"/>
      <c r="H60" s="23"/>
      <c r="I60" s="23"/>
      <c r="J60" s="23"/>
      <c r="K60" s="23"/>
      <c r="L60" s="23"/>
      <c r="M60" s="23"/>
      <c r="N60" s="23"/>
      <c r="O60" s="23"/>
      <c r="P60" s="4"/>
      <c r="Q60" s="23"/>
      <c r="R60" s="23"/>
      <c r="S60" s="23"/>
      <c r="T60" s="4"/>
      <c r="U60" s="4"/>
      <c r="V60" s="4"/>
    </row>
    <row r="61" spans="1:22" x14ac:dyDescent="0.2">
      <c r="A61" s="774"/>
      <c r="B61" s="4"/>
      <c r="C61" s="23"/>
      <c r="D61" s="23"/>
      <c r="E61" s="23"/>
      <c r="F61" s="23"/>
      <c r="G61" s="23"/>
      <c r="H61" s="23"/>
      <c r="I61" s="23"/>
      <c r="J61" s="23"/>
      <c r="K61" s="23"/>
      <c r="L61" s="23"/>
      <c r="M61" s="23"/>
      <c r="N61" s="23"/>
      <c r="O61" s="23"/>
      <c r="P61" s="4"/>
      <c r="Q61" s="23"/>
      <c r="R61" s="23"/>
      <c r="S61" s="23"/>
      <c r="T61" s="4"/>
      <c r="U61" s="4"/>
      <c r="V61" s="4"/>
    </row>
    <row r="62" spans="1:22" x14ac:dyDescent="0.2">
      <c r="A62" s="774"/>
      <c r="B62" s="4"/>
      <c r="C62" s="23"/>
      <c r="D62" s="23"/>
      <c r="E62" s="23"/>
      <c r="F62" s="23"/>
      <c r="G62" s="23"/>
      <c r="H62" s="23"/>
      <c r="I62" s="23"/>
      <c r="J62" s="23"/>
      <c r="K62" s="23"/>
      <c r="L62" s="23"/>
      <c r="M62" s="23"/>
      <c r="N62" s="23"/>
      <c r="O62" s="23"/>
      <c r="P62" s="4"/>
      <c r="Q62" s="23"/>
      <c r="R62" s="23"/>
      <c r="S62" s="23"/>
      <c r="T62" s="4"/>
      <c r="U62" s="4"/>
      <c r="V62" s="4"/>
    </row>
    <row r="63" spans="1:22" x14ac:dyDescent="0.2">
      <c r="A63" s="774"/>
      <c r="B63" s="4"/>
      <c r="C63" s="23"/>
      <c r="D63" s="23"/>
      <c r="E63" s="23"/>
      <c r="F63" s="23"/>
      <c r="G63" s="23"/>
      <c r="H63" s="23"/>
      <c r="I63" s="23"/>
      <c r="J63" s="23"/>
      <c r="K63" s="23"/>
      <c r="L63" s="23"/>
      <c r="M63" s="23"/>
      <c r="N63" s="23"/>
      <c r="O63" s="23"/>
      <c r="P63" s="4"/>
      <c r="Q63" s="23"/>
      <c r="R63" s="23"/>
      <c r="S63" s="23"/>
      <c r="T63" s="4"/>
      <c r="U63" s="4"/>
      <c r="V63" s="4"/>
    </row>
    <row r="64" spans="1:22" x14ac:dyDescent="0.2">
      <c r="A64" s="774"/>
      <c r="B64" s="4"/>
      <c r="C64" s="23"/>
      <c r="D64" s="23"/>
      <c r="E64" s="23"/>
      <c r="F64" s="23"/>
      <c r="G64" s="23"/>
      <c r="H64" s="23"/>
      <c r="I64" s="23"/>
      <c r="J64" s="23"/>
      <c r="K64" s="23"/>
      <c r="L64" s="23"/>
      <c r="M64" s="23"/>
      <c r="N64" s="23"/>
      <c r="O64" s="23"/>
      <c r="P64" s="4"/>
      <c r="Q64" s="23"/>
      <c r="R64" s="23"/>
      <c r="S64" s="23"/>
      <c r="T64" s="4"/>
      <c r="U64" s="4"/>
      <c r="V64" s="4"/>
    </row>
    <row r="65" spans="1:22" x14ac:dyDescent="0.2">
      <c r="A65" s="774"/>
      <c r="B65" s="4"/>
      <c r="C65" s="23"/>
      <c r="D65" s="23"/>
      <c r="E65" s="23"/>
      <c r="F65" s="23"/>
      <c r="G65" s="23"/>
      <c r="H65" s="23"/>
      <c r="I65" s="23"/>
      <c r="J65" s="23"/>
      <c r="K65" s="23"/>
      <c r="L65" s="23"/>
      <c r="M65" s="23"/>
      <c r="N65" s="23"/>
      <c r="O65" s="23"/>
      <c r="P65" s="4"/>
      <c r="Q65" s="23"/>
      <c r="R65" s="23"/>
      <c r="S65" s="23"/>
      <c r="T65" s="4"/>
      <c r="U65" s="4"/>
      <c r="V65" s="4"/>
    </row>
    <row r="66" spans="1:22" x14ac:dyDescent="0.2">
      <c r="A66" s="774"/>
      <c r="B66" s="4"/>
      <c r="C66" s="23"/>
      <c r="D66" s="23"/>
      <c r="E66" s="23"/>
      <c r="F66" s="23"/>
      <c r="G66" s="23"/>
      <c r="H66" s="23"/>
      <c r="I66" s="23"/>
      <c r="J66" s="23"/>
      <c r="K66" s="23"/>
      <c r="L66" s="23"/>
      <c r="M66" s="23"/>
      <c r="N66" s="23"/>
      <c r="O66" s="23"/>
      <c r="P66" s="4"/>
      <c r="Q66" s="23"/>
      <c r="R66" s="23"/>
      <c r="S66" s="23"/>
      <c r="T66" s="4"/>
      <c r="U66" s="4"/>
      <c r="V66" s="4"/>
    </row>
    <row r="67" spans="1:22" x14ac:dyDescent="0.2">
      <c r="A67" s="774"/>
      <c r="B67" s="4"/>
      <c r="C67" s="23"/>
      <c r="D67" s="23"/>
      <c r="E67" s="23"/>
      <c r="F67" s="23"/>
      <c r="G67" s="23"/>
      <c r="H67" s="23"/>
      <c r="I67" s="23"/>
      <c r="J67" s="23"/>
      <c r="K67" s="23"/>
      <c r="L67" s="23"/>
      <c r="M67" s="23"/>
      <c r="N67" s="23"/>
      <c r="O67" s="23"/>
      <c r="P67" s="4"/>
      <c r="Q67" s="23"/>
      <c r="R67" s="23"/>
      <c r="S67" s="23"/>
      <c r="T67" s="4"/>
      <c r="U67" s="4"/>
      <c r="V67" s="4"/>
    </row>
    <row r="68" spans="1:22" x14ac:dyDescent="0.2">
      <c r="A68" s="774"/>
      <c r="B68" s="4"/>
      <c r="C68" s="23"/>
      <c r="D68" s="23"/>
      <c r="E68" s="23"/>
      <c r="F68" s="23"/>
      <c r="G68" s="23"/>
      <c r="H68" s="23"/>
      <c r="I68" s="23"/>
      <c r="J68" s="23"/>
      <c r="K68" s="23"/>
      <c r="L68" s="23"/>
      <c r="M68" s="23"/>
      <c r="N68" s="23"/>
      <c r="O68" s="23"/>
      <c r="P68" s="4"/>
      <c r="Q68" s="23"/>
      <c r="R68" s="23"/>
      <c r="S68" s="23"/>
      <c r="T68" s="4"/>
      <c r="U68" s="4"/>
      <c r="V68" s="4"/>
    </row>
    <row r="69" spans="1:22" x14ac:dyDescent="0.2">
      <c r="A69" s="774"/>
      <c r="B69" s="4"/>
      <c r="C69" s="23"/>
      <c r="D69" s="23"/>
      <c r="E69" s="23"/>
      <c r="F69" s="23"/>
      <c r="G69" s="23"/>
      <c r="H69" s="23"/>
      <c r="I69" s="23"/>
      <c r="J69" s="23"/>
      <c r="K69" s="23"/>
      <c r="L69" s="23"/>
      <c r="M69" s="23"/>
      <c r="N69" s="23"/>
      <c r="O69" s="23"/>
      <c r="P69" s="4"/>
      <c r="Q69" s="23"/>
      <c r="R69" s="23"/>
      <c r="S69" s="23"/>
      <c r="T69" s="4"/>
      <c r="U69" s="4"/>
      <c r="V69" s="4"/>
    </row>
    <row r="70" spans="1:22" x14ac:dyDescent="0.2">
      <c r="A70" s="774"/>
      <c r="B70" s="4"/>
      <c r="C70" s="23"/>
      <c r="D70" s="23"/>
      <c r="E70" s="23"/>
      <c r="F70" s="23"/>
      <c r="G70" s="23"/>
      <c r="H70" s="23"/>
      <c r="I70" s="23"/>
      <c r="J70" s="23"/>
      <c r="K70" s="23"/>
      <c r="L70" s="23"/>
      <c r="M70" s="23"/>
      <c r="N70" s="23"/>
      <c r="O70" s="23"/>
      <c r="P70" s="4"/>
      <c r="Q70" s="23"/>
      <c r="R70" s="23"/>
      <c r="S70" s="23"/>
      <c r="T70" s="4"/>
      <c r="U70" s="4"/>
      <c r="V70" s="4"/>
    </row>
    <row r="71" spans="1:22" x14ac:dyDescent="0.2">
      <c r="A71" s="774"/>
      <c r="B71" s="4"/>
      <c r="C71" s="23"/>
      <c r="D71" s="23"/>
      <c r="E71" s="23"/>
      <c r="F71" s="23"/>
      <c r="G71" s="23"/>
      <c r="H71" s="23"/>
      <c r="I71" s="23"/>
      <c r="J71" s="23"/>
      <c r="K71" s="23"/>
      <c r="L71" s="23"/>
      <c r="M71" s="23"/>
      <c r="N71" s="23"/>
      <c r="O71" s="23"/>
      <c r="P71" s="4"/>
      <c r="Q71" s="23"/>
      <c r="R71" s="23"/>
      <c r="S71" s="23"/>
      <c r="T71" s="4"/>
      <c r="U71" s="4"/>
      <c r="V71" s="4"/>
    </row>
    <row r="72" spans="1:22" x14ac:dyDescent="0.2">
      <c r="A72" s="774"/>
      <c r="B72" s="4"/>
      <c r="C72" s="23"/>
      <c r="D72" s="23"/>
      <c r="E72" s="23"/>
      <c r="F72" s="23"/>
      <c r="G72" s="23"/>
      <c r="H72" s="23"/>
      <c r="I72" s="23"/>
      <c r="J72" s="23"/>
      <c r="K72" s="23"/>
      <c r="L72" s="23"/>
      <c r="M72" s="23"/>
      <c r="N72" s="23"/>
      <c r="O72" s="23"/>
      <c r="P72" s="4"/>
      <c r="Q72" s="23"/>
      <c r="R72" s="23"/>
      <c r="S72" s="23"/>
      <c r="T72" s="4"/>
      <c r="U72" s="4"/>
      <c r="V72" s="4"/>
    </row>
    <row r="73" spans="1:22" x14ac:dyDescent="0.2">
      <c r="A73" s="774"/>
      <c r="B73" s="4"/>
      <c r="C73" s="23"/>
      <c r="D73" s="23"/>
      <c r="E73" s="23"/>
      <c r="F73" s="23"/>
      <c r="G73" s="23"/>
      <c r="H73" s="23"/>
      <c r="I73" s="23"/>
      <c r="J73" s="23"/>
      <c r="K73" s="23"/>
      <c r="L73" s="23"/>
      <c r="M73" s="23"/>
      <c r="N73" s="23"/>
      <c r="O73" s="23"/>
      <c r="P73" s="4"/>
      <c r="Q73" s="23"/>
      <c r="R73" s="23"/>
      <c r="S73" s="23"/>
      <c r="T73" s="4"/>
      <c r="U73" s="4"/>
      <c r="V73" s="4"/>
    </row>
    <row r="74" spans="1:22" x14ac:dyDescent="0.2">
      <c r="A74" s="774"/>
      <c r="B74" s="4"/>
      <c r="C74" s="23"/>
      <c r="D74" s="23"/>
      <c r="E74" s="23"/>
      <c r="F74" s="23"/>
      <c r="G74" s="23"/>
      <c r="H74" s="23"/>
      <c r="I74" s="23"/>
      <c r="J74" s="23"/>
      <c r="K74" s="23"/>
      <c r="L74" s="23"/>
      <c r="M74" s="23"/>
      <c r="N74" s="23"/>
      <c r="O74" s="23"/>
      <c r="P74" s="4"/>
      <c r="Q74" s="23"/>
      <c r="R74" s="23"/>
      <c r="S74" s="23"/>
      <c r="T74" s="4"/>
      <c r="U74" s="4"/>
      <c r="V74" s="4"/>
    </row>
    <row r="75" spans="1:22" x14ac:dyDescent="0.2">
      <c r="A75" s="774"/>
      <c r="B75" s="4"/>
      <c r="C75" s="23"/>
      <c r="D75" s="23"/>
      <c r="E75" s="23"/>
      <c r="F75" s="23"/>
      <c r="G75" s="23"/>
      <c r="H75" s="23"/>
      <c r="I75" s="23"/>
      <c r="J75" s="23"/>
      <c r="K75" s="23"/>
      <c r="L75" s="23"/>
      <c r="M75" s="23"/>
      <c r="N75" s="23"/>
      <c r="O75" s="23"/>
      <c r="P75" s="4"/>
      <c r="Q75" s="23"/>
      <c r="R75" s="23"/>
      <c r="S75" s="23"/>
      <c r="T75" s="4"/>
      <c r="U75" s="4"/>
      <c r="V75" s="4"/>
    </row>
    <row r="76" spans="1:22" x14ac:dyDescent="0.2">
      <c r="A76" s="774"/>
      <c r="B76" s="4"/>
      <c r="C76" s="23"/>
      <c r="D76" s="23"/>
      <c r="E76" s="23"/>
      <c r="F76" s="23"/>
      <c r="G76" s="23"/>
      <c r="H76" s="23"/>
      <c r="I76" s="23"/>
      <c r="J76" s="23"/>
      <c r="K76" s="23"/>
      <c r="L76" s="23"/>
      <c r="M76" s="23"/>
      <c r="N76" s="23"/>
      <c r="O76" s="23"/>
      <c r="P76" s="4"/>
      <c r="Q76" s="23"/>
      <c r="R76" s="23"/>
      <c r="S76" s="23"/>
      <c r="T76" s="4"/>
      <c r="U76" s="4"/>
      <c r="V76" s="4"/>
    </row>
    <row r="77" spans="1:22" x14ac:dyDescent="0.2">
      <c r="A77" s="774"/>
      <c r="B77" s="4"/>
      <c r="C77" s="23"/>
      <c r="D77" s="23"/>
      <c r="E77" s="23"/>
      <c r="F77" s="23"/>
      <c r="G77" s="23"/>
      <c r="H77" s="23"/>
      <c r="I77" s="23"/>
      <c r="J77" s="23"/>
      <c r="K77" s="23"/>
      <c r="L77" s="23"/>
      <c r="M77" s="23"/>
      <c r="N77" s="23"/>
      <c r="O77" s="23"/>
      <c r="P77" s="4"/>
      <c r="Q77" s="23"/>
      <c r="R77" s="23"/>
      <c r="S77" s="23"/>
      <c r="T77" s="4"/>
      <c r="U77" s="4"/>
      <c r="V77" s="4"/>
    </row>
    <row r="78" spans="1:22" x14ac:dyDescent="0.2">
      <c r="A78" s="774"/>
      <c r="B78" s="4"/>
      <c r="C78" s="23"/>
      <c r="D78" s="23"/>
      <c r="E78" s="23"/>
      <c r="F78" s="23"/>
      <c r="G78" s="23"/>
      <c r="H78" s="23"/>
      <c r="I78" s="23"/>
      <c r="J78" s="23"/>
      <c r="K78" s="23"/>
      <c r="L78" s="23"/>
      <c r="M78" s="23"/>
      <c r="N78" s="23"/>
      <c r="O78" s="23"/>
      <c r="P78" s="4"/>
      <c r="Q78" s="23"/>
      <c r="R78" s="23"/>
      <c r="S78" s="23"/>
      <c r="T78" s="4"/>
      <c r="U78" s="4"/>
      <c r="V78" s="4"/>
    </row>
    <row r="79" spans="1:22" x14ac:dyDescent="0.2">
      <c r="A79" s="774"/>
      <c r="B79" s="4"/>
      <c r="C79" s="23"/>
      <c r="D79" s="23"/>
      <c r="E79" s="23"/>
      <c r="F79" s="23"/>
      <c r="G79" s="23"/>
      <c r="H79" s="23"/>
      <c r="I79" s="23"/>
      <c r="J79" s="23"/>
      <c r="K79" s="23"/>
      <c r="L79" s="23"/>
      <c r="M79" s="23"/>
      <c r="N79" s="23"/>
      <c r="O79" s="23"/>
      <c r="P79" s="4"/>
      <c r="Q79" s="23"/>
      <c r="R79" s="23"/>
      <c r="S79" s="23"/>
      <c r="T79" s="4"/>
      <c r="U79" s="4"/>
      <c r="V79" s="4"/>
    </row>
    <row r="80" spans="1:22" x14ac:dyDescent="0.2">
      <c r="A80" s="774"/>
      <c r="B80" s="4"/>
      <c r="C80" s="23"/>
      <c r="D80" s="23"/>
      <c r="E80" s="23"/>
      <c r="F80" s="23"/>
      <c r="G80" s="23"/>
      <c r="H80" s="23"/>
      <c r="I80" s="23"/>
      <c r="J80" s="23"/>
      <c r="K80" s="23"/>
      <c r="L80" s="23"/>
      <c r="M80" s="23"/>
      <c r="N80" s="23"/>
      <c r="O80" s="23"/>
      <c r="P80" s="4"/>
      <c r="Q80" s="23"/>
      <c r="R80" s="23"/>
      <c r="S80" s="23"/>
      <c r="T80" s="4"/>
      <c r="U80" s="4"/>
      <c r="V80" s="4"/>
    </row>
    <row r="81" spans="1:22" x14ac:dyDescent="0.2">
      <c r="A81" s="774"/>
      <c r="B81" s="4"/>
      <c r="C81" s="23"/>
      <c r="D81" s="23"/>
      <c r="E81" s="23"/>
      <c r="F81" s="23"/>
      <c r="G81" s="23"/>
      <c r="H81" s="23"/>
      <c r="I81" s="23"/>
      <c r="J81" s="23"/>
      <c r="K81" s="23"/>
      <c r="L81" s="23"/>
      <c r="M81" s="23"/>
      <c r="N81" s="23"/>
      <c r="O81" s="23"/>
      <c r="P81" s="4"/>
      <c r="Q81" s="23"/>
      <c r="R81" s="23"/>
      <c r="S81" s="23"/>
      <c r="T81" s="4"/>
      <c r="U81" s="4"/>
      <c r="V81" s="4"/>
    </row>
    <row r="82" spans="1:22" x14ac:dyDescent="0.2">
      <c r="A82" s="774"/>
      <c r="B82" s="4"/>
      <c r="C82" s="23"/>
      <c r="D82" s="23"/>
      <c r="E82" s="23"/>
      <c r="F82" s="23"/>
      <c r="G82" s="23"/>
      <c r="H82" s="23"/>
      <c r="I82" s="23"/>
      <c r="J82" s="23"/>
      <c r="K82" s="23"/>
      <c r="L82" s="23"/>
      <c r="M82" s="23"/>
      <c r="N82" s="23"/>
      <c r="O82" s="23"/>
      <c r="P82" s="4"/>
      <c r="Q82" s="23"/>
      <c r="R82" s="23"/>
      <c r="S82" s="23"/>
      <c r="T82" s="4"/>
      <c r="U82" s="4"/>
      <c r="V82" s="4"/>
    </row>
    <row r="83" spans="1:22" x14ac:dyDescent="0.2">
      <c r="A83" s="774"/>
      <c r="B83" s="4"/>
      <c r="C83" s="23"/>
      <c r="D83" s="23"/>
      <c r="E83" s="23"/>
      <c r="F83" s="23"/>
      <c r="G83" s="23"/>
      <c r="H83" s="23"/>
      <c r="I83" s="23"/>
      <c r="J83" s="23"/>
      <c r="K83" s="23"/>
      <c r="L83" s="23"/>
      <c r="M83" s="23"/>
      <c r="N83" s="23"/>
      <c r="O83" s="23"/>
      <c r="P83" s="4"/>
      <c r="Q83" s="23"/>
      <c r="R83" s="23"/>
      <c r="S83" s="23"/>
      <c r="T83" s="4"/>
      <c r="U83" s="4"/>
      <c r="V83" s="4"/>
    </row>
    <row r="84" spans="1:22" x14ac:dyDescent="0.2">
      <c r="A84" s="774"/>
      <c r="B84" s="4"/>
      <c r="C84" s="23"/>
      <c r="D84" s="23"/>
      <c r="E84" s="23"/>
      <c r="F84" s="23"/>
      <c r="G84" s="23"/>
      <c r="H84" s="23"/>
      <c r="I84" s="23"/>
      <c r="J84" s="23"/>
      <c r="K84" s="23"/>
      <c r="L84" s="23"/>
      <c r="M84" s="23"/>
      <c r="N84" s="23"/>
      <c r="O84" s="23"/>
      <c r="P84" s="4"/>
      <c r="Q84" s="23"/>
      <c r="R84" s="23"/>
      <c r="S84" s="23"/>
      <c r="T84" s="4"/>
      <c r="U84" s="4"/>
      <c r="V84" s="4"/>
    </row>
    <row r="85" spans="1:22" x14ac:dyDescent="0.2">
      <c r="A85" s="774"/>
      <c r="B85" s="4"/>
      <c r="C85" s="23"/>
      <c r="D85" s="23"/>
      <c r="E85" s="23"/>
      <c r="F85" s="23"/>
      <c r="G85" s="23"/>
      <c r="H85" s="23"/>
      <c r="I85" s="23"/>
      <c r="J85" s="23"/>
      <c r="K85" s="23"/>
      <c r="L85" s="23"/>
      <c r="M85" s="23"/>
      <c r="N85" s="23"/>
      <c r="O85" s="23"/>
      <c r="P85" s="4"/>
      <c r="Q85" s="23"/>
      <c r="R85" s="23"/>
      <c r="S85" s="23"/>
      <c r="T85" s="4"/>
      <c r="U85" s="4"/>
      <c r="V85" s="4"/>
    </row>
    <row r="86" spans="1:22" x14ac:dyDescent="0.2">
      <c r="A86" s="774"/>
      <c r="B86" s="4"/>
      <c r="C86" s="23"/>
      <c r="D86" s="23"/>
      <c r="E86" s="23"/>
      <c r="F86" s="23"/>
      <c r="G86" s="23"/>
      <c r="H86" s="23"/>
      <c r="I86" s="23"/>
      <c r="J86" s="23"/>
      <c r="K86" s="23"/>
      <c r="L86" s="23"/>
      <c r="M86" s="23"/>
      <c r="N86" s="23"/>
      <c r="O86" s="23"/>
      <c r="P86" s="4"/>
      <c r="Q86" s="23"/>
      <c r="R86" s="23"/>
      <c r="S86" s="23"/>
      <c r="T86" s="4"/>
      <c r="U86" s="4"/>
      <c r="V86" s="4"/>
    </row>
    <row r="87" spans="1:22" x14ac:dyDescent="0.2">
      <c r="A87" s="774"/>
      <c r="B87" s="4"/>
      <c r="C87" s="23"/>
      <c r="D87" s="23"/>
      <c r="E87" s="23"/>
      <c r="F87" s="23"/>
      <c r="G87" s="23"/>
      <c r="H87" s="23"/>
      <c r="I87" s="23"/>
      <c r="J87" s="23"/>
      <c r="K87" s="23"/>
      <c r="L87" s="23"/>
      <c r="M87" s="23"/>
      <c r="N87" s="23"/>
      <c r="O87" s="23"/>
      <c r="P87" s="4"/>
      <c r="Q87" s="23"/>
      <c r="R87" s="23"/>
      <c r="S87" s="23"/>
      <c r="T87" s="4"/>
      <c r="U87" s="4"/>
      <c r="V87" s="4"/>
    </row>
    <row r="88" spans="1:22" x14ac:dyDescent="0.2">
      <c r="A88" s="774"/>
      <c r="B88" s="4"/>
      <c r="C88" s="23"/>
      <c r="D88" s="23"/>
      <c r="E88" s="23"/>
      <c r="F88" s="23"/>
      <c r="G88" s="23"/>
      <c r="H88" s="23"/>
      <c r="I88" s="23"/>
      <c r="J88" s="23"/>
      <c r="K88" s="23"/>
      <c r="L88" s="23"/>
      <c r="M88" s="23"/>
      <c r="N88" s="23"/>
      <c r="O88" s="23"/>
      <c r="P88" s="4"/>
      <c r="Q88" s="23"/>
      <c r="R88" s="23"/>
      <c r="S88" s="23"/>
      <c r="T88" s="4"/>
      <c r="U88" s="4"/>
      <c r="V88" s="4"/>
    </row>
    <row r="89" spans="1:22" x14ac:dyDescent="0.2">
      <c r="A89" s="774"/>
      <c r="B89" s="4"/>
      <c r="C89" s="23"/>
      <c r="D89" s="23"/>
      <c r="E89" s="23"/>
      <c r="F89" s="23"/>
      <c r="G89" s="23"/>
      <c r="H89" s="23"/>
      <c r="I89" s="23"/>
      <c r="J89" s="23"/>
      <c r="K89" s="23"/>
      <c r="L89" s="23"/>
      <c r="M89" s="23"/>
      <c r="N89" s="23"/>
      <c r="O89" s="23"/>
      <c r="P89" s="4"/>
      <c r="Q89" s="23"/>
      <c r="R89" s="23"/>
      <c r="S89" s="23"/>
      <c r="T89" s="4"/>
      <c r="U89" s="4"/>
      <c r="V89" s="4"/>
    </row>
    <row r="90" spans="1:22" x14ac:dyDescent="0.2">
      <c r="A90" s="774"/>
      <c r="B90" s="4"/>
      <c r="C90" s="23"/>
      <c r="D90" s="23"/>
      <c r="E90" s="23"/>
      <c r="F90" s="23"/>
      <c r="G90" s="23"/>
      <c r="H90" s="23"/>
      <c r="I90" s="23"/>
      <c r="J90" s="23"/>
      <c r="K90" s="23"/>
      <c r="L90" s="23"/>
      <c r="M90" s="23"/>
      <c r="N90" s="23"/>
      <c r="O90" s="23"/>
      <c r="P90" s="4"/>
      <c r="Q90" s="23"/>
      <c r="R90" s="23"/>
      <c r="S90" s="23"/>
      <c r="T90" s="4"/>
      <c r="U90" s="4"/>
      <c r="V90" s="4"/>
    </row>
    <row r="91" spans="1:22" x14ac:dyDescent="0.2">
      <c r="A91" s="774"/>
      <c r="B91" s="4"/>
      <c r="C91" s="23"/>
      <c r="D91" s="23"/>
      <c r="E91" s="23"/>
      <c r="F91" s="23"/>
      <c r="G91" s="23"/>
      <c r="H91" s="23"/>
      <c r="I91" s="23"/>
      <c r="J91" s="23"/>
      <c r="K91" s="23"/>
      <c r="L91" s="23"/>
      <c r="M91" s="23"/>
      <c r="N91" s="23"/>
      <c r="O91" s="23"/>
      <c r="P91" s="4"/>
      <c r="Q91" s="23"/>
      <c r="R91" s="23"/>
      <c r="S91" s="23"/>
      <c r="T91" s="4"/>
      <c r="U91" s="4"/>
      <c r="V91" s="4"/>
    </row>
    <row r="92" spans="1:22" x14ac:dyDescent="0.2">
      <c r="A92" s="774"/>
      <c r="B92" s="4"/>
      <c r="C92" s="23"/>
      <c r="D92" s="23"/>
      <c r="E92" s="23"/>
      <c r="F92" s="23"/>
      <c r="G92" s="23"/>
      <c r="H92" s="23"/>
      <c r="I92" s="23"/>
      <c r="J92" s="23"/>
      <c r="K92" s="23"/>
      <c r="L92" s="23"/>
      <c r="M92" s="23"/>
      <c r="N92" s="23"/>
      <c r="O92" s="23"/>
      <c r="P92" s="4"/>
      <c r="Q92" s="23"/>
      <c r="R92" s="23"/>
      <c r="S92" s="23"/>
      <c r="T92" s="4"/>
      <c r="U92" s="4"/>
      <c r="V92" s="4"/>
    </row>
    <row r="93" spans="1:22" x14ac:dyDescent="0.2">
      <c r="A93" s="774"/>
      <c r="B93" s="4"/>
      <c r="C93" s="23"/>
      <c r="D93" s="23"/>
      <c r="E93" s="23"/>
      <c r="F93" s="23"/>
      <c r="G93" s="23"/>
      <c r="H93" s="23"/>
      <c r="I93" s="23"/>
      <c r="J93" s="23"/>
      <c r="K93" s="23"/>
      <c r="L93" s="23"/>
      <c r="M93" s="23"/>
      <c r="N93" s="23"/>
      <c r="O93" s="23"/>
      <c r="P93" s="4"/>
      <c r="Q93" s="23"/>
      <c r="R93" s="23"/>
      <c r="S93" s="23"/>
      <c r="T93" s="4"/>
      <c r="U93" s="4"/>
      <c r="V93" s="4"/>
    </row>
    <row r="94" spans="1:22" x14ac:dyDescent="0.2">
      <c r="A94" s="774"/>
      <c r="B94" s="4"/>
      <c r="C94" s="23"/>
      <c r="D94" s="23"/>
      <c r="E94" s="23"/>
      <c r="F94" s="23"/>
      <c r="G94" s="23"/>
      <c r="H94" s="23"/>
      <c r="I94" s="23"/>
      <c r="J94" s="23"/>
      <c r="K94" s="23"/>
      <c r="L94" s="23"/>
      <c r="M94" s="23"/>
      <c r="N94" s="23"/>
      <c r="O94" s="23"/>
      <c r="P94" s="4"/>
      <c r="Q94" s="23"/>
      <c r="R94" s="23"/>
      <c r="S94" s="23"/>
      <c r="T94" s="4"/>
      <c r="U94" s="4"/>
      <c r="V94" s="4"/>
    </row>
    <row r="95" spans="1:22" x14ac:dyDescent="0.2">
      <c r="A95" s="774"/>
      <c r="B95" s="4"/>
      <c r="C95" s="23"/>
      <c r="D95" s="23"/>
      <c r="E95" s="23"/>
      <c r="F95" s="23"/>
      <c r="G95" s="23"/>
      <c r="H95" s="23"/>
      <c r="I95" s="23"/>
      <c r="J95" s="23"/>
      <c r="K95" s="23"/>
      <c r="L95" s="23"/>
      <c r="M95" s="23"/>
      <c r="N95" s="23"/>
      <c r="O95" s="23"/>
      <c r="P95" s="4"/>
      <c r="Q95" s="23"/>
      <c r="R95" s="23"/>
      <c r="S95" s="23"/>
      <c r="T95" s="4"/>
      <c r="U95" s="4"/>
      <c r="V95" s="4"/>
    </row>
    <row r="96" spans="1:22" x14ac:dyDescent="0.2">
      <c r="A96" s="774"/>
      <c r="B96" s="4"/>
      <c r="C96" s="23"/>
      <c r="D96" s="23"/>
      <c r="E96" s="23"/>
      <c r="F96" s="23"/>
      <c r="G96" s="23"/>
      <c r="H96" s="23"/>
      <c r="I96" s="23"/>
      <c r="J96" s="23"/>
      <c r="K96" s="23"/>
      <c r="L96" s="23"/>
      <c r="M96" s="23"/>
      <c r="N96" s="23"/>
      <c r="O96" s="23"/>
      <c r="P96" s="4"/>
      <c r="Q96" s="23"/>
      <c r="R96" s="23"/>
      <c r="S96" s="23"/>
      <c r="T96" s="4"/>
      <c r="U96" s="4"/>
      <c r="V96" s="4"/>
    </row>
    <row r="97" spans="1:22" x14ac:dyDescent="0.2">
      <c r="A97" s="774"/>
      <c r="B97" s="4"/>
      <c r="C97" s="23"/>
      <c r="D97" s="23"/>
      <c r="E97" s="23"/>
      <c r="F97" s="23"/>
      <c r="G97" s="23"/>
      <c r="H97" s="23"/>
      <c r="I97" s="23"/>
      <c r="J97" s="23"/>
      <c r="K97" s="23"/>
      <c r="L97" s="23"/>
      <c r="M97" s="23"/>
      <c r="N97" s="23"/>
      <c r="O97" s="23"/>
      <c r="P97" s="4"/>
      <c r="Q97" s="23"/>
      <c r="R97" s="23"/>
      <c r="S97" s="23"/>
      <c r="T97" s="4"/>
      <c r="U97" s="4"/>
      <c r="V97" s="4"/>
    </row>
    <row r="98" spans="1:22" x14ac:dyDescent="0.2">
      <c r="A98" s="774"/>
      <c r="B98" s="4"/>
      <c r="C98" s="23"/>
      <c r="D98" s="23"/>
      <c r="E98" s="23"/>
      <c r="F98" s="23"/>
      <c r="G98" s="23"/>
      <c r="H98" s="23"/>
      <c r="I98" s="23"/>
      <c r="J98" s="23"/>
      <c r="K98" s="23"/>
      <c r="L98" s="23"/>
      <c r="M98" s="23"/>
      <c r="N98" s="23"/>
      <c r="O98" s="23"/>
      <c r="P98" s="4"/>
      <c r="Q98" s="23"/>
      <c r="R98" s="23"/>
      <c r="S98" s="23"/>
      <c r="T98" s="4"/>
      <c r="U98" s="4"/>
      <c r="V98" s="4"/>
    </row>
    <row r="99" spans="1:22" x14ac:dyDescent="0.2">
      <c r="A99" s="774"/>
      <c r="B99" s="4"/>
      <c r="C99" s="23"/>
      <c r="D99" s="23"/>
      <c r="E99" s="23"/>
      <c r="F99" s="23"/>
      <c r="G99" s="23"/>
      <c r="H99" s="23"/>
      <c r="I99" s="23"/>
      <c r="J99" s="23"/>
      <c r="K99" s="23"/>
      <c r="L99" s="23"/>
      <c r="M99" s="23"/>
      <c r="N99" s="23"/>
      <c r="O99" s="23"/>
      <c r="P99" s="4"/>
      <c r="Q99" s="23"/>
      <c r="R99" s="23"/>
      <c r="S99" s="23"/>
      <c r="T99" s="4"/>
      <c r="U99" s="4"/>
      <c r="V99" s="4"/>
    </row>
    <row r="100" spans="1:22" x14ac:dyDescent="0.2">
      <c r="A100" s="774"/>
      <c r="B100" s="4"/>
      <c r="C100" s="23"/>
      <c r="D100" s="23"/>
      <c r="E100" s="23"/>
      <c r="F100" s="23"/>
      <c r="G100" s="23"/>
      <c r="H100" s="23"/>
      <c r="I100" s="23"/>
      <c r="J100" s="23"/>
      <c r="K100" s="23"/>
      <c r="L100" s="23"/>
      <c r="M100" s="23"/>
      <c r="N100" s="23"/>
      <c r="O100" s="23"/>
      <c r="P100" s="4"/>
      <c r="Q100" s="23"/>
      <c r="R100" s="23"/>
      <c r="S100" s="23"/>
      <c r="T100" s="4"/>
      <c r="U100" s="4"/>
      <c r="V100" s="4"/>
    </row>
    <row r="101" spans="1:22" x14ac:dyDescent="0.2">
      <c r="A101" s="774"/>
      <c r="B101" s="4"/>
      <c r="C101" s="23"/>
      <c r="D101" s="23"/>
      <c r="E101" s="23"/>
      <c r="F101" s="23"/>
      <c r="G101" s="23"/>
      <c r="H101" s="23"/>
      <c r="I101" s="23"/>
      <c r="J101" s="23"/>
      <c r="K101" s="23"/>
      <c r="L101" s="23"/>
      <c r="M101" s="23"/>
      <c r="N101" s="23"/>
      <c r="O101" s="23"/>
      <c r="P101" s="4"/>
      <c r="Q101" s="23"/>
      <c r="R101" s="23"/>
      <c r="S101" s="23"/>
      <c r="T101" s="4"/>
      <c r="U101" s="4"/>
      <c r="V101" s="4"/>
    </row>
    <row r="102" spans="1:22" x14ac:dyDescent="0.2">
      <c r="A102" s="774"/>
      <c r="B102" s="4"/>
      <c r="C102" s="23"/>
      <c r="D102" s="23"/>
      <c r="E102" s="23"/>
      <c r="F102" s="23"/>
      <c r="G102" s="23"/>
      <c r="H102" s="23"/>
      <c r="I102" s="23"/>
      <c r="J102" s="23"/>
      <c r="K102" s="23"/>
      <c r="L102" s="23"/>
      <c r="M102" s="23"/>
      <c r="N102" s="23"/>
      <c r="O102" s="23"/>
      <c r="P102" s="4"/>
      <c r="Q102" s="23"/>
      <c r="R102" s="23"/>
      <c r="S102" s="23"/>
      <c r="T102" s="4"/>
      <c r="U102" s="4"/>
      <c r="V102" s="4"/>
    </row>
    <row r="103" spans="1:22" x14ac:dyDescent="0.2">
      <c r="A103" s="774"/>
      <c r="B103" s="4"/>
      <c r="C103" s="23"/>
      <c r="D103" s="23"/>
      <c r="E103" s="23"/>
      <c r="F103" s="23"/>
      <c r="G103" s="23"/>
      <c r="H103" s="23"/>
      <c r="I103" s="23"/>
      <c r="J103" s="23"/>
      <c r="K103" s="23"/>
      <c r="L103" s="23"/>
      <c r="M103" s="23"/>
      <c r="N103" s="23"/>
      <c r="O103" s="23"/>
      <c r="P103" s="4"/>
      <c r="Q103" s="23"/>
      <c r="R103" s="23"/>
      <c r="S103" s="23"/>
      <c r="T103" s="4"/>
      <c r="U103" s="4"/>
      <c r="V103" s="4"/>
    </row>
    <row r="104" spans="1:22" x14ac:dyDescent="0.2">
      <c r="A104" s="774"/>
      <c r="B104" s="4"/>
      <c r="C104" s="23"/>
      <c r="D104" s="23"/>
      <c r="E104" s="23"/>
      <c r="F104" s="23"/>
      <c r="G104" s="23"/>
      <c r="H104" s="23"/>
      <c r="I104" s="23"/>
      <c r="J104" s="23"/>
      <c r="K104" s="23"/>
      <c r="L104" s="23"/>
      <c r="M104" s="23"/>
      <c r="N104" s="23"/>
      <c r="O104" s="23"/>
      <c r="P104" s="4"/>
      <c r="Q104" s="23"/>
      <c r="R104" s="23"/>
      <c r="S104" s="23"/>
      <c r="T104" s="4"/>
      <c r="U104" s="4"/>
      <c r="V104" s="4"/>
    </row>
    <row r="105" spans="1:22" x14ac:dyDescent="0.2">
      <c r="A105" s="774"/>
      <c r="B105" s="4"/>
      <c r="C105" s="23"/>
      <c r="D105" s="23"/>
      <c r="E105" s="23"/>
      <c r="F105" s="23"/>
      <c r="G105" s="23"/>
      <c r="H105" s="23"/>
      <c r="I105" s="23"/>
      <c r="J105" s="23"/>
      <c r="K105" s="23"/>
      <c r="L105" s="23"/>
      <c r="M105" s="23"/>
      <c r="N105" s="23"/>
      <c r="O105" s="23"/>
      <c r="P105" s="4"/>
      <c r="Q105" s="23"/>
      <c r="R105" s="23"/>
      <c r="S105" s="23"/>
      <c r="T105" s="4"/>
      <c r="U105" s="4"/>
      <c r="V105" s="4"/>
    </row>
    <row r="106" spans="1:22" x14ac:dyDescent="0.2">
      <c r="A106" s="774"/>
      <c r="B106" s="4"/>
      <c r="C106" s="23"/>
      <c r="D106" s="23"/>
      <c r="E106" s="23"/>
      <c r="F106" s="23"/>
      <c r="G106" s="23"/>
      <c r="H106" s="23"/>
      <c r="I106" s="23"/>
      <c r="J106" s="23"/>
      <c r="K106" s="23"/>
      <c r="L106" s="23"/>
      <c r="M106" s="23"/>
      <c r="N106" s="23"/>
      <c r="O106" s="23"/>
      <c r="P106" s="4"/>
      <c r="Q106" s="23"/>
      <c r="R106" s="23"/>
      <c r="S106" s="23"/>
      <c r="T106" s="4"/>
      <c r="U106" s="4"/>
      <c r="V106" s="4"/>
    </row>
    <row r="107" spans="1:22" x14ac:dyDescent="0.2">
      <c r="A107" s="774"/>
      <c r="B107" s="4"/>
      <c r="C107" s="23"/>
      <c r="D107" s="23"/>
      <c r="E107" s="23"/>
      <c r="F107" s="23"/>
      <c r="G107" s="23"/>
      <c r="H107" s="23"/>
      <c r="I107" s="23"/>
      <c r="J107" s="23"/>
      <c r="K107" s="23"/>
      <c r="L107" s="23"/>
      <c r="M107" s="23"/>
      <c r="N107" s="23"/>
      <c r="O107" s="23"/>
      <c r="P107" s="4"/>
      <c r="Q107" s="23"/>
      <c r="R107" s="23"/>
      <c r="S107" s="23"/>
      <c r="T107" s="4"/>
      <c r="U107" s="4"/>
      <c r="V107" s="4"/>
    </row>
    <row r="108" spans="1:22" x14ac:dyDescent="0.2">
      <c r="A108" s="774"/>
      <c r="B108" s="4"/>
      <c r="C108" s="23"/>
      <c r="D108" s="23"/>
      <c r="E108" s="23"/>
      <c r="F108" s="23"/>
      <c r="G108" s="23"/>
      <c r="H108" s="23"/>
      <c r="I108" s="23"/>
      <c r="J108" s="23"/>
      <c r="K108" s="23"/>
      <c r="L108" s="23"/>
      <c r="M108" s="23"/>
      <c r="N108" s="23"/>
      <c r="O108" s="23"/>
      <c r="P108" s="4"/>
      <c r="Q108" s="23"/>
      <c r="R108" s="23"/>
      <c r="S108" s="23"/>
      <c r="T108" s="4"/>
      <c r="U108" s="4"/>
      <c r="V108" s="4"/>
    </row>
    <row r="109" spans="1:22" x14ac:dyDescent="0.2">
      <c r="A109" s="774"/>
      <c r="B109" s="4"/>
      <c r="C109" s="23"/>
      <c r="D109" s="23"/>
      <c r="E109" s="23"/>
      <c r="F109" s="23"/>
      <c r="G109" s="23"/>
      <c r="H109" s="23"/>
      <c r="I109" s="23"/>
      <c r="J109" s="23"/>
      <c r="K109" s="23"/>
      <c r="L109" s="23"/>
      <c r="M109" s="23"/>
      <c r="N109" s="23"/>
      <c r="O109" s="23"/>
      <c r="P109" s="4"/>
      <c r="Q109" s="23"/>
      <c r="R109" s="23"/>
      <c r="S109" s="23"/>
      <c r="T109" s="4"/>
      <c r="U109" s="4"/>
      <c r="V109" s="4"/>
    </row>
    <row r="110" spans="1:22" x14ac:dyDescent="0.2">
      <c r="A110" s="774"/>
      <c r="B110" s="4"/>
      <c r="C110" s="23"/>
      <c r="D110" s="23"/>
      <c r="E110" s="23"/>
      <c r="F110" s="23"/>
      <c r="G110" s="23"/>
      <c r="H110" s="23"/>
      <c r="I110" s="23"/>
      <c r="J110" s="23"/>
      <c r="K110" s="23"/>
      <c r="L110" s="23"/>
      <c r="M110" s="23"/>
      <c r="N110" s="23"/>
      <c r="O110" s="23"/>
      <c r="P110" s="4"/>
      <c r="Q110" s="23"/>
      <c r="R110" s="23"/>
      <c r="S110" s="23"/>
      <c r="T110" s="4"/>
      <c r="U110" s="4"/>
      <c r="V110" s="4"/>
    </row>
    <row r="111" spans="1:22" x14ac:dyDescent="0.2">
      <c r="A111" s="774"/>
      <c r="B111" s="4"/>
      <c r="C111" s="23"/>
      <c r="D111" s="23"/>
      <c r="E111" s="23"/>
      <c r="F111" s="23"/>
      <c r="G111" s="23"/>
      <c r="H111" s="23"/>
      <c r="I111" s="23"/>
      <c r="J111" s="23"/>
      <c r="K111" s="23"/>
      <c r="L111" s="23"/>
      <c r="M111" s="23"/>
      <c r="N111" s="23"/>
      <c r="O111" s="23"/>
      <c r="P111" s="4"/>
      <c r="Q111" s="23"/>
      <c r="R111" s="23"/>
      <c r="S111" s="23"/>
      <c r="T111" s="4"/>
      <c r="U111" s="4"/>
      <c r="V111" s="4"/>
    </row>
    <row r="112" spans="1:22" x14ac:dyDescent="0.2">
      <c r="A112" s="774"/>
      <c r="B112" s="4"/>
      <c r="C112" s="23"/>
      <c r="D112" s="23"/>
      <c r="E112" s="23"/>
      <c r="F112" s="23"/>
      <c r="G112" s="23"/>
      <c r="H112" s="23"/>
      <c r="I112" s="23"/>
      <c r="J112" s="23"/>
      <c r="K112" s="23"/>
      <c r="L112" s="23"/>
      <c r="M112" s="23"/>
      <c r="N112" s="23"/>
      <c r="O112" s="23"/>
      <c r="P112" s="4"/>
      <c r="Q112" s="23"/>
      <c r="R112" s="23"/>
      <c r="S112" s="23"/>
      <c r="T112" s="4"/>
      <c r="U112" s="4"/>
      <c r="V112" s="4"/>
    </row>
    <row r="113" spans="1:22" x14ac:dyDescent="0.2">
      <c r="A113" s="774"/>
      <c r="B113" s="4"/>
      <c r="C113" s="23"/>
      <c r="D113" s="23"/>
      <c r="E113" s="23"/>
      <c r="F113" s="23"/>
      <c r="G113" s="23"/>
      <c r="H113" s="23"/>
      <c r="I113" s="23"/>
      <c r="J113" s="23"/>
      <c r="K113" s="23"/>
      <c r="L113" s="23"/>
      <c r="M113" s="23"/>
      <c r="N113" s="23"/>
      <c r="O113" s="23"/>
      <c r="P113" s="4"/>
      <c r="Q113" s="23"/>
      <c r="R113" s="23"/>
      <c r="S113" s="23"/>
      <c r="T113" s="4"/>
      <c r="U113" s="4"/>
      <c r="V113" s="4"/>
    </row>
    <row r="114" spans="1:22" x14ac:dyDescent="0.2">
      <c r="A114" s="774"/>
      <c r="B114" s="4"/>
      <c r="C114" s="23"/>
      <c r="D114" s="23"/>
      <c r="E114" s="23"/>
      <c r="F114" s="23"/>
      <c r="G114" s="23"/>
      <c r="H114" s="23"/>
      <c r="I114" s="23"/>
      <c r="J114" s="23"/>
      <c r="K114" s="23"/>
      <c r="L114" s="23"/>
      <c r="M114" s="23"/>
      <c r="N114" s="23"/>
      <c r="O114" s="23"/>
      <c r="P114" s="4"/>
      <c r="Q114" s="23"/>
      <c r="R114" s="23"/>
      <c r="S114" s="23"/>
      <c r="T114" s="4"/>
      <c r="U114" s="4"/>
      <c r="V114" s="4"/>
    </row>
    <row r="115" spans="1:22" x14ac:dyDescent="0.2">
      <c r="A115" s="774"/>
      <c r="B115" s="4"/>
      <c r="C115" s="23"/>
      <c r="D115" s="23"/>
      <c r="E115" s="23"/>
      <c r="F115" s="23"/>
      <c r="G115" s="23"/>
      <c r="H115" s="23"/>
      <c r="I115" s="23"/>
      <c r="J115" s="23"/>
      <c r="K115" s="23"/>
      <c r="L115" s="23"/>
      <c r="M115" s="23"/>
      <c r="N115" s="23"/>
      <c r="O115" s="23"/>
      <c r="P115" s="4"/>
      <c r="Q115" s="23"/>
      <c r="R115" s="23"/>
      <c r="S115" s="23"/>
      <c r="T115" s="4"/>
      <c r="U115" s="4"/>
      <c r="V115" s="4"/>
    </row>
    <row r="116" spans="1:22" x14ac:dyDescent="0.2">
      <c r="A116" s="774"/>
      <c r="B116" s="4"/>
      <c r="C116" s="23"/>
      <c r="D116" s="23"/>
      <c r="E116" s="23"/>
      <c r="F116" s="23"/>
      <c r="G116" s="23"/>
      <c r="H116" s="23"/>
      <c r="I116" s="23"/>
      <c r="J116" s="23"/>
      <c r="K116" s="23"/>
      <c r="L116" s="23"/>
      <c r="M116" s="23"/>
      <c r="N116" s="23"/>
      <c r="O116" s="23"/>
      <c r="P116" s="4"/>
      <c r="Q116" s="23"/>
      <c r="R116" s="23"/>
      <c r="S116" s="23"/>
      <c r="T116" s="4"/>
      <c r="U116" s="4"/>
      <c r="V116" s="4"/>
    </row>
    <row r="117" spans="1:22" x14ac:dyDescent="0.2">
      <c r="A117" s="774"/>
      <c r="B117" s="4"/>
      <c r="C117" s="23"/>
      <c r="D117" s="23"/>
      <c r="E117" s="23"/>
      <c r="F117" s="23"/>
      <c r="G117" s="23"/>
      <c r="H117" s="23"/>
      <c r="I117" s="23"/>
      <c r="J117" s="23"/>
      <c r="K117" s="23"/>
      <c r="L117" s="23"/>
      <c r="M117" s="23"/>
      <c r="N117" s="23"/>
      <c r="O117" s="23"/>
      <c r="P117" s="4"/>
      <c r="Q117" s="23"/>
      <c r="R117" s="23"/>
      <c r="S117" s="23"/>
      <c r="T117" s="4"/>
      <c r="U117" s="4"/>
      <c r="V117" s="4"/>
    </row>
    <row r="118" spans="1:22" x14ac:dyDescent="0.2">
      <c r="A118" s="774"/>
      <c r="B118" s="4"/>
      <c r="C118" s="23"/>
      <c r="D118" s="23"/>
      <c r="E118" s="23"/>
      <c r="F118" s="23"/>
      <c r="G118" s="23"/>
      <c r="H118" s="23"/>
      <c r="I118" s="23"/>
      <c r="J118" s="23"/>
      <c r="K118" s="23"/>
      <c r="L118" s="23"/>
      <c r="M118" s="23"/>
      <c r="N118" s="23"/>
      <c r="O118" s="23"/>
      <c r="P118" s="4"/>
      <c r="Q118" s="23"/>
      <c r="R118" s="23"/>
      <c r="S118" s="23"/>
      <c r="T118" s="4"/>
      <c r="U118" s="4"/>
      <c r="V118" s="4"/>
    </row>
    <row r="119" spans="1:22" x14ac:dyDescent="0.2">
      <c r="A119" s="774"/>
      <c r="B119" s="4"/>
      <c r="C119" s="23"/>
      <c r="D119" s="23"/>
      <c r="E119" s="23"/>
      <c r="F119" s="23"/>
      <c r="G119" s="23"/>
      <c r="H119" s="23"/>
      <c r="I119" s="23"/>
      <c r="J119" s="23"/>
      <c r="K119" s="23"/>
      <c r="L119" s="23"/>
      <c r="M119" s="23"/>
      <c r="N119" s="23"/>
      <c r="O119" s="23"/>
      <c r="P119" s="4"/>
      <c r="Q119" s="23"/>
      <c r="R119" s="23"/>
      <c r="S119" s="23"/>
      <c r="T119" s="4"/>
      <c r="U119" s="4"/>
      <c r="V119" s="4"/>
    </row>
    <row r="120" spans="1:22" x14ac:dyDescent="0.2">
      <c r="A120" s="774"/>
      <c r="B120" s="4"/>
      <c r="C120" s="23"/>
      <c r="D120" s="23"/>
      <c r="E120" s="23"/>
      <c r="F120" s="23"/>
      <c r="G120" s="23"/>
      <c r="H120" s="23"/>
      <c r="I120" s="23"/>
      <c r="J120" s="23"/>
      <c r="K120" s="23"/>
      <c r="L120" s="23"/>
      <c r="M120" s="23"/>
      <c r="N120" s="23"/>
      <c r="O120" s="23"/>
      <c r="P120" s="4"/>
      <c r="Q120" s="23"/>
      <c r="R120" s="23"/>
      <c r="S120" s="23"/>
      <c r="T120" s="4"/>
      <c r="U120" s="4"/>
      <c r="V120" s="4"/>
    </row>
    <row r="121" spans="1:22" x14ac:dyDescent="0.2">
      <c r="A121" s="774"/>
      <c r="B121" s="4"/>
      <c r="C121" s="23"/>
      <c r="D121" s="23"/>
      <c r="E121" s="23"/>
      <c r="F121" s="23"/>
      <c r="G121" s="23"/>
      <c r="H121" s="23"/>
      <c r="I121" s="23"/>
      <c r="J121" s="23"/>
      <c r="K121" s="23"/>
      <c r="L121" s="23"/>
      <c r="M121" s="23"/>
      <c r="N121" s="23"/>
      <c r="O121" s="23"/>
      <c r="P121" s="4"/>
      <c r="Q121" s="23"/>
      <c r="R121" s="23"/>
      <c r="S121" s="23"/>
      <c r="T121" s="4"/>
      <c r="U121" s="4"/>
      <c r="V121" s="4"/>
    </row>
    <row r="122" spans="1:22" x14ac:dyDescent="0.2">
      <c r="A122" s="774"/>
      <c r="B122" s="4"/>
      <c r="C122" s="23"/>
      <c r="D122" s="23"/>
      <c r="E122" s="23"/>
      <c r="F122" s="23"/>
      <c r="G122" s="23"/>
      <c r="H122" s="23"/>
      <c r="I122" s="23"/>
      <c r="J122" s="23"/>
      <c r="K122" s="23"/>
      <c r="L122" s="23"/>
      <c r="M122" s="23"/>
      <c r="N122" s="23"/>
      <c r="O122" s="23"/>
      <c r="P122" s="4"/>
      <c r="Q122" s="23"/>
      <c r="R122" s="23"/>
      <c r="S122" s="23"/>
      <c r="T122" s="4"/>
      <c r="U122" s="4"/>
      <c r="V122" s="4"/>
    </row>
    <row r="123" spans="1:22" x14ac:dyDescent="0.2">
      <c r="A123" s="774"/>
      <c r="B123" s="4"/>
      <c r="C123" s="23"/>
      <c r="D123" s="23"/>
      <c r="E123" s="23"/>
      <c r="F123" s="23"/>
      <c r="G123" s="23"/>
      <c r="H123" s="23"/>
      <c r="I123" s="23"/>
      <c r="J123" s="23"/>
      <c r="K123" s="23"/>
      <c r="L123" s="23"/>
      <c r="M123" s="23"/>
      <c r="N123" s="23"/>
      <c r="O123" s="23"/>
      <c r="P123" s="4"/>
      <c r="Q123" s="23"/>
      <c r="R123" s="23"/>
      <c r="S123" s="23"/>
      <c r="T123" s="4"/>
      <c r="U123" s="4"/>
      <c r="V123" s="4"/>
    </row>
    <row r="124" spans="1:22" x14ac:dyDescent="0.2">
      <c r="C124" s="212"/>
      <c r="D124" s="212"/>
      <c r="E124" s="212"/>
      <c r="F124" s="212"/>
      <c r="G124" s="212"/>
      <c r="H124" s="212"/>
      <c r="I124" s="212"/>
      <c r="J124" s="212"/>
      <c r="K124" s="212"/>
      <c r="L124" s="212"/>
      <c r="M124" s="212"/>
      <c r="N124" s="212"/>
      <c r="O124" s="212"/>
    </row>
    <row r="125" spans="1:22" x14ac:dyDescent="0.2">
      <c r="C125" s="212"/>
      <c r="D125" s="212"/>
      <c r="E125" s="212"/>
      <c r="F125" s="212"/>
      <c r="G125" s="212"/>
      <c r="H125" s="212"/>
      <c r="I125" s="212"/>
      <c r="J125" s="212"/>
      <c r="K125" s="212"/>
      <c r="L125" s="212"/>
      <c r="M125" s="212"/>
      <c r="N125" s="212"/>
      <c r="O125" s="212"/>
    </row>
    <row r="126" spans="1:22" x14ac:dyDescent="0.2">
      <c r="C126" s="212"/>
      <c r="D126" s="212"/>
      <c r="E126" s="212"/>
      <c r="F126" s="212"/>
      <c r="G126" s="212"/>
      <c r="H126" s="212"/>
      <c r="I126" s="212"/>
      <c r="J126" s="212"/>
      <c r="K126" s="212"/>
      <c r="L126" s="212"/>
      <c r="M126" s="212"/>
      <c r="N126" s="212"/>
      <c r="O126" s="212"/>
    </row>
    <row r="127" spans="1:22" x14ac:dyDescent="0.2">
      <c r="C127" s="212"/>
      <c r="D127" s="212"/>
      <c r="E127" s="212"/>
      <c r="F127" s="212"/>
      <c r="G127" s="212"/>
      <c r="H127" s="212"/>
      <c r="I127" s="212"/>
      <c r="J127" s="212"/>
      <c r="K127" s="212"/>
      <c r="L127" s="212"/>
      <c r="M127" s="212"/>
      <c r="N127" s="212"/>
      <c r="O127" s="212"/>
    </row>
    <row r="128" spans="1:22" x14ac:dyDescent="0.2">
      <c r="C128" s="212"/>
      <c r="D128" s="212"/>
      <c r="E128" s="212"/>
      <c r="F128" s="212"/>
      <c r="G128" s="212"/>
      <c r="H128" s="212"/>
      <c r="I128" s="212"/>
      <c r="J128" s="212"/>
      <c r="K128" s="212"/>
      <c r="L128" s="212"/>
      <c r="M128" s="212"/>
      <c r="N128" s="212"/>
      <c r="O128" s="212"/>
    </row>
    <row r="129" spans="3:3" x14ac:dyDescent="0.2">
      <c r="C129" s="212"/>
    </row>
    <row r="130" spans="3:3" x14ac:dyDescent="0.2">
      <c r="C130" s="212"/>
    </row>
    <row r="131" spans="3:3" x14ac:dyDescent="0.2">
      <c r="C131" s="212"/>
    </row>
    <row r="132" spans="3:3" x14ac:dyDescent="0.2">
      <c r="C132" s="212"/>
    </row>
    <row r="133" spans="3:3" x14ac:dyDescent="0.2">
      <c r="C133" s="212"/>
    </row>
    <row r="134" spans="3:3" x14ac:dyDescent="0.2">
      <c r="C134" s="212"/>
    </row>
    <row r="135" spans="3:3" x14ac:dyDescent="0.2">
      <c r="C135" s="212"/>
    </row>
    <row r="136" spans="3:3" x14ac:dyDescent="0.2">
      <c r="C136" s="212"/>
    </row>
    <row r="137" spans="3:3" x14ac:dyDescent="0.2">
      <c r="C137" s="212"/>
    </row>
    <row r="138" spans="3:3" x14ac:dyDescent="0.2">
      <c r="C138" s="212"/>
    </row>
    <row r="139" spans="3:3" x14ac:dyDescent="0.2">
      <c r="C139" s="212"/>
    </row>
    <row r="140" spans="3:3" x14ac:dyDescent="0.2">
      <c r="C140" s="212"/>
    </row>
    <row r="141" spans="3:3" x14ac:dyDescent="0.2">
      <c r="C141" s="212"/>
    </row>
    <row r="142" spans="3:3" x14ac:dyDescent="0.2">
      <c r="C142" s="212"/>
    </row>
    <row r="143" spans="3:3" x14ac:dyDescent="0.2">
      <c r="C143" s="212"/>
    </row>
    <row r="144" spans="3:3" x14ac:dyDescent="0.2">
      <c r="C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row r="160" spans="3:3" x14ac:dyDescent="0.2">
      <c r="C160" s="212"/>
    </row>
    <row r="161" spans="3:3" x14ac:dyDescent="0.2">
      <c r="C161" s="212"/>
    </row>
    <row r="162" spans="3:3" x14ac:dyDescent="0.2">
      <c r="C162" s="212"/>
    </row>
    <row r="163" spans="3:3" x14ac:dyDescent="0.2">
      <c r="C163" s="212"/>
    </row>
    <row r="164" spans="3:3" x14ac:dyDescent="0.2">
      <c r="C164" s="212"/>
    </row>
    <row r="165" spans="3:3" x14ac:dyDescent="0.2">
      <c r="C165" s="212"/>
    </row>
    <row r="166" spans="3:3" x14ac:dyDescent="0.2">
      <c r="C166" s="212"/>
    </row>
    <row r="167" spans="3:3" x14ac:dyDescent="0.2">
      <c r="C167" s="212"/>
    </row>
    <row r="168" spans="3:3" x14ac:dyDescent="0.2">
      <c r="C168" s="212"/>
    </row>
    <row r="169" spans="3:3" x14ac:dyDescent="0.2">
      <c r="C169" s="212"/>
    </row>
    <row r="170" spans="3:3" x14ac:dyDescent="0.2">
      <c r="C170" s="212"/>
    </row>
    <row r="171" spans="3:3" x14ac:dyDescent="0.2">
      <c r="C171" s="212"/>
    </row>
    <row r="172" spans="3:3" x14ac:dyDescent="0.2">
      <c r="C172" s="212"/>
    </row>
    <row r="173" spans="3:3" x14ac:dyDescent="0.2">
      <c r="C173" s="212"/>
    </row>
    <row r="174" spans="3:3" x14ac:dyDescent="0.2">
      <c r="C174" s="212"/>
    </row>
    <row r="175" spans="3:3" x14ac:dyDescent="0.2">
      <c r="C175" s="212"/>
    </row>
    <row r="176" spans="3:3" x14ac:dyDescent="0.2">
      <c r="C176" s="212"/>
    </row>
    <row r="177" spans="3:3" x14ac:dyDescent="0.2">
      <c r="C177" s="212"/>
    </row>
    <row r="178" spans="3:3" x14ac:dyDescent="0.2">
      <c r="C178" s="212"/>
    </row>
  </sheetData>
  <phoneticPr fontId="0" type="noConversion"/>
  <hyperlinks>
    <hyperlink ref="A1" location="'Working Budget with funding det'!A1" display="Main " xr:uid="{00000000-0004-0000-2600-000000000000}"/>
    <hyperlink ref="B1" location="'Table of Contents'!A1" display="TOC" xr:uid="{00000000-0004-0000-2600-000001000000}"/>
  </hyperlinks>
  <pageMargins left="0.75" right="0.75" top="1" bottom="1" header="0.5" footer="0.5"/>
  <pageSetup scale="92" orientation="landscape" horizontalDpi="300" verticalDpi="300" r:id="rId1"/>
  <headerFooter alignWithMargins="0">
    <oddFooter>&amp;L&amp;D     &amp;T&amp;C&amp;F&amp;R&amp;A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pageSetUpPr fitToPage="1"/>
  </sheetPr>
  <dimension ref="A1:T178"/>
  <sheetViews>
    <sheetView zoomScaleNormal="100" workbookViewId="0">
      <selection activeCell="P15" sqref="P15"/>
    </sheetView>
  </sheetViews>
  <sheetFormatPr defaultRowHeight="12.75" x14ac:dyDescent="0.2"/>
  <cols>
    <col min="1" max="1" width="8.83203125" style="783"/>
    <col min="2" max="2" width="36.6640625" customWidth="1"/>
    <col min="3" max="3" width="14.5" style="1" hidden="1" customWidth="1"/>
    <col min="4" max="12" width="14.5" style="106" hidden="1" customWidth="1"/>
    <col min="13" max="15" width="14.5" style="106" customWidth="1"/>
    <col min="16" max="16" width="14.5" customWidth="1"/>
    <col min="17" max="20" width="14.5" style="1" customWidth="1"/>
  </cols>
  <sheetData>
    <row r="1" spans="1:20" x14ac:dyDescent="0.2">
      <c r="A1" s="772" t="s">
        <v>847</v>
      </c>
      <c r="B1" s="308" t="s">
        <v>197</v>
      </c>
      <c r="D1" s="212"/>
      <c r="E1" s="212"/>
      <c r="F1" s="212"/>
      <c r="G1" s="212"/>
      <c r="H1" s="212"/>
      <c r="I1" s="212"/>
      <c r="J1" s="212"/>
      <c r="K1" s="212"/>
      <c r="L1" s="212"/>
      <c r="M1" s="212"/>
      <c r="N1" s="212"/>
      <c r="O1" s="212"/>
      <c r="S1"/>
      <c r="T1"/>
    </row>
    <row r="2" spans="1:20" ht="15" x14ac:dyDescent="0.25">
      <c r="A2" s="773" t="s">
        <v>1286</v>
      </c>
      <c r="B2" s="43"/>
      <c r="D2" s="212"/>
      <c r="E2" s="126"/>
      <c r="F2" s="212"/>
      <c r="G2" s="212"/>
      <c r="H2" s="212"/>
      <c r="I2" s="126" t="s">
        <v>816</v>
      </c>
      <c r="J2" s="126"/>
      <c r="K2" s="126"/>
      <c r="L2" s="126"/>
      <c r="M2" s="126"/>
      <c r="N2" s="126"/>
      <c r="O2" s="126"/>
      <c r="P2" s="58" t="s">
        <v>651</v>
      </c>
      <c r="R2" s="212"/>
      <c r="S2" s="44" t="s">
        <v>1391</v>
      </c>
      <c r="T2" s="44"/>
    </row>
    <row r="3" spans="1:20" ht="13.5" thickBot="1" x14ac:dyDescent="0.25">
      <c r="A3" s="774"/>
      <c r="B3" s="4"/>
      <c r="C3" s="23"/>
      <c r="D3" s="23"/>
      <c r="E3" s="23"/>
      <c r="F3" s="23"/>
      <c r="G3" s="23"/>
      <c r="H3" s="23"/>
      <c r="I3" s="23"/>
      <c r="J3" s="23"/>
      <c r="K3" s="23"/>
      <c r="L3" s="23"/>
      <c r="M3" s="23"/>
      <c r="N3" s="23"/>
      <c r="O3" s="23"/>
      <c r="P3" s="4"/>
      <c r="Q3" s="23"/>
      <c r="R3" s="23"/>
      <c r="S3" s="4"/>
      <c r="T3" s="4"/>
    </row>
    <row r="4" spans="1:20"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c r="T4" s="83"/>
    </row>
    <row r="5" spans="1:20" x14ac:dyDescent="0.2">
      <c r="A5" s="776"/>
      <c r="B5" s="202"/>
      <c r="C5" s="113"/>
      <c r="D5" s="82"/>
      <c r="E5" s="105"/>
      <c r="F5" s="82"/>
      <c r="G5" s="82"/>
      <c r="H5" s="105"/>
      <c r="I5" s="247"/>
      <c r="J5" s="247"/>
      <c r="K5" s="247"/>
      <c r="L5" s="247"/>
      <c r="M5" s="247"/>
      <c r="N5" s="247"/>
      <c r="O5" s="247"/>
      <c r="P5" s="105" t="s">
        <v>819</v>
      </c>
      <c r="Q5" s="83" t="s">
        <v>820</v>
      </c>
      <c r="R5" s="83" t="s">
        <v>1392</v>
      </c>
      <c r="S5" s="196" t="s">
        <v>1393</v>
      </c>
      <c r="T5" s="1055"/>
    </row>
    <row r="6" spans="1:20" x14ac:dyDescent="0.2">
      <c r="A6" s="776"/>
      <c r="B6" s="202"/>
      <c r="C6" s="113"/>
      <c r="D6" s="113"/>
      <c r="E6" s="113"/>
      <c r="F6" s="113"/>
      <c r="G6" s="113"/>
      <c r="H6" s="113"/>
      <c r="I6" s="83"/>
      <c r="J6" s="83"/>
      <c r="K6" s="83"/>
      <c r="L6" s="83"/>
      <c r="M6" s="83"/>
      <c r="N6" s="83"/>
      <c r="O6" s="83"/>
      <c r="P6" s="113"/>
      <c r="Q6" s="83" t="s">
        <v>823</v>
      </c>
      <c r="R6" s="83"/>
      <c r="S6" s="45" t="s">
        <v>1394</v>
      </c>
      <c r="T6" s="83"/>
    </row>
    <row r="7" spans="1:20" ht="13.5" thickBot="1" x14ac:dyDescent="0.25">
      <c r="A7" s="777"/>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c r="T7" s="45"/>
    </row>
    <row r="8" spans="1:20" ht="13.5" thickTop="1" x14ac:dyDescent="0.2">
      <c r="A8" s="796"/>
      <c r="B8" s="203"/>
      <c r="C8" s="118"/>
      <c r="D8" s="18"/>
      <c r="E8" s="18"/>
      <c r="F8" s="18"/>
      <c r="G8" s="18"/>
      <c r="H8" s="18"/>
      <c r="I8" s="18"/>
      <c r="J8" s="18"/>
      <c r="K8" s="19"/>
      <c r="L8" s="19"/>
      <c r="M8" s="19"/>
      <c r="N8" s="19"/>
      <c r="O8" s="19"/>
      <c r="P8" s="18"/>
      <c r="Q8" s="19"/>
      <c r="R8" s="19"/>
      <c r="S8" s="19"/>
      <c r="T8" s="25"/>
    </row>
    <row r="9" spans="1:20" x14ac:dyDescent="0.2">
      <c r="A9" s="779">
        <v>5112</v>
      </c>
      <c r="B9" s="60" t="s">
        <v>1362</v>
      </c>
      <c r="C9" s="116">
        <v>16950</v>
      </c>
      <c r="D9" s="13">
        <v>16247.6</v>
      </c>
      <c r="E9" s="13">
        <v>17402</v>
      </c>
      <c r="F9" s="13">
        <v>17716.599999999999</v>
      </c>
      <c r="G9" s="13">
        <v>7797</v>
      </c>
      <c r="H9" s="13">
        <v>268.99</v>
      </c>
      <c r="I9" s="13">
        <v>382.2</v>
      </c>
      <c r="J9" s="13">
        <v>1601.8</v>
      </c>
      <c r="K9" s="14">
        <v>500</v>
      </c>
      <c r="L9" s="128"/>
      <c r="M9" s="14">
        <v>500</v>
      </c>
      <c r="N9" s="128"/>
      <c r="O9" s="14">
        <v>500</v>
      </c>
      <c r="P9" s="13"/>
      <c r="Q9" s="14">
        <v>500</v>
      </c>
      <c r="R9" s="14"/>
      <c r="S9" s="14"/>
      <c r="T9" s="25"/>
    </row>
    <row r="10" spans="1:20" x14ac:dyDescent="0.2">
      <c r="A10" s="779">
        <v>5114</v>
      </c>
      <c r="B10" s="60" t="s">
        <v>1142</v>
      </c>
      <c r="C10" s="116"/>
      <c r="D10" s="13"/>
      <c r="E10" s="13"/>
      <c r="F10" s="13"/>
      <c r="G10" s="13">
        <v>4961.8500000000004</v>
      </c>
      <c r="H10" s="13">
        <v>9840.9500000000007</v>
      </c>
      <c r="I10" s="13">
        <v>10335.69</v>
      </c>
      <c r="J10" s="13">
        <v>10198.530000000001</v>
      </c>
      <c r="K10" s="14">
        <v>12236</v>
      </c>
      <c r="L10" s="128">
        <v>10749.16</v>
      </c>
      <c r="M10" s="14">
        <v>11546</v>
      </c>
      <c r="N10" s="128">
        <v>11245.99</v>
      </c>
      <c r="O10" s="14">
        <f>353+11835</f>
        <v>12188</v>
      </c>
      <c r="P10" s="13">
        <v>6025.7</v>
      </c>
      <c r="Q10" s="14">
        <f>ROUND((+'420 DPW'!P80),0)</f>
        <v>13471</v>
      </c>
      <c r="R10" s="14"/>
      <c r="S10" s="14"/>
      <c r="T10" s="25"/>
    </row>
    <row r="11" spans="1:20" x14ac:dyDescent="0.2">
      <c r="A11" s="779">
        <v>5132</v>
      </c>
      <c r="B11" s="60" t="s">
        <v>1291</v>
      </c>
      <c r="C11" s="116">
        <v>271.2</v>
      </c>
      <c r="D11" s="13">
        <f>27.6+241.65</f>
        <v>269.25</v>
      </c>
      <c r="E11" s="13"/>
      <c r="F11" s="13">
        <v>410.68</v>
      </c>
      <c r="G11" s="13">
        <v>146.85</v>
      </c>
      <c r="H11" s="13">
        <v>518.64</v>
      </c>
      <c r="I11" s="13">
        <v>881.94</v>
      </c>
      <c r="J11" s="13">
        <v>2021.06</v>
      </c>
      <c r="K11" s="14">
        <v>750</v>
      </c>
      <c r="L11" s="13"/>
      <c r="M11" s="14">
        <v>750</v>
      </c>
      <c r="N11" s="13"/>
      <c r="O11" s="14">
        <v>750</v>
      </c>
      <c r="P11" s="13"/>
      <c r="Q11" s="14">
        <v>750</v>
      </c>
      <c r="R11" s="14"/>
      <c r="S11" s="14"/>
      <c r="T11" s="25"/>
    </row>
    <row r="12" spans="1:20" ht="13.5" thickBot="1" x14ac:dyDescent="0.25">
      <c r="A12" s="779">
        <v>5142</v>
      </c>
      <c r="B12" s="60" t="s">
        <v>1146</v>
      </c>
      <c r="C12" s="117"/>
      <c r="D12" s="15"/>
      <c r="E12" s="15"/>
      <c r="F12" s="15"/>
      <c r="G12" s="15"/>
      <c r="H12" s="15"/>
      <c r="I12" s="15"/>
      <c r="J12" s="15"/>
      <c r="K12" s="16"/>
      <c r="L12" s="15"/>
      <c r="M12" s="16"/>
      <c r="N12" s="15"/>
      <c r="O12" s="16"/>
      <c r="P12" s="15"/>
      <c r="Q12" s="16"/>
      <c r="R12" s="16"/>
      <c r="S12" s="16"/>
      <c r="T12" s="25"/>
    </row>
    <row r="13" spans="1:20" x14ac:dyDescent="0.2">
      <c r="A13" s="779"/>
      <c r="B13" s="61" t="s">
        <v>828</v>
      </c>
      <c r="C13" s="118">
        <f t="shared" ref="C13:P13" si="0">SUM(C9:C12)</f>
        <v>17221.2</v>
      </c>
      <c r="D13" s="18">
        <f t="shared" si="0"/>
        <v>16516.849999999999</v>
      </c>
      <c r="E13" s="18">
        <f t="shared" si="0"/>
        <v>17402</v>
      </c>
      <c r="F13" s="18">
        <f>SUM(F9:F12)</f>
        <v>18127.28</v>
      </c>
      <c r="G13" s="18">
        <f>SUM(G9:G12)</f>
        <v>12905.7</v>
      </c>
      <c r="H13" s="18">
        <f>SUM(H9:H12)</f>
        <v>10628.58</v>
      </c>
      <c r="I13" s="18">
        <f t="shared" si="0"/>
        <v>11599.830000000002</v>
      </c>
      <c r="J13" s="18">
        <f t="shared" si="0"/>
        <v>13821.39</v>
      </c>
      <c r="K13" s="19">
        <f>SUM(K9:K12)</f>
        <v>13486</v>
      </c>
      <c r="L13" s="18">
        <f t="shared" ref="L13:N13" si="1">SUM(L9:L12)</f>
        <v>10749.16</v>
      </c>
      <c r="M13" s="19">
        <f>SUM(M9:M12)</f>
        <v>12796</v>
      </c>
      <c r="N13" s="18">
        <f t="shared" si="1"/>
        <v>11245.99</v>
      </c>
      <c r="O13" s="19">
        <f>SUM(O9:O12)</f>
        <v>13438</v>
      </c>
      <c r="P13" s="18">
        <f t="shared" si="0"/>
        <v>6025.7</v>
      </c>
      <c r="Q13" s="19">
        <f>SUM(Q9:Q12)</f>
        <v>14721</v>
      </c>
      <c r="R13" s="19">
        <f>SUM(R9:R12)</f>
        <v>0</v>
      </c>
      <c r="S13" s="19">
        <f>+Q13</f>
        <v>14721</v>
      </c>
      <c r="T13" s="25"/>
    </row>
    <row r="14" spans="1:20" x14ac:dyDescent="0.2">
      <c r="A14" s="779"/>
      <c r="B14" s="60"/>
      <c r="C14" s="116"/>
      <c r="D14" s="13"/>
      <c r="E14" s="13"/>
      <c r="F14" s="13"/>
      <c r="G14" s="13"/>
      <c r="H14" s="13"/>
      <c r="I14" s="13"/>
      <c r="J14" s="13"/>
      <c r="K14" s="14"/>
      <c r="L14" s="128"/>
      <c r="M14" s="14"/>
      <c r="N14" s="128"/>
      <c r="O14" s="14"/>
      <c r="P14" s="13"/>
      <c r="Q14" s="14"/>
      <c r="R14" s="14"/>
      <c r="S14" s="14"/>
      <c r="T14" s="25"/>
    </row>
    <row r="15" spans="1:20" x14ac:dyDescent="0.2">
      <c r="A15" s="779">
        <v>5280</v>
      </c>
      <c r="B15" s="60" t="s">
        <v>1395</v>
      </c>
      <c r="C15" s="329">
        <v>279469.99</v>
      </c>
      <c r="D15" s="112">
        <v>283691.19</v>
      </c>
      <c r="E15" s="112">
        <v>236050.71</v>
      </c>
      <c r="F15" s="112">
        <v>268195.77</v>
      </c>
      <c r="G15" s="112">
        <v>267920.34999999998</v>
      </c>
      <c r="H15" s="112">
        <v>282465.24</v>
      </c>
      <c r="I15" s="112">
        <v>287843.42</v>
      </c>
      <c r="J15" s="112">
        <v>218312.36</v>
      </c>
      <c r="K15" s="19">
        <v>228200</v>
      </c>
      <c r="L15" s="112">
        <v>227997.97</v>
      </c>
      <c r="M15" s="19">
        <v>240000</v>
      </c>
      <c r="N15" s="112">
        <v>237299.87</v>
      </c>
      <c r="O15" s="19">
        <v>252000</v>
      </c>
      <c r="P15" s="128">
        <v>108869.4</v>
      </c>
      <c r="Q15" s="19">
        <v>260000</v>
      </c>
      <c r="R15" s="19"/>
      <c r="S15" s="19"/>
      <c r="T15" s="25"/>
    </row>
    <row r="16" spans="1:20" x14ac:dyDescent="0.2">
      <c r="A16" s="779">
        <v>5281</v>
      </c>
      <c r="B16" s="60" t="s">
        <v>1396</v>
      </c>
      <c r="C16" s="116">
        <v>90976.54</v>
      </c>
      <c r="D16" s="18">
        <v>91840.23</v>
      </c>
      <c r="E16" s="18">
        <v>107166.88</v>
      </c>
      <c r="F16" s="18">
        <v>94196.47</v>
      </c>
      <c r="G16" s="18">
        <v>100475.88</v>
      </c>
      <c r="H16" s="18">
        <v>101142.96</v>
      </c>
      <c r="I16" s="112">
        <v>109404.98</v>
      </c>
      <c r="J16" s="112">
        <v>93541.08</v>
      </c>
      <c r="K16" s="19">
        <v>177000</v>
      </c>
      <c r="L16" s="112">
        <v>81853.899999999994</v>
      </c>
      <c r="M16" s="19">
        <v>140000</v>
      </c>
      <c r="N16" s="112">
        <v>97044.62</v>
      </c>
      <c r="O16" s="19">
        <v>115000</v>
      </c>
      <c r="P16" s="128">
        <v>44554.2</v>
      </c>
      <c r="Q16" s="19">
        <v>120000</v>
      </c>
      <c r="R16" s="19"/>
      <c r="S16" s="19"/>
      <c r="T16" s="25"/>
    </row>
    <row r="17" spans="1:20" x14ac:dyDescent="0.2">
      <c r="A17" s="779">
        <v>5282</v>
      </c>
      <c r="B17" s="60" t="s">
        <v>1397</v>
      </c>
      <c r="C17" s="116">
        <v>18401.03</v>
      </c>
      <c r="D17" s="18">
        <v>19114.689999999999</v>
      </c>
      <c r="E17" s="18">
        <v>26908.31</v>
      </c>
      <c r="F17" s="18">
        <v>22310.400000000001</v>
      </c>
      <c r="G17" s="18">
        <v>17300.37</v>
      </c>
      <c r="H17" s="18">
        <v>21473</v>
      </c>
      <c r="I17" s="112">
        <v>30257.25</v>
      </c>
      <c r="J17" s="112">
        <v>38225.019999999997</v>
      </c>
      <c r="K17" s="19">
        <v>32700</v>
      </c>
      <c r="L17" s="112">
        <v>46886.03</v>
      </c>
      <c r="M17" s="19">
        <v>48000</v>
      </c>
      <c r="N17" s="112">
        <v>52539.1</v>
      </c>
      <c r="O17" s="19">
        <v>50400</v>
      </c>
      <c r="P17" s="128">
        <v>21644.68</v>
      </c>
      <c r="Q17" s="19">
        <v>55000</v>
      </c>
      <c r="R17" s="19"/>
      <c r="S17" s="19"/>
      <c r="T17" s="25"/>
    </row>
    <row r="18" spans="1:20" x14ac:dyDescent="0.2">
      <c r="A18" s="779">
        <v>5283</v>
      </c>
      <c r="B18" s="60" t="s">
        <v>1398</v>
      </c>
      <c r="C18" s="116">
        <v>3302.24</v>
      </c>
      <c r="D18" s="18">
        <v>2617.9699999999998</v>
      </c>
      <c r="E18" s="18">
        <v>3665.4</v>
      </c>
      <c r="F18" s="18">
        <v>4660.2299999999996</v>
      </c>
      <c r="G18" s="18">
        <v>4331.24</v>
      </c>
      <c r="H18" s="18">
        <v>4549.66</v>
      </c>
      <c r="I18" s="112">
        <v>4531.5200000000004</v>
      </c>
      <c r="J18" s="112">
        <v>4905.32</v>
      </c>
      <c r="K18" s="19">
        <v>5500</v>
      </c>
      <c r="L18" s="112">
        <v>4336.66</v>
      </c>
      <c r="M18" s="19">
        <v>5500</v>
      </c>
      <c r="N18" s="112">
        <v>3573</v>
      </c>
      <c r="O18" s="19">
        <v>5500</v>
      </c>
      <c r="P18" s="128">
        <v>3574</v>
      </c>
      <c r="Q18" s="19">
        <v>5500</v>
      </c>
      <c r="R18" s="19"/>
      <c r="S18" s="19"/>
      <c r="T18" s="25"/>
    </row>
    <row r="19" spans="1:20" x14ac:dyDescent="0.2">
      <c r="A19" s="779">
        <v>5284</v>
      </c>
      <c r="B19" s="12" t="s">
        <v>1399</v>
      </c>
      <c r="C19" s="13">
        <v>12531.6</v>
      </c>
      <c r="D19" s="18">
        <v>12690.59</v>
      </c>
      <c r="E19" s="18">
        <v>12756.08</v>
      </c>
      <c r="F19" s="18">
        <v>12699.72</v>
      </c>
      <c r="G19" s="18">
        <v>13099.3</v>
      </c>
      <c r="H19" s="18">
        <v>13526.98</v>
      </c>
      <c r="I19" s="112">
        <v>13542.32</v>
      </c>
      <c r="J19" s="112">
        <v>16234.27</v>
      </c>
      <c r="K19" s="19">
        <v>18000</v>
      </c>
      <c r="L19" s="112">
        <v>16244.84</v>
      </c>
      <c r="M19" s="19">
        <v>18000</v>
      </c>
      <c r="N19" s="112">
        <v>18982.650000000001</v>
      </c>
      <c r="O19" s="19">
        <v>20000</v>
      </c>
      <c r="P19" s="128"/>
      <c r="Q19" s="19">
        <v>20000</v>
      </c>
      <c r="R19" s="19"/>
      <c r="S19" s="19"/>
      <c r="T19" s="25"/>
    </row>
    <row r="20" spans="1:20" x14ac:dyDescent="0.2">
      <c r="A20" s="779">
        <v>5285</v>
      </c>
      <c r="B20" s="12" t="s">
        <v>1400</v>
      </c>
      <c r="C20" s="218"/>
      <c r="D20" s="272"/>
      <c r="E20" s="272"/>
      <c r="F20" s="112"/>
      <c r="G20" s="112"/>
      <c r="H20" s="112"/>
      <c r="I20" s="112"/>
      <c r="J20" s="112">
        <v>108924.95</v>
      </c>
      <c r="K20" s="19">
        <v>115000</v>
      </c>
      <c r="L20" s="112">
        <v>139194.21</v>
      </c>
      <c r="M20" s="19">
        <v>150000</v>
      </c>
      <c r="N20" s="112">
        <v>122880.03</v>
      </c>
      <c r="O20" s="19">
        <v>157500</v>
      </c>
      <c r="P20" s="128">
        <v>46403.39</v>
      </c>
      <c r="Q20" s="19">
        <v>157500</v>
      </c>
      <c r="R20" s="19"/>
      <c r="S20" s="19"/>
      <c r="T20" s="25"/>
    </row>
    <row r="21" spans="1:20" s="220" customFormat="1" x14ac:dyDescent="0.2">
      <c r="A21" s="779">
        <v>5286</v>
      </c>
      <c r="B21" s="12" t="s">
        <v>1401</v>
      </c>
      <c r="C21" s="218"/>
      <c r="D21" s="272"/>
      <c r="E21" s="272"/>
      <c r="F21" s="112"/>
      <c r="G21" s="112"/>
      <c r="H21" s="112"/>
      <c r="I21" s="112"/>
      <c r="J21" s="112">
        <v>16626.84</v>
      </c>
      <c r="K21" s="19"/>
      <c r="L21" s="112">
        <v>22095.95</v>
      </c>
      <c r="M21" s="151"/>
      <c r="N21" s="112">
        <v>11715.77</v>
      </c>
      <c r="O21" s="19">
        <v>32000</v>
      </c>
      <c r="P21" s="128">
        <v>16064.88</v>
      </c>
      <c r="Q21" s="19">
        <v>32000</v>
      </c>
      <c r="R21" s="19"/>
      <c r="S21" s="19"/>
      <c r="T21" s="25"/>
    </row>
    <row r="22" spans="1:20" x14ac:dyDescent="0.2">
      <c r="A22" s="779">
        <v>5315</v>
      </c>
      <c r="B22" s="12" t="s">
        <v>1402</v>
      </c>
      <c r="C22" s="35"/>
      <c r="D22" s="28"/>
      <c r="E22" s="28"/>
      <c r="F22" s="13">
        <v>6910.1</v>
      </c>
      <c r="G22" s="13">
        <v>195</v>
      </c>
      <c r="H22" s="13">
        <v>400</v>
      </c>
      <c r="I22" s="128">
        <v>150</v>
      </c>
      <c r="J22" s="128">
        <v>400</v>
      </c>
      <c r="K22" s="14">
        <v>1500</v>
      </c>
      <c r="L22" s="128">
        <v>150</v>
      </c>
      <c r="M22" s="19">
        <v>1500</v>
      </c>
      <c r="N22" s="112">
        <v>175</v>
      </c>
      <c r="O22" s="19">
        <v>1500</v>
      </c>
      <c r="P22" s="13">
        <v>175</v>
      </c>
      <c r="Q22" s="19">
        <v>500</v>
      </c>
      <c r="R22" s="19"/>
      <c r="S22" s="19"/>
      <c r="T22" s="25"/>
    </row>
    <row r="23" spans="1:20" x14ac:dyDescent="0.2">
      <c r="A23" s="779">
        <v>5380</v>
      </c>
      <c r="B23" s="12" t="s">
        <v>1403</v>
      </c>
      <c r="C23" s="35"/>
      <c r="D23" s="28"/>
      <c r="E23" s="28"/>
      <c r="F23" s="28"/>
      <c r="G23" s="28">
        <v>1116.5</v>
      </c>
      <c r="H23" s="28">
        <v>159.94999999999999</v>
      </c>
      <c r="I23" s="272"/>
      <c r="J23" s="272"/>
      <c r="K23" s="29"/>
      <c r="L23" s="272">
        <v>219</v>
      </c>
      <c r="M23" s="29"/>
      <c r="N23" s="272">
        <v>305</v>
      </c>
      <c r="O23" s="29"/>
      <c r="P23" s="28">
        <v>1544.8</v>
      </c>
      <c r="Q23" s="29">
        <v>1000</v>
      </c>
      <c r="R23" s="29"/>
      <c r="S23" s="29"/>
      <c r="T23" s="25"/>
    </row>
    <row r="24" spans="1:20" ht="13.5" thickBot="1" x14ac:dyDescent="0.25">
      <c r="A24" s="779">
        <v>5420</v>
      </c>
      <c r="B24" s="12" t="s">
        <v>864</v>
      </c>
      <c r="C24" s="15">
        <v>7536.34</v>
      </c>
      <c r="D24" s="15">
        <v>4635.58</v>
      </c>
      <c r="E24" s="15">
        <v>4881.71</v>
      </c>
      <c r="F24" s="15">
        <v>5984.95</v>
      </c>
      <c r="G24" s="15">
        <v>6735.54</v>
      </c>
      <c r="H24" s="15">
        <v>6956.43</v>
      </c>
      <c r="I24" s="270">
        <v>818.2</v>
      </c>
      <c r="J24" s="270">
        <v>6907.06</v>
      </c>
      <c r="K24" s="16">
        <v>7500</v>
      </c>
      <c r="L24" s="270">
        <v>14564.7</v>
      </c>
      <c r="M24" s="16">
        <v>9000</v>
      </c>
      <c r="N24" s="270">
        <v>9584.1200000000008</v>
      </c>
      <c r="O24" s="16">
        <v>9000</v>
      </c>
      <c r="P24" s="15">
        <v>224.56</v>
      </c>
      <c r="Q24" s="16">
        <v>13000</v>
      </c>
      <c r="R24" s="16"/>
      <c r="S24" s="16"/>
      <c r="T24" s="25"/>
    </row>
    <row r="25" spans="1:20" x14ac:dyDescent="0.2">
      <c r="A25" s="779"/>
      <c r="B25" s="17" t="s">
        <v>838</v>
      </c>
      <c r="C25" s="18">
        <f t="shared" ref="C25:R25" si="2">SUM(C15:C24)</f>
        <v>412217.73999999993</v>
      </c>
      <c r="D25" s="18">
        <f t="shared" si="2"/>
        <v>414590.25</v>
      </c>
      <c r="E25" s="18">
        <f t="shared" si="2"/>
        <v>391429.09</v>
      </c>
      <c r="F25" s="18">
        <f t="shared" si="2"/>
        <v>414957.63999999996</v>
      </c>
      <c r="G25" s="18">
        <f t="shared" si="2"/>
        <v>411174.17999999993</v>
      </c>
      <c r="H25" s="18">
        <f t="shared" si="2"/>
        <v>430674.22</v>
      </c>
      <c r="I25" s="18">
        <f t="shared" si="2"/>
        <v>446547.69</v>
      </c>
      <c r="J25" s="18">
        <f t="shared" si="2"/>
        <v>504076.90000000008</v>
      </c>
      <c r="K25" s="19">
        <f t="shared" si="2"/>
        <v>585400</v>
      </c>
      <c r="L25" s="112">
        <f t="shared" si="2"/>
        <v>553543.25999999989</v>
      </c>
      <c r="M25" s="19">
        <f t="shared" si="2"/>
        <v>612000</v>
      </c>
      <c r="N25" s="112">
        <f t="shared" ref="N25" si="3">SUM(N15:N24)</f>
        <v>554099.16</v>
      </c>
      <c r="O25" s="19">
        <f t="shared" si="2"/>
        <v>642900</v>
      </c>
      <c r="P25" s="18">
        <f t="shared" si="2"/>
        <v>243054.90999999997</v>
      </c>
      <c r="Q25" s="19">
        <f t="shared" si="2"/>
        <v>664500</v>
      </c>
      <c r="R25" s="19">
        <f t="shared" si="2"/>
        <v>0</v>
      </c>
      <c r="S25" s="19">
        <f>+Q25</f>
        <v>664500</v>
      </c>
      <c r="T25" s="25"/>
    </row>
    <row r="26" spans="1:20" x14ac:dyDescent="0.2">
      <c r="A26" s="779"/>
      <c r="B26" s="17"/>
      <c r="C26" s="13"/>
      <c r="D26" s="13"/>
      <c r="E26" s="13"/>
      <c r="F26" s="13"/>
      <c r="G26" s="13"/>
      <c r="H26" s="13"/>
      <c r="I26" s="13"/>
      <c r="J26" s="13"/>
      <c r="K26" s="14"/>
      <c r="L26" s="13"/>
      <c r="M26" s="14"/>
      <c r="N26" s="13"/>
      <c r="O26" s="14"/>
      <c r="P26" s="13"/>
      <c r="Q26" s="14"/>
      <c r="R26" s="14"/>
      <c r="S26" s="14"/>
      <c r="T26" s="25"/>
    </row>
    <row r="27" spans="1:20" ht="13.5" thickBot="1" x14ac:dyDescent="0.25">
      <c r="A27" s="780"/>
      <c r="B27" s="20" t="s">
        <v>1404</v>
      </c>
      <c r="C27" s="21">
        <f t="shared" ref="C27:H27" si="4">+C25+C13</f>
        <v>429438.93999999994</v>
      </c>
      <c r="D27" s="21">
        <f t="shared" si="4"/>
        <v>431107.1</v>
      </c>
      <c r="E27" s="21">
        <f t="shared" si="4"/>
        <v>408831.09</v>
      </c>
      <c r="F27" s="21">
        <f t="shared" si="4"/>
        <v>433084.91999999993</v>
      </c>
      <c r="G27" s="21">
        <f t="shared" si="4"/>
        <v>424079.87999999995</v>
      </c>
      <c r="H27" s="21">
        <f t="shared" si="4"/>
        <v>441302.8</v>
      </c>
      <c r="I27" s="21">
        <f t="shared" ref="I27:S27" si="5">++I25+I13</f>
        <v>458147.52</v>
      </c>
      <c r="J27" s="21">
        <f t="shared" si="5"/>
        <v>517898.2900000001</v>
      </c>
      <c r="K27" s="22">
        <f t="shared" si="5"/>
        <v>598886</v>
      </c>
      <c r="L27" s="21">
        <f t="shared" si="5"/>
        <v>564292.41999999993</v>
      </c>
      <c r="M27" s="22">
        <f t="shared" si="5"/>
        <v>624796</v>
      </c>
      <c r="N27" s="21">
        <f t="shared" ref="N27" si="6">++N25+N13</f>
        <v>565345.15</v>
      </c>
      <c r="O27" s="22">
        <f t="shared" si="5"/>
        <v>656338</v>
      </c>
      <c r="P27" s="21">
        <f t="shared" si="5"/>
        <v>249080.61</v>
      </c>
      <c r="Q27" s="22">
        <f t="shared" si="5"/>
        <v>679221</v>
      </c>
      <c r="R27" s="22">
        <f t="shared" si="5"/>
        <v>0</v>
      </c>
      <c r="S27" s="22">
        <f t="shared" si="5"/>
        <v>679221</v>
      </c>
      <c r="T27" s="25"/>
    </row>
    <row r="28" spans="1:20" ht="13.5" thickTop="1" x14ac:dyDescent="0.2">
      <c r="A28" s="774"/>
      <c r="B28" s="4"/>
      <c r="C28" s="23"/>
      <c r="D28" s="23"/>
      <c r="E28" s="23"/>
      <c r="F28" s="23"/>
      <c r="G28" s="23"/>
      <c r="H28" s="23"/>
      <c r="I28" s="23"/>
      <c r="J28" s="23"/>
      <c r="K28" s="24"/>
      <c r="L28" s="25"/>
      <c r="M28" s="25"/>
      <c r="N28" s="25"/>
      <c r="O28" s="25"/>
      <c r="P28" s="199" t="s">
        <v>843</v>
      </c>
      <c r="Q28" s="1116">
        <f>+Q27-O27</f>
        <v>22883</v>
      </c>
      <c r="R28" s="1117">
        <f>ROUND((+Q28/O27),4)</f>
        <v>3.49E-2</v>
      </c>
      <c r="S28" s="23"/>
      <c r="T28" s="23"/>
    </row>
    <row r="29" spans="1:20" x14ac:dyDescent="0.2">
      <c r="A29" s="774"/>
      <c r="B29" s="4"/>
      <c r="C29" s="23"/>
      <c r="D29" s="23"/>
      <c r="E29" s="23"/>
      <c r="F29" s="23"/>
      <c r="G29" s="23"/>
      <c r="H29" s="23"/>
      <c r="I29" s="23"/>
      <c r="J29" s="23"/>
      <c r="K29" s="24"/>
      <c r="L29" s="25"/>
      <c r="M29" s="25"/>
      <c r="N29" s="25"/>
      <c r="O29" s="25"/>
      <c r="P29" s="25"/>
      <c r="Q29" s="23"/>
      <c r="R29" s="23"/>
      <c r="S29" s="23"/>
      <c r="T29" s="23"/>
    </row>
    <row r="30" spans="1:20" x14ac:dyDescent="0.2">
      <c r="A30" s="63"/>
      <c r="B30" s="4"/>
      <c r="C30" s="23"/>
      <c r="D30" s="23"/>
      <c r="E30" s="23"/>
      <c r="F30" s="23"/>
      <c r="G30" s="23"/>
      <c r="H30" s="23"/>
      <c r="I30" s="23"/>
      <c r="J30" s="23"/>
      <c r="K30" s="23"/>
      <c r="L30" s="23"/>
      <c r="M30" s="23"/>
      <c r="N30" s="23"/>
      <c r="O30" s="23"/>
      <c r="P30" s="25"/>
      <c r="Q30" s="23"/>
      <c r="R30" s="23"/>
      <c r="S30" s="23"/>
      <c r="T30" s="23"/>
    </row>
    <row r="31" spans="1:20" ht="13.5" thickBot="1" x14ac:dyDescent="0.25">
      <c r="A31" s="774"/>
      <c r="B31" s="4"/>
      <c r="C31" s="23"/>
      <c r="D31" s="23"/>
      <c r="E31" s="23"/>
      <c r="F31" s="23"/>
      <c r="G31" s="23"/>
      <c r="H31" s="23"/>
      <c r="I31" s="23"/>
      <c r="J31" s="23"/>
      <c r="K31" s="23"/>
      <c r="L31" s="23"/>
      <c r="M31" s="23"/>
      <c r="N31" s="23"/>
      <c r="O31" s="23"/>
      <c r="P31" s="25"/>
      <c r="Q31" s="23"/>
      <c r="R31" s="23"/>
      <c r="S31" s="25"/>
      <c r="T31" s="25"/>
    </row>
    <row r="32" spans="1:20" ht="13.5" thickTop="1" x14ac:dyDescent="0.2">
      <c r="A32" s="789"/>
      <c r="B32" s="367"/>
      <c r="C32" s="368" t="s">
        <v>280</v>
      </c>
      <c r="D32" s="369" t="s">
        <v>280</v>
      </c>
      <c r="E32" s="369" t="s">
        <v>280</v>
      </c>
      <c r="F32" s="212"/>
      <c r="G32" s="212"/>
      <c r="H32" s="212"/>
      <c r="I32" s="212"/>
      <c r="J32" s="212"/>
      <c r="K32" s="212"/>
      <c r="L32" s="212"/>
      <c r="M32" s="370" t="s">
        <v>279</v>
      </c>
      <c r="N32" s="371" t="s">
        <v>826</v>
      </c>
      <c r="O32" s="372" t="s">
        <v>840</v>
      </c>
      <c r="P32" s="371" t="s">
        <v>841</v>
      </c>
      <c r="Q32" s="373"/>
      <c r="R32" s="569"/>
      <c r="S32" s="372"/>
      <c r="T32" s="1020"/>
    </row>
    <row r="33" spans="1:20" ht="13.5" thickBot="1" x14ac:dyDescent="0.25">
      <c r="A33" s="790"/>
      <c r="B33" s="374"/>
      <c r="C33" s="375" t="s">
        <v>267</v>
      </c>
      <c r="D33" s="375" t="s">
        <v>268</v>
      </c>
      <c r="E33" s="376" t="s">
        <v>269</v>
      </c>
      <c r="F33" s="212"/>
      <c r="G33" s="212"/>
      <c r="H33" s="212"/>
      <c r="I33" s="212"/>
      <c r="J33" s="212"/>
      <c r="K33" s="212"/>
      <c r="L33" s="212"/>
      <c r="M33" s="377" t="s">
        <v>277</v>
      </c>
      <c r="N33" s="377" t="s">
        <v>571</v>
      </c>
      <c r="O33" s="376" t="s">
        <v>843</v>
      </c>
      <c r="P33" s="378" t="s">
        <v>843</v>
      </c>
      <c r="Q33" s="379" t="s">
        <v>844</v>
      </c>
      <c r="R33" s="570"/>
      <c r="S33" s="377"/>
      <c r="T33" s="1020"/>
    </row>
    <row r="34" spans="1:20" ht="13.5" thickTop="1" x14ac:dyDescent="0.2">
      <c r="A34" s="797"/>
      <c r="B34" s="394"/>
      <c r="C34" s="383"/>
      <c r="D34" s="383"/>
      <c r="E34" s="383"/>
      <c r="F34" s="212"/>
      <c r="G34" s="212"/>
      <c r="H34" s="212"/>
      <c r="I34" s="212"/>
      <c r="J34" s="212"/>
      <c r="K34" s="212"/>
      <c r="L34" s="212"/>
      <c r="M34" s="384"/>
      <c r="N34" s="383"/>
      <c r="O34" s="414"/>
      <c r="P34" s="392"/>
      <c r="Q34" s="385"/>
      <c r="R34" s="572"/>
      <c r="S34" s="386"/>
      <c r="T34" s="417"/>
    </row>
    <row r="35" spans="1:20" x14ac:dyDescent="0.2">
      <c r="A35" s="795">
        <v>5112</v>
      </c>
      <c r="B35" s="387" t="s">
        <v>1362</v>
      </c>
      <c r="C35" s="391">
        <v>16950</v>
      </c>
      <c r="D35" s="391">
        <v>16247.6</v>
      </c>
      <c r="E35" s="391">
        <v>17402</v>
      </c>
      <c r="F35" s="212"/>
      <c r="G35" s="212"/>
      <c r="H35" s="212"/>
      <c r="I35" s="212"/>
      <c r="J35" s="212"/>
      <c r="K35" s="212"/>
      <c r="L35" s="212"/>
      <c r="M35" s="390">
        <f>+O9</f>
        <v>500</v>
      </c>
      <c r="N35" s="411">
        <f>+Q9</f>
        <v>500</v>
      </c>
      <c r="O35" s="390"/>
      <c r="P35" s="391"/>
      <c r="Q35" s="385"/>
      <c r="R35" s="572"/>
      <c r="S35" s="386"/>
      <c r="T35" s="417"/>
    </row>
    <row r="36" spans="1:20" x14ac:dyDescent="0.2">
      <c r="A36" s="795">
        <v>5114</v>
      </c>
      <c r="B36" s="387" t="s">
        <v>1142</v>
      </c>
      <c r="C36" s="391"/>
      <c r="D36" s="391"/>
      <c r="E36" s="391"/>
      <c r="F36" s="212"/>
      <c r="G36" s="212"/>
      <c r="H36" s="212"/>
      <c r="I36" s="212"/>
      <c r="J36" s="212"/>
      <c r="K36" s="212"/>
      <c r="L36" s="212"/>
      <c r="M36" s="390">
        <f>+O10</f>
        <v>12188</v>
      </c>
      <c r="N36" s="411">
        <f>+Q10</f>
        <v>13471</v>
      </c>
      <c r="O36" s="414">
        <f t="shared" ref="O36:O47" si="7">+N36-M36</f>
        <v>1283</v>
      </c>
      <c r="P36" s="392">
        <f t="shared" ref="P36:P47" si="8">IF(M36+N36&lt;&gt;0,IF(M36&lt;&gt;0,IF(O36&lt;&gt;0,ROUND((+O36/M36),4),""),1),"")</f>
        <v>0.1053</v>
      </c>
      <c r="Q36" s="385" t="s">
        <v>2246</v>
      </c>
      <c r="R36" s="572"/>
      <c r="S36" s="386"/>
      <c r="T36" s="417"/>
    </row>
    <row r="37" spans="1:20" x14ac:dyDescent="0.2">
      <c r="A37" s="795">
        <v>5132</v>
      </c>
      <c r="B37" s="387" t="s">
        <v>1291</v>
      </c>
      <c r="C37" s="391">
        <v>271.2</v>
      </c>
      <c r="D37" s="391">
        <f>27.6+241.65</f>
        <v>269.25</v>
      </c>
      <c r="E37" s="391"/>
      <c r="F37" s="212"/>
      <c r="G37" s="212"/>
      <c r="H37" s="212"/>
      <c r="I37" s="212"/>
      <c r="J37" s="212"/>
      <c r="K37" s="212"/>
      <c r="L37" s="212"/>
      <c r="M37" s="390">
        <f>+O11</f>
        <v>750</v>
      </c>
      <c r="N37" s="411">
        <f>+Q11</f>
        <v>750</v>
      </c>
      <c r="O37" s="414">
        <f t="shared" si="7"/>
        <v>0</v>
      </c>
      <c r="P37" s="392" t="str">
        <f t="shared" si="8"/>
        <v/>
      </c>
      <c r="Q37" s="385"/>
      <c r="R37" s="572"/>
      <c r="S37" s="386"/>
      <c r="T37" s="417"/>
    </row>
    <row r="38" spans="1:20" ht="13.5" thickBot="1" x14ac:dyDescent="0.25">
      <c r="A38" s="795">
        <v>5142</v>
      </c>
      <c r="B38" s="387" t="s">
        <v>1146</v>
      </c>
      <c r="C38" s="389"/>
      <c r="D38" s="389"/>
      <c r="E38" s="389"/>
      <c r="F38" s="212"/>
      <c r="G38" s="212"/>
      <c r="H38" s="212"/>
      <c r="I38" s="212"/>
      <c r="J38" s="212"/>
      <c r="K38" s="212"/>
      <c r="L38" s="212"/>
      <c r="M38" s="390">
        <f>+O12</f>
        <v>0</v>
      </c>
      <c r="N38" s="411">
        <f>+Q12</f>
        <v>0</v>
      </c>
      <c r="O38" s="414">
        <f t="shared" si="7"/>
        <v>0</v>
      </c>
      <c r="P38" s="392" t="str">
        <f t="shared" si="8"/>
        <v/>
      </c>
      <c r="Q38" s="385"/>
      <c r="R38" s="572"/>
      <c r="S38" s="386"/>
      <c r="T38" s="417"/>
    </row>
    <row r="39" spans="1:20" x14ac:dyDescent="0.2">
      <c r="A39" s="795">
        <v>5280</v>
      </c>
      <c r="B39" s="387" t="s">
        <v>1405</v>
      </c>
      <c r="C39" s="391">
        <v>279469.99</v>
      </c>
      <c r="D39" s="383">
        <v>283691.19</v>
      </c>
      <c r="E39" s="383">
        <v>236050.71</v>
      </c>
      <c r="F39" s="212"/>
      <c r="G39" s="212"/>
      <c r="H39" s="212"/>
      <c r="I39" s="212"/>
      <c r="J39" s="212"/>
      <c r="K39" s="212"/>
      <c r="L39" s="212"/>
      <c r="M39" s="384">
        <f t="shared" ref="M39:M44" si="9">O15</f>
        <v>252000</v>
      </c>
      <c r="N39" s="411">
        <f t="shared" ref="N39:N44" si="10">+Q15</f>
        <v>260000</v>
      </c>
      <c r="O39" s="414">
        <f t="shared" si="7"/>
        <v>8000</v>
      </c>
      <c r="P39" s="392">
        <f t="shared" si="8"/>
        <v>3.1699999999999999E-2</v>
      </c>
      <c r="Q39" s="385" t="s">
        <v>2247</v>
      </c>
      <c r="R39" s="572"/>
      <c r="S39" s="386"/>
      <c r="T39" s="417"/>
    </row>
    <row r="40" spans="1:20" x14ac:dyDescent="0.2">
      <c r="A40" s="795">
        <v>5281</v>
      </c>
      <c r="B40" s="387" t="s">
        <v>1406</v>
      </c>
      <c r="C40" s="391">
        <v>90976.54</v>
      </c>
      <c r="D40" s="383">
        <v>91840.23</v>
      </c>
      <c r="E40" s="383">
        <v>107166.88</v>
      </c>
      <c r="F40" s="212"/>
      <c r="G40" s="212"/>
      <c r="H40" s="212"/>
      <c r="I40" s="212"/>
      <c r="J40" s="212"/>
      <c r="K40" s="212"/>
      <c r="L40" s="212"/>
      <c r="M40" s="384">
        <f t="shared" si="9"/>
        <v>115000</v>
      </c>
      <c r="N40" s="411">
        <f t="shared" si="10"/>
        <v>120000</v>
      </c>
      <c r="O40" s="414">
        <f t="shared" si="7"/>
        <v>5000</v>
      </c>
      <c r="P40" s="392">
        <f t="shared" si="8"/>
        <v>4.3499999999999997E-2</v>
      </c>
      <c r="Q40" s="385" t="s">
        <v>2247</v>
      </c>
      <c r="R40" s="572"/>
      <c r="S40" s="386"/>
      <c r="T40" s="417"/>
    </row>
    <row r="41" spans="1:20" x14ac:dyDescent="0.2">
      <c r="A41" s="795">
        <v>5282</v>
      </c>
      <c r="B41" s="387" t="s">
        <v>1397</v>
      </c>
      <c r="C41" s="391">
        <v>18401.03</v>
      </c>
      <c r="D41" s="383">
        <v>19114.689999999999</v>
      </c>
      <c r="E41" s="383">
        <v>26908.31</v>
      </c>
      <c r="F41" s="212"/>
      <c r="G41" s="212"/>
      <c r="H41" s="212"/>
      <c r="I41" s="212"/>
      <c r="J41" s="212"/>
      <c r="K41" s="212"/>
      <c r="L41" s="212"/>
      <c r="M41" s="384">
        <f t="shared" si="9"/>
        <v>50400</v>
      </c>
      <c r="N41" s="411">
        <f t="shared" si="10"/>
        <v>55000</v>
      </c>
      <c r="O41" s="414">
        <f t="shared" si="7"/>
        <v>4600</v>
      </c>
      <c r="P41" s="392">
        <f t="shared" si="8"/>
        <v>9.1300000000000006E-2</v>
      </c>
      <c r="Q41" s="385" t="s">
        <v>2247</v>
      </c>
      <c r="R41" s="572"/>
      <c r="S41" s="386"/>
      <c r="T41" s="417"/>
    </row>
    <row r="42" spans="1:20" x14ac:dyDescent="0.2">
      <c r="A42" s="795">
        <v>5283</v>
      </c>
      <c r="B42" s="387" t="s">
        <v>1398</v>
      </c>
      <c r="C42" s="391">
        <v>3302.24</v>
      </c>
      <c r="D42" s="383">
        <v>2617.9699999999998</v>
      </c>
      <c r="E42" s="383">
        <v>3665.4</v>
      </c>
      <c r="F42" s="212"/>
      <c r="G42" s="212"/>
      <c r="H42" s="212"/>
      <c r="I42" s="212"/>
      <c r="J42" s="212"/>
      <c r="K42" s="212"/>
      <c r="L42" s="212"/>
      <c r="M42" s="384">
        <f t="shared" si="9"/>
        <v>5500</v>
      </c>
      <c r="N42" s="411">
        <f t="shared" si="10"/>
        <v>5500</v>
      </c>
      <c r="O42" s="414">
        <f t="shared" si="7"/>
        <v>0</v>
      </c>
      <c r="P42" s="392" t="str">
        <f t="shared" si="8"/>
        <v/>
      </c>
      <c r="Q42" s="385"/>
      <c r="R42" s="572"/>
      <c r="S42" s="386"/>
      <c r="T42" s="417"/>
    </row>
    <row r="43" spans="1:20" x14ac:dyDescent="0.2">
      <c r="A43" s="795">
        <v>5284</v>
      </c>
      <c r="B43" s="387" t="s">
        <v>1399</v>
      </c>
      <c r="C43" s="391">
        <v>12531.6</v>
      </c>
      <c r="D43" s="383">
        <v>12690.59</v>
      </c>
      <c r="E43" s="383">
        <v>12756.08</v>
      </c>
      <c r="F43" s="212"/>
      <c r="G43" s="212"/>
      <c r="H43" s="212"/>
      <c r="I43" s="212"/>
      <c r="J43" s="212"/>
      <c r="K43" s="212"/>
      <c r="L43" s="212"/>
      <c r="M43" s="384">
        <f t="shared" si="9"/>
        <v>20000</v>
      </c>
      <c r="N43" s="411">
        <f t="shared" si="10"/>
        <v>20000</v>
      </c>
      <c r="O43" s="414">
        <f t="shared" si="7"/>
        <v>0</v>
      </c>
      <c r="P43" s="392" t="str">
        <f t="shared" si="8"/>
        <v/>
      </c>
      <c r="Q43" s="385"/>
      <c r="R43" s="572"/>
      <c r="S43" s="386"/>
      <c r="T43" s="417"/>
    </row>
    <row r="44" spans="1:20" x14ac:dyDescent="0.2">
      <c r="A44" s="795">
        <v>5285</v>
      </c>
      <c r="B44" s="387" t="s">
        <v>1407</v>
      </c>
      <c r="C44" s="393"/>
      <c r="D44" s="395"/>
      <c r="E44" s="395"/>
      <c r="F44" s="212"/>
      <c r="G44" s="212"/>
      <c r="H44" s="212"/>
      <c r="I44" s="212"/>
      <c r="J44" s="212"/>
      <c r="K44" s="212"/>
      <c r="L44" s="212"/>
      <c r="M44" s="384">
        <f t="shared" si="9"/>
        <v>157500</v>
      </c>
      <c r="N44" s="411">
        <f t="shared" si="10"/>
        <v>157500</v>
      </c>
      <c r="O44" s="414">
        <f t="shared" si="7"/>
        <v>0</v>
      </c>
      <c r="P44" s="392" t="str">
        <f t="shared" si="8"/>
        <v/>
      </c>
      <c r="Q44" s="385"/>
      <c r="R44" s="572"/>
      <c r="S44" s="386"/>
      <c r="T44" s="417"/>
    </row>
    <row r="45" spans="1:20" x14ac:dyDescent="0.2">
      <c r="A45" s="795">
        <v>5315</v>
      </c>
      <c r="B45" s="387" t="s">
        <v>1402</v>
      </c>
      <c r="C45" s="393"/>
      <c r="D45" s="395"/>
      <c r="E45" s="395"/>
      <c r="F45" s="212"/>
      <c r="G45" s="212"/>
      <c r="H45" s="212"/>
      <c r="I45" s="212"/>
      <c r="J45" s="212"/>
      <c r="K45" s="212"/>
      <c r="L45" s="212"/>
      <c r="M45" s="384">
        <f>O22</f>
        <v>1500</v>
      </c>
      <c r="N45" s="411">
        <f>+Q22</f>
        <v>500</v>
      </c>
      <c r="O45" s="414">
        <f t="shared" si="7"/>
        <v>-1000</v>
      </c>
      <c r="P45" s="392">
        <f t="shared" si="8"/>
        <v>-0.66669999999999996</v>
      </c>
      <c r="Q45" s="385"/>
      <c r="R45" s="572"/>
      <c r="S45" s="386"/>
      <c r="T45" s="417"/>
    </row>
    <row r="46" spans="1:20" x14ac:dyDescent="0.2">
      <c r="A46" s="795">
        <v>5380</v>
      </c>
      <c r="B46" s="387" t="s">
        <v>1403</v>
      </c>
      <c r="C46" s="393"/>
      <c r="D46" s="395"/>
      <c r="E46" s="395"/>
      <c r="F46" s="212"/>
      <c r="G46" s="212"/>
      <c r="H46" s="212"/>
      <c r="I46" s="212"/>
      <c r="J46" s="212"/>
      <c r="K46" s="212"/>
      <c r="L46" s="212"/>
      <c r="M46" s="384">
        <f>O23</f>
        <v>0</v>
      </c>
      <c r="N46" s="411">
        <f>+Q23</f>
        <v>1000</v>
      </c>
      <c r="O46" s="414">
        <f t="shared" si="7"/>
        <v>1000</v>
      </c>
      <c r="P46" s="392">
        <f t="shared" si="8"/>
        <v>1</v>
      </c>
      <c r="Q46" s="385"/>
      <c r="R46" s="572"/>
      <c r="S46" s="386"/>
      <c r="T46" s="417"/>
    </row>
    <row r="47" spans="1:20" ht="13.5" thickBot="1" x14ac:dyDescent="0.25">
      <c r="A47" s="795">
        <v>5420</v>
      </c>
      <c r="B47" s="387" t="s">
        <v>864</v>
      </c>
      <c r="C47" s="389">
        <v>7536.34</v>
      </c>
      <c r="D47" s="389">
        <v>4635.58</v>
      </c>
      <c r="E47" s="389">
        <v>4881.71</v>
      </c>
      <c r="F47" s="212"/>
      <c r="G47" s="212"/>
      <c r="H47" s="212"/>
      <c r="I47" s="212"/>
      <c r="J47" s="212"/>
      <c r="K47" s="212"/>
      <c r="L47" s="212"/>
      <c r="M47" s="384">
        <f>O24</f>
        <v>9000</v>
      </c>
      <c r="N47" s="411">
        <f>+Q24</f>
        <v>13000</v>
      </c>
      <c r="O47" s="414">
        <f t="shared" si="7"/>
        <v>4000</v>
      </c>
      <c r="P47" s="392">
        <f t="shared" si="8"/>
        <v>0.44440000000000002</v>
      </c>
      <c r="Q47" s="385" t="s">
        <v>2248</v>
      </c>
      <c r="R47" s="572"/>
      <c r="S47" s="386"/>
      <c r="T47" s="417"/>
    </row>
    <row r="48" spans="1:20" x14ac:dyDescent="0.2">
      <c r="A48" s="774"/>
      <c r="B48" s="4"/>
      <c r="C48" s="23"/>
      <c r="D48" s="23"/>
      <c r="E48" s="23"/>
      <c r="F48" s="23"/>
      <c r="G48" s="23"/>
      <c r="H48" s="212"/>
      <c r="I48" s="212"/>
      <c r="J48" s="212"/>
      <c r="K48" s="212"/>
      <c r="L48" s="212"/>
      <c r="M48" s="23"/>
      <c r="N48" s="23"/>
      <c r="O48" s="23"/>
      <c r="P48" s="25"/>
      <c r="Q48" s="23"/>
      <c r="R48" s="23"/>
      <c r="S48" s="23"/>
      <c r="T48" s="23"/>
    </row>
    <row r="49" spans="1:20" x14ac:dyDescent="0.2">
      <c r="A49" s="774"/>
      <c r="B49" s="4" t="s">
        <v>846</v>
      </c>
      <c r="C49" s="23"/>
      <c r="D49" s="23"/>
      <c r="E49" s="23"/>
      <c r="F49" s="23"/>
      <c r="G49" s="23"/>
      <c r="H49" s="212"/>
      <c r="I49" s="212"/>
      <c r="J49" s="212"/>
      <c r="K49" s="212"/>
      <c r="L49" s="212"/>
      <c r="M49" s="616">
        <f>SUM(M34:M47)</f>
        <v>624338</v>
      </c>
      <c r="N49" s="616">
        <f>SUM(N34:N47)</f>
        <v>647221</v>
      </c>
      <c r="O49" s="25">
        <f>+N49-M49</f>
        <v>22883</v>
      </c>
      <c r="P49" s="617">
        <f>IF(M49+N49&lt;&gt;0,IF(M49&lt;&gt;0,IF(O49&lt;&gt;0,ROUND((+O49/M49),4),""),1),"")</f>
        <v>3.6700000000000003E-2</v>
      </c>
      <c r="Q49" s="23"/>
      <c r="R49" s="23"/>
      <c r="S49" s="23"/>
      <c r="T49" s="23"/>
    </row>
    <row r="50" spans="1:20" x14ac:dyDescent="0.2">
      <c r="A50" s="774"/>
      <c r="B50" s="4"/>
      <c r="C50" s="23"/>
      <c r="D50" s="23"/>
      <c r="E50" s="23"/>
      <c r="F50" s="23"/>
      <c r="G50" s="23"/>
      <c r="H50" s="23"/>
      <c r="I50" s="23"/>
      <c r="J50" s="23"/>
      <c r="K50" s="23"/>
      <c r="L50" s="23"/>
      <c r="M50" s="23"/>
      <c r="N50" s="23"/>
      <c r="O50" s="23"/>
      <c r="P50" s="25"/>
      <c r="Q50" s="23"/>
      <c r="R50" s="23"/>
      <c r="S50" s="23"/>
      <c r="T50" s="23"/>
    </row>
    <row r="51" spans="1:20" x14ac:dyDescent="0.2">
      <c r="A51" s="774"/>
      <c r="B51" s="4"/>
      <c r="C51" s="23"/>
      <c r="D51" s="23"/>
      <c r="E51" s="23"/>
      <c r="F51" s="23"/>
      <c r="G51" s="23"/>
      <c r="H51" s="23"/>
      <c r="I51" s="23"/>
      <c r="J51" s="23"/>
      <c r="K51" s="23"/>
      <c r="L51" s="23"/>
      <c r="M51" s="23"/>
      <c r="N51" s="23"/>
      <c r="O51" s="23"/>
      <c r="P51" s="25"/>
      <c r="Q51" s="23"/>
      <c r="R51" s="23"/>
      <c r="S51" s="23"/>
      <c r="T51" s="23"/>
    </row>
    <row r="52" spans="1:20" x14ac:dyDescent="0.2">
      <c r="A52" s="774"/>
      <c r="B52" s="4"/>
      <c r="C52" s="23"/>
      <c r="D52" s="23"/>
      <c r="E52" s="23"/>
      <c r="F52" s="23"/>
      <c r="G52" s="23"/>
      <c r="H52" s="23"/>
      <c r="I52" s="23"/>
      <c r="J52" s="23"/>
      <c r="K52" s="23"/>
      <c r="L52" s="23"/>
      <c r="M52" s="23"/>
      <c r="N52" s="23"/>
      <c r="O52" s="23"/>
      <c r="P52" s="25"/>
      <c r="Q52" s="23"/>
      <c r="R52" s="23"/>
      <c r="S52" s="23"/>
      <c r="T52" s="23"/>
    </row>
    <row r="53" spans="1:20" x14ac:dyDescent="0.2">
      <c r="A53" s="774"/>
      <c r="B53" s="4"/>
      <c r="C53" s="23"/>
      <c r="D53" s="23"/>
      <c r="E53" s="23"/>
      <c r="F53" s="23"/>
      <c r="G53" s="23"/>
      <c r="H53" s="23"/>
      <c r="I53" s="23"/>
      <c r="J53" s="23"/>
      <c r="K53" s="23"/>
      <c r="L53" s="23"/>
      <c r="M53" s="23"/>
      <c r="N53" s="23"/>
      <c r="O53" s="23"/>
      <c r="P53" s="25"/>
      <c r="Q53" s="23"/>
      <c r="R53" s="23"/>
      <c r="S53" s="23"/>
      <c r="T53" s="23"/>
    </row>
    <row r="54" spans="1:20" x14ac:dyDescent="0.2">
      <c r="A54" s="774"/>
      <c r="B54" s="4"/>
      <c r="C54" s="23"/>
      <c r="D54" s="23"/>
      <c r="E54" s="23"/>
      <c r="F54" s="23"/>
      <c r="G54" s="23"/>
      <c r="H54" s="23"/>
      <c r="I54" s="23"/>
      <c r="J54" s="23"/>
      <c r="K54" s="23"/>
      <c r="L54" s="23"/>
      <c r="M54" s="23"/>
      <c r="N54" s="23"/>
      <c r="O54" s="23"/>
      <c r="P54" s="25"/>
      <c r="Q54" s="23"/>
      <c r="R54" s="23"/>
      <c r="S54" s="23"/>
      <c r="T54" s="23"/>
    </row>
    <row r="55" spans="1:20" x14ac:dyDescent="0.2">
      <c r="A55" s="774"/>
      <c r="B55" s="4"/>
      <c r="C55" s="23"/>
      <c r="D55" s="23"/>
      <c r="E55" s="23"/>
      <c r="F55" s="23"/>
      <c r="G55" s="23"/>
      <c r="H55" s="23"/>
      <c r="I55" s="23"/>
      <c r="J55" s="23"/>
      <c r="K55" s="23"/>
      <c r="L55" s="23"/>
      <c r="M55" s="23"/>
      <c r="N55" s="23"/>
      <c r="O55" s="23"/>
      <c r="P55" s="25"/>
      <c r="Q55" s="23"/>
      <c r="R55" s="23"/>
      <c r="S55" s="23"/>
      <c r="T55" s="23"/>
    </row>
    <row r="56" spans="1:20" x14ac:dyDescent="0.2">
      <c r="A56" s="774"/>
      <c r="B56" s="4"/>
      <c r="C56" s="23"/>
      <c r="D56" s="23"/>
      <c r="E56" s="23"/>
      <c r="F56" s="23"/>
      <c r="G56" s="23"/>
      <c r="H56" s="23"/>
      <c r="I56" s="23"/>
      <c r="J56" s="23"/>
      <c r="K56" s="23"/>
      <c r="L56" s="23"/>
      <c r="M56" s="23"/>
      <c r="N56" s="23"/>
      <c r="O56" s="23"/>
      <c r="P56" s="25"/>
      <c r="Q56" s="23"/>
      <c r="R56" s="23"/>
      <c r="S56" s="23"/>
      <c r="T56" s="23"/>
    </row>
    <row r="57" spans="1:20" x14ac:dyDescent="0.2">
      <c r="A57" s="774"/>
      <c r="B57" s="4"/>
      <c r="C57" s="23"/>
      <c r="D57" s="23"/>
      <c r="E57" s="23"/>
      <c r="F57" s="23"/>
      <c r="G57" s="23"/>
      <c r="H57" s="23"/>
      <c r="I57" s="23"/>
      <c r="J57" s="23"/>
      <c r="K57" s="23"/>
      <c r="L57" s="23"/>
      <c r="M57" s="23"/>
      <c r="N57" s="23"/>
      <c r="O57" s="23"/>
      <c r="P57" s="25"/>
      <c r="Q57" s="23"/>
      <c r="R57" s="23"/>
      <c r="S57" s="23"/>
      <c r="T57" s="23"/>
    </row>
    <row r="58" spans="1:20" x14ac:dyDescent="0.2">
      <c r="A58" s="774"/>
      <c r="B58" s="4"/>
      <c r="C58" s="23"/>
      <c r="D58" s="23"/>
      <c r="E58" s="23"/>
      <c r="F58" s="23"/>
      <c r="G58" s="23"/>
      <c r="H58" s="23"/>
      <c r="I58" s="23"/>
      <c r="J58" s="23"/>
      <c r="K58" s="23"/>
      <c r="L58" s="23"/>
      <c r="M58" s="23"/>
      <c r="N58" s="23"/>
      <c r="O58" s="23"/>
      <c r="P58" s="25"/>
      <c r="Q58" s="23"/>
      <c r="R58" s="23"/>
      <c r="S58" s="23"/>
      <c r="T58" s="23"/>
    </row>
    <row r="59" spans="1:20" x14ac:dyDescent="0.2">
      <c r="A59" s="774"/>
      <c r="B59" s="4"/>
      <c r="C59" s="23"/>
      <c r="D59" s="23"/>
      <c r="E59" s="23"/>
      <c r="F59" s="23"/>
      <c r="G59" s="23"/>
      <c r="H59" s="23"/>
      <c r="I59" s="23"/>
      <c r="J59" s="23"/>
      <c r="K59" s="23"/>
      <c r="L59" s="23"/>
      <c r="M59" s="23"/>
      <c r="N59" s="23"/>
      <c r="O59" s="23"/>
      <c r="P59" s="25"/>
      <c r="Q59" s="23"/>
      <c r="R59" s="23"/>
      <c r="S59" s="23"/>
      <c r="T59" s="23"/>
    </row>
    <row r="60" spans="1:20" x14ac:dyDescent="0.2">
      <c r="A60" s="774"/>
      <c r="B60" s="4"/>
      <c r="C60" s="23"/>
      <c r="D60" s="23"/>
      <c r="E60" s="23"/>
      <c r="F60" s="23"/>
      <c r="G60" s="23"/>
      <c r="H60" s="23"/>
      <c r="I60" s="23"/>
      <c r="J60" s="23"/>
      <c r="K60" s="23"/>
      <c r="L60" s="23"/>
      <c r="M60" s="23"/>
      <c r="N60" s="23"/>
      <c r="O60" s="23"/>
      <c r="P60" s="25"/>
      <c r="Q60" s="23"/>
      <c r="R60" s="23"/>
      <c r="S60" s="23"/>
      <c r="T60" s="23"/>
    </row>
    <row r="61" spans="1:20" x14ac:dyDescent="0.2">
      <c r="A61" s="774"/>
      <c r="B61" s="4"/>
      <c r="C61" s="23"/>
      <c r="D61" s="23"/>
      <c r="E61" s="23"/>
      <c r="F61" s="23"/>
      <c r="G61" s="23"/>
      <c r="H61" s="23"/>
      <c r="I61" s="23"/>
      <c r="J61" s="23"/>
      <c r="K61" s="23"/>
      <c r="L61" s="23"/>
      <c r="M61" s="23"/>
      <c r="N61" s="23"/>
      <c r="O61" s="23"/>
      <c r="P61" s="25"/>
      <c r="Q61" s="23"/>
      <c r="R61" s="23"/>
      <c r="S61" s="23"/>
      <c r="T61" s="23"/>
    </row>
    <row r="62" spans="1:20" x14ac:dyDescent="0.2">
      <c r="A62" s="774"/>
      <c r="B62" s="4"/>
      <c r="C62" s="23"/>
      <c r="D62" s="23"/>
      <c r="E62" s="23"/>
      <c r="F62" s="23"/>
      <c r="G62" s="23"/>
      <c r="H62" s="23"/>
      <c r="I62" s="23"/>
      <c r="J62" s="23"/>
      <c r="K62" s="23"/>
      <c r="L62" s="23"/>
      <c r="M62" s="23"/>
      <c r="N62" s="23"/>
      <c r="O62" s="23"/>
      <c r="P62" s="25"/>
      <c r="Q62" s="23"/>
      <c r="R62" s="23"/>
      <c r="S62" s="23"/>
      <c r="T62" s="23"/>
    </row>
    <row r="63" spans="1:20" x14ac:dyDescent="0.2">
      <c r="A63" s="774"/>
      <c r="B63" s="4"/>
      <c r="C63" s="23"/>
      <c r="D63" s="23"/>
      <c r="E63" s="23"/>
      <c r="F63" s="23"/>
      <c r="G63" s="23"/>
      <c r="H63" s="23"/>
      <c r="I63" s="23"/>
      <c r="J63" s="23"/>
      <c r="K63" s="23"/>
      <c r="L63" s="23"/>
      <c r="M63" s="23"/>
      <c r="N63" s="23"/>
      <c r="O63" s="23"/>
      <c r="P63" s="25"/>
      <c r="Q63" s="23"/>
      <c r="R63" s="23"/>
      <c r="S63" s="23"/>
      <c r="T63" s="23"/>
    </row>
    <row r="64" spans="1:20" x14ac:dyDescent="0.2">
      <c r="A64" s="774"/>
      <c r="B64" s="4"/>
      <c r="C64" s="23"/>
      <c r="D64" s="23"/>
      <c r="E64" s="23"/>
      <c r="F64" s="23"/>
      <c r="G64" s="23"/>
      <c r="H64" s="23"/>
      <c r="I64" s="23"/>
      <c r="J64" s="23"/>
      <c r="K64" s="23"/>
      <c r="L64" s="23"/>
      <c r="M64" s="23"/>
      <c r="N64" s="23"/>
      <c r="O64" s="23"/>
      <c r="P64" s="25"/>
      <c r="Q64" s="23"/>
      <c r="R64" s="23"/>
      <c r="S64" s="23"/>
      <c r="T64" s="23"/>
    </row>
    <row r="65" spans="1:20" x14ac:dyDescent="0.2">
      <c r="A65" s="774"/>
      <c r="B65" s="4"/>
      <c r="C65" s="23"/>
      <c r="D65" s="23"/>
      <c r="E65" s="23"/>
      <c r="F65" s="23"/>
      <c r="G65" s="23"/>
      <c r="H65" s="23"/>
      <c r="I65" s="23"/>
      <c r="J65" s="23"/>
      <c r="K65" s="23"/>
      <c r="L65" s="23"/>
      <c r="M65" s="23"/>
      <c r="N65" s="23"/>
      <c r="O65" s="23"/>
      <c r="P65" s="25"/>
      <c r="Q65" s="23"/>
      <c r="R65" s="23"/>
      <c r="S65" s="23"/>
      <c r="T65" s="23"/>
    </row>
    <row r="66" spans="1:20" x14ac:dyDescent="0.2">
      <c r="A66" s="774"/>
      <c r="B66" s="4"/>
      <c r="C66" s="23"/>
      <c r="D66" s="23"/>
      <c r="E66" s="23"/>
      <c r="F66" s="23"/>
      <c r="G66" s="23"/>
      <c r="H66" s="23"/>
      <c r="I66" s="23"/>
      <c r="J66" s="23"/>
      <c r="K66" s="23"/>
      <c r="L66" s="23"/>
      <c r="M66" s="23"/>
      <c r="N66" s="23"/>
      <c r="O66" s="23"/>
      <c r="P66" s="25"/>
      <c r="Q66" s="23"/>
      <c r="R66" s="23"/>
      <c r="S66" s="23"/>
      <c r="T66" s="23"/>
    </row>
    <row r="67" spans="1:20" x14ac:dyDescent="0.2">
      <c r="A67" s="774"/>
      <c r="B67" s="4"/>
      <c r="C67" s="23"/>
      <c r="D67" s="23"/>
      <c r="E67" s="23"/>
      <c r="F67" s="23"/>
      <c r="G67" s="23"/>
      <c r="H67" s="23"/>
      <c r="I67" s="23"/>
      <c r="J67" s="23"/>
      <c r="K67" s="23"/>
      <c r="L67" s="23"/>
      <c r="M67" s="23"/>
      <c r="N67" s="23"/>
      <c r="O67" s="23"/>
      <c r="P67" s="4"/>
      <c r="Q67" s="23"/>
      <c r="R67" s="23"/>
      <c r="S67" s="23"/>
      <c r="T67" s="23"/>
    </row>
    <row r="68" spans="1:20" x14ac:dyDescent="0.2">
      <c r="A68" s="774"/>
      <c r="B68" s="4"/>
      <c r="C68" s="23"/>
      <c r="D68" s="23"/>
      <c r="E68" s="23"/>
      <c r="F68" s="23"/>
      <c r="G68" s="23"/>
      <c r="H68" s="23"/>
      <c r="I68" s="23"/>
      <c r="J68" s="23"/>
      <c r="K68" s="23"/>
      <c r="L68" s="23"/>
      <c r="M68" s="23"/>
      <c r="N68" s="23"/>
      <c r="O68" s="23"/>
      <c r="P68" s="4"/>
      <c r="Q68" s="23"/>
      <c r="R68" s="23"/>
      <c r="S68" s="23"/>
      <c r="T68" s="23"/>
    </row>
    <row r="69" spans="1:20" x14ac:dyDescent="0.2">
      <c r="A69" s="774"/>
      <c r="B69" s="4"/>
      <c r="C69" s="23"/>
      <c r="D69" s="23"/>
      <c r="E69" s="23"/>
      <c r="F69" s="23"/>
      <c r="G69" s="23"/>
      <c r="H69" s="23"/>
      <c r="I69" s="23"/>
      <c r="J69" s="23"/>
      <c r="K69" s="23"/>
      <c r="L69" s="23"/>
      <c r="M69" s="23"/>
      <c r="N69" s="23"/>
      <c r="O69" s="23"/>
      <c r="P69" s="4"/>
      <c r="Q69" s="23"/>
      <c r="R69" s="23"/>
      <c r="S69" s="23"/>
      <c r="T69" s="23"/>
    </row>
    <row r="70" spans="1:20" x14ac:dyDescent="0.2">
      <c r="A70" s="774"/>
      <c r="B70" s="4"/>
      <c r="C70" s="23"/>
      <c r="D70" s="23"/>
      <c r="E70" s="23"/>
      <c r="F70" s="23"/>
      <c r="G70" s="23"/>
      <c r="H70" s="23"/>
      <c r="I70" s="23"/>
      <c r="J70" s="23"/>
      <c r="K70" s="23"/>
      <c r="L70" s="23"/>
      <c r="M70" s="23"/>
      <c r="N70" s="23"/>
      <c r="O70" s="23"/>
      <c r="P70" s="4"/>
      <c r="Q70" s="23"/>
      <c r="R70" s="23"/>
      <c r="S70" s="23"/>
      <c r="T70" s="23"/>
    </row>
    <row r="71" spans="1:20" x14ac:dyDescent="0.2">
      <c r="A71" s="774"/>
      <c r="B71" s="4"/>
      <c r="C71" s="23"/>
      <c r="D71" s="23"/>
      <c r="E71" s="23"/>
      <c r="F71" s="23"/>
      <c r="G71" s="23"/>
      <c r="H71" s="23"/>
      <c r="I71" s="23"/>
      <c r="J71" s="23"/>
      <c r="K71" s="23"/>
      <c r="L71" s="23"/>
      <c r="M71" s="23"/>
      <c r="N71" s="23"/>
      <c r="O71" s="23"/>
      <c r="P71" s="4"/>
      <c r="Q71" s="23"/>
      <c r="R71" s="23"/>
      <c r="S71" s="23"/>
      <c r="T71" s="23"/>
    </row>
    <row r="72" spans="1:20" x14ac:dyDescent="0.2">
      <c r="A72" s="774"/>
      <c r="B72" s="4"/>
      <c r="C72" s="23"/>
      <c r="D72" s="23"/>
      <c r="E72" s="23"/>
      <c r="F72" s="23"/>
      <c r="G72" s="23"/>
      <c r="H72" s="23"/>
      <c r="I72" s="23"/>
      <c r="J72" s="23"/>
      <c r="K72" s="23"/>
      <c r="L72" s="23"/>
      <c r="M72" s="23"/>
      <c r="N72" s="23"/>
      <c r="O72" s="23"/>
      <c r="P72" s="4"/>
      <c r="Q72" s="23"/>
      <c r="R72" s="23"/>
      <c r="S72" s="23"/>
      <c r="T72" s="23"/>
    </row>
    <row r="73" spans="1:20" x14ac:dyDescent="0.2">
      <c r="A73" s="774"/>
      <c r="B73" s="4"/>
      <c r="C73" s="23"/>
      <c r="D73" s="23"/>
      <c r="E73" s="23"/>
      <c r="F73" s="23"/>
      <c r="G73" s="23"/>
      <c r="H73" s="23"/>
      <c r="I73" s="23"/>
      <c r="J73" s="23"/>
      <c r="K73" s="23"/>
      <c r="L73" s="23"/>
      <c r="M73" s="23"/>
      <c r="N73" s="23"/>
      <c r="O73" s="23"/>
      <c r="P73" s="4"/>
      <c r="Q73" s="23"/>
      <c r="R73" s="23"/>
      <c r="S73" s="23"/>
      <c r="T73" s="23"/>
    </row>
    <row r="74" spans="1:20" x14ac:dyDescent="0.2">
      <c r="A74" s="774"/>
      <c r="B74" s="4"/>
      <c r="C74" s="23"/>
      <c r="D74" s="23"/>
      <c r="E74" s="23"/>
      <c r="F74" s="23"/>
      <c r="G74" s="23"/>
      <c r="H74" s="23"/>
      <c r="I74" s="23"/>
      <c r="J74" s="23"/>
      <c r="K74" s="23"/>
      <c r="L74" s="23"/>
      <c r="M74" s="23"/>
      <c r="N74" s="23"/>
      <c r="O74" s="23"/>
      <c r="P74" s="4"/>
      <c r="Q74" s="23"/>
      <c r="R74" s="23"/>
      <c r="S74" s="23"/>
      <c r="T74" s="23"/>
    </row>
    <row r="75" spans="1:20" x14ac:dyDescent="0.2">
      <c r="A75" s="774"/>
      <c r="B75" s="4"/>
      <c r="C75" s="23"/>
      <c r="D75" s="23"/>
      <c r="E75" s="23"/>
      <c r="F75" s="23"/>
      <c r="G75" s="23"/>
      <c r="H75" s="23"/>
      <c r="I75" s="23"/>
      <c r="J75" s="23"/>
      <c r="K75" s="23"/>
      <c r="L75" s="23"/>
      <c r="M75" s="23"/>
      <c r="N75" s="23"/>
      <c r="O75" s="23"/>
      <c r="P75" s="4"/>
      <c r="Q75" s="23"/>
      <c r="R75" s="23"/>
      <c r="S75" s="23"/>
      <c r="T75" s="23"/>
    </row>
    <row r="76" spans="1:20" x14ac:dyDescent="0.2">
      <c r="A76" s="774"/>
      <c r="B76" s="4"/>
      <c r="C76" s="23"/>
      <c r="D76" s="23"/>
      <c r="E76" s="23"/>
      <c r="F76" s="23"/>
      <c r="G76" s="23"/>
      <c r="H76" s="23"/>
      <c r="I76" s="23"/>
      <c r="J76" s="23"/>
      <c r="K76" s="23"/>
      <c r="L76" s="23"/>
      <c r="M76" s="23"/>
      <c r="N76" s="23"/>
      <c r="O76" s="23"/>
      <c r="P76" s="4"/>
      <c r="Q76" s="23"/>
      <c r="R76" s="23"/>
      <c r="S76" s="23"/>
      <c r="T76" s="23"/>
    </row>
    <row r="77" spans="1:20" x14ac:dyDescent="0.2">
      <c r="A77" s="774"/>
      <c r="B77" s="4"/>
      <c r="C77" s="23"/>
      <c r="D77" s="23"/>
      <c r="E77" s="23"/>
      <c r="F77" s="23"/>
      <c r="G77" s="23"/>
      <c r="H77" s="23"/>
      <c r="I77" s="23"/>
      <c r="J77" s="23"/>
      <c r="K77" s="23"/>
      <c r="L77" s="23"/>
      <c r="M77" s="23"/>
      <c r="N77" s="23"/>
      <c r="O77" s="23"/>
      <c r="P77" s="4"/>
      <c r="Q77" s="23"/>
      <c r="R77" s="23"/>
      <c r="S77" s="23"/>
      <c r="T77" s="23"/>
    </row>
    <row r="78" spans="1:20" x14ac:dyDescent="0.2">
      <c r="A78" s="774"/>
      <c r="B78" s="4"/>
      <c r="C78" s="23"/>
      <c r="D78" s="23"/>
      <c r="E78" s="23"/>
      <c r="F78" s="23"/>
      <c r="G78" s="23"/>
      <c r="H78" s="23"/>
      <c r="I78" s="23"/>
      <c r="J78" s="23"/>
      <c r="K78" s="23"/>
      <c r="L78" s="23"/>
      <c r="M78" s="23"/>
      <c r="N78" s="23"/>
      <c r="O78" s="23"/>
      <c r="P78" s="4"/>
      <c r="Q78" s="23"/>
      <c r="R78" s="23"/>
      <c r="S78" s="23"/>
      <c r="T78" s="23"/>
    </row>
    <row r="79" spans="1:20" x14ac:dyDescent="0.2">
      <c r="A79" s="774"/>
      <c r="B79" s="4"/>
      <c r="C79" s="23"/>
      <c r="D79" s="23"/>
      <c r="E79" s="23"/>
      <c r="F79" s="23"/>
      <c r="G79" s="23"/>
      <c r="H79" s="23"/>
      <c r="I79" s="23"/>
      <c r="J79" s="23"/>
      <c r="K79" s="23"/>
      <c r="L79" s="23"/>
      <c r="M79" s="23"/>
      <c r="N79" s="23"/>
      <c r="O79" s="23"/>
      <c r="P79" s="4"/>
      <c r="Q79" s="23"/>
      <c r="R79" s="23"/>
      <c r="S79" s="23"/>
      <c r="T79" s="23"/>
    </row>
    <row r="80" spans="1:20" x14ac:dyDescent="0.2">
      <c r="A80" s="774"/>
      <c r="B80" s="4"/>
      <c r="C80" s="23"/>
      <c r="D80" s="23"/>
      <c r="E80" s="23"/>
      <c r="F80" s="23"/>
      <c r="G80" s="23"/>
      <c r="H80" s="23"/>
      <c r="I80" s="23"/>
      <c r="J80" s="23"/>
      <c r="K80" s="23"/>
      <c r="L80" s="23"/>
      <c r="M80" s="23"/>
      <c r="N80" s="23"/>
      <c r="O80" s="23"/>
      <c r="P80" s="4"/>
      <c r="Q80" s="23"/>
      <c r="R80" s="23"/>
      <c r="S80" s="23"/>
      <c r="T80" s="23"/>
    </row>
    <row r="81" spans="1:20" x14ac:dyDescent="0.2">
      <c r="A81" s="774"/>
      <c r="B81" s="4"/>
      <c r="C81" s="23"/>
      <c r="D81" s="23"/>
      <c r="E81" s="23"/>
      <c r="F81" s="23"/>
      <c r="G81" s="23"/>
      <c r="H81" s="23"/>
      <c r="I81" s="23"/>
      <c r="J81" s="23"/>
      <c r="K81" s="23"/>
      <c r="L81" s="23"/>
      <c r="M81" s="23"/>
      <c r="N81" s="23"/>
      <c r="O81" s="23"/>
      <c r="P81" s="4"/>
      <c r="Q81" s="23"/>
      <c r="R81" s="23"/>
      <c r="S81" s="23"/>
      <c r="T81" s="23"/>
    </row>
    <row r="82" spans="1:20" x14ac:dyDescent="0.2">
      <c r="A82" s="774"/>
      <c r="B82" s="4"/>
      <c r="C82" s="23"/>
      <c r="D82" s="23"/>
      <c r="E82" s="23"/>
      <c r="F82" s="23"/>
      <c r="G82" s="23"/>
      <c r="H82" s="23"/>
      <c r="I82" s="23"/>
      <c r="J82" s="23"/>
      <c r="K82" s="23"/>
      <c r="L82" s="23"/>
      <c r="M82" s="23"/>
      <c r="N82" s="23"/>
      <c r="O82" s="23"/>
      <c r="P82" s="4"/>
      <c r="Q82" s="23"/>
      <c r="R82" s="23"/>
      <c r="S82" s="23"/>
      <c r="T82" s="23"/>
    </row>
    <row r="83" spans="1:20" x14ac:dyDescent="0.2">
      <c r="A83" s="774"/>
      <c r="B83" s="4"/>
      <c r="C83" s="23"/>
      <c r="D83" s="23"/>
      <c r="E83" s="23"/>
      <c r="F83" s="23"/>
      <c r="G83" s="23"/>
      <c r="H83" s="23"/>
      <c r="I83" s="23"/>
      <c r="J83" s="23"/>
      <c r="K83" s="23"/>
      <c r="L83" s="23"/>
      <c r="M83" s="23"/>
      <c r="N83" s="23"/>
      <c r="O83" s="23"/>
      <c r="P83" s="4"/>
      <c r="Q83" s="23"/>
      <c r="R83" s="23"/>
      <c r="S83" s="23"/>
      <c r="T83" s="23"/>
    </row>
    <row r="84" spans="1:20" x14ac:dyDescent="0.2">
      <c r="A84" s="774"/>
      <c r="B84" s="4"/>
      <c r="C84" s="23"/>
      <c r="D84" s="23"/>
      <c r="E84" s="23"/>
      <c r="F84" s="23"/>
      <c r="G84" s="23"/>
      <c r="H84" s="23"/>
      <c r="I84" s="23"/>
      <c r="J84" s="23"/>
      <c r="K84" s="23"/>
      <c r="L84" s="23"/>
      <c r="M84" s="23"/>
      <c r="N84" s="23"/>
      <c r="O84" s="23"/>
      <c r="P84" s="4"/>
      <c r="Q84" s="23"/>
      <c r="R84" s="23"/>
      <c r="S84" s="23"/>
      <c r="T84" s="23"/>
    </row>
    <row r="85" spans="1:20" x14ac:dyDescent="0.2">
      <c r="A85" s="774"/>
      <c r="B85" s="4"/>
      <c r="C85" s="23"/>
      <c r="D85" s="23"/>
      <c r="E85" s="23"/>
      <c r="F85" s="23"/>
      <c r="G85" s="23"/>
      <c r="H85" s="23"/>
      <c r="I85" s="23"/>
      <c r="J85" s="23"/>
      <c r="K85" s="23"/>
      <c r="L85" s="23"/>
      <c r="M85" s="23"/>
      <c r="N85" s="23"/>
      <c r="O85" s="23"/>
      <c r="P85" s="4"/>
      <c r="Q85" s="23"/>
      <c r="R85" s="23"/>
      <c r="S85" s="23"/>
      <c r="T85" s="23"/>
    </row>
    <row r="86" spans="1:20" x14ac:dyDescent="0.2">
      <c r="A86" s="774"/>
      <c r="B86" s="4"/>
      <c r="C86" s="23"/>
      <c r="D86" s="23"/>
      <c r="E86" s="23"/>
      <c r="F86" s="23"/>
      <c r="G86" s="23"/>
      <c r="H86" s="23"/>
      <c r="I86" s="23"/>
      <c r="J86" s="23"/>
      <c r="K86" s="23"/>
      <c r="L86" s="23"/>
      <c r="M86" s="23"/>
      <c r="N86" s="23"/>
      <c r="O86" s="23"/>
      <c r="P86" s="4"/>
      <c r="Q86" s="23"/>
      <c r="R86" s="23"/>
      <c r="S86" s="23"/>
      <c r="T86" s="23"/>
    </row>
    <row r="87" spans="1:20" x14ac:dyDescent="0.2">
      <c r="A87" s="774"/>
      <c r="B87" s="4"/>
      <c r="C87" s="23"/>
      <c r="D87" s="23"/>
      <c r="E87" s="23"/>
      <c r="F87" s="23"/>
      <c r="G87" s="23"/>
      <c r="H87" s="23"/>
      <c r="I87" s="23"/>
      <c r="J87" s="23"/>
      <c r="K87" s="23"/>
      <c r="L87" s="23"/>
      <c r="M87" s="23"/>
      <c r="N87" s="23"/>
      <c r="O87" s="23"/>
      <c r="P87" s="4"/>
      <c r="Q87" s="23"/>
      <c r="R87" s="23"/>
      <c r="S87" s="23"/>
      <c r="T87" s="23"/>
    </row>
    <row r="88" spans="1:20" x14ac:dyDescent="0.2">
      <c r="A88" s="774"/>
      <c r="B88" s="4"/>
      <c r="C88" s="23"/>
      <c r="D88" s="23"/>
      <c r="E88" s="23"/>
      <c r="F88" s="23"/>
      <c r="G88" s="23"/>
      <c r="H88" s="23"/>
      <c r="I88" s="23"/>
      <c r="J88" s="23"/>
      <c r="K88" s="23"/>
      <c r="L88" s="23"/>
      <c r="M88" s="23"/>
      <c r="N88" s="23"/>
      <c r="O88" s="23"/>
      <c r="P88" s="4"/>
      <c r="Q88" s="23"/>
      <c r="R88" s="23"/>
      <c r="S88" s="23"/>
      <c r="T88" s="23"/>
    </row>
    <row r="89" spans="1:20" x14ac:dyDescent="0.2">
      <c r="A89" s="774"/>
      <c r="B89" s="4"/>
      <c r="C89" s="23"/>
      <c r="D89" s="23"/>
      <c r="E89" s="23"/>
      <c r="F89" s="23"/>
      <c r="G89" s="23"/>
      <c r="H89" s="23"/>
      <c r="I89" s="23"/>
      <c r="J89" s="23"/>
      <c r="K89" s="23"/>
      <c r="L89" s="23"/>
      <c r="M89" s="23"/>
      <c r="N89" s="23"/>
      <c r="O89" s="23"/>
      <c r="P89" s="4"/>
      <c r="Q89" s="23"/>
      <c r="R89" s="23"/>
      <c r="S89" s="23"/>
      <c r="T89" s="23"/>
    </row>
    <row r="90" spans="1:20" x14ac:dyDescent="0.2">
      <c r="A90" s="774"/>
      <c r="B90" s="4"/>
      <c r="C90" s="23"/>
      <c r="D90" s="23"/>
      <c r="E90" s="23"/>
      <c r="F90" s="23"/>
      <c r="G90" s="23"/>
      <c r="H90" s="23"/>
      <c r="I90" s="23"/>
      <c r="J90" s="23"/>
      <c r="K90" s="23"/>
      <c r="L90" s="23"/>
      <c r="M90" s="23"/>
      <c r="N90" s="23"/>
      <c r="O90" s="23"/>
      <c r="P90" s="4"/>
      <c r="Q90" s="23"/>
      <c r="R90" s="23"/>
      <c r="S90" s="23"/>
      <c r="T90" s="23"/>
    </row>
    <row r="91" spans="1:20" x14ac:dyDescent="0.2">
      <c r="A91" s="774"/>
      <c r="B91" s="4"/>
      <c r="C91" s="23"/>
      <c r="D91" s="23"/>
      <c r="E91" s="23"/>
      <c r="F91" s="23"/>
      <c r="G91" s="23"/>
      <c r="H91" s="23"/>
      <c r="I91" s="23"/>
      <c r="J91" s="23"/>
      <c r="K91" s="23"/>
      <c r="L91" s="23"/>
      <c r="M91" s="23"/>
      <c r="N91" s="23"/>
      <c r="O91" s="23"/>
      <c r="P91" s="4"/>
      <c r="Q91" s="23"/>
      <c r="R91" s="23"/>
      <c r="S91" s="23"/>
      <c r="T91" s="23"/>
    </row>
    <row r="92" spans="1:20" x14ac:dyDescent="0.2">
      <c r="A92" s="774"/>
      <c r="B92" s="4"/>
      <c r="C92" s="23"/>
      <c r="D92" s="23"/>
      <c r="E92" s="23"/>
      <c r="F92" s="23"/>
      <c r="G92" s="23"/>
      <c r="H92" s="23"/>
      <c r="I92" s="23"/>
      <c r="J92" s="23"/>
      <c r="K92" s="23"/>
      <c r="L92" s="23"/>
      <c r="M92" s="23"/>
      <c r="N92" s="23"/>
      <c r="O92" s="23"/>
      <c r="P92" s="4"/>
      <c r="Q92" s="23"/>
      <c r="R92" s="23"/>
      <c r="S92" s="23"/>
      <c r="T92" s="23"/>
    </row>
    <row r="93" spans="1:20" x14ac:dyDescent="0.2">
      <c r="A93" s="774"/>
      <c r="B93" s="4"/>
      <c r="C93" s="23"/>
      <c r="D93" s="23"/>
      <c r="E93" s="23"/>
      <c r="F93" s="23"/>
      <c r="G93" s="23"/>
      <c r="H93" s="23"/>
      <c r="I93" s="23"/>
      <c r="J93" s="23"/>
      <c r="K93" s="23"/>
      <c r="L93" s="23"/>
      <c r="M93" s="23"/>
      <c r="N93" s="23"/>
      <c r="O93" s="23"/>
      <c r="P93" s="4"/>
      <c r="Q93" s="23"/>
      <c r="R93" s="23"/>
      <c r="S93" s="23"/>
      <c r="T93" s="23"/>
    </row>
    <row r="94" spans="1:20" x14ac:dyDescent="0.2">
      <c r="A94" s="774"/>
      <c r="B94" s="4"/>
      <c r="C94" s="23"/>
      <c r="D94" s="23"/>
      <c r="E94" s="23"/>
      <c r="F94" s="23"/>
      <c r="G94" s="23"/>
      <c r="H94" s="23"/>
      <c r="I94" s="23"/>
      <c r="J94" s="23"/>
      <c r="K94" s="23"/>
      <c r="L94" s="23"/>
      <c r="M94" s="23"/>
      <c r="N94" s="23"/>
      <c r="O94" s="23"/>
      <c r="P94" s="4"/>
      <c r="Q94" s="23"/>
      <c r="R94" s="23"/>
      <c r="S94" s="23"/>
      <c r="T94" s="23"/>
    </row>
    <row r="95" spans="1:20" x14ac:dyDescent="0.2">
      <c r="A95" s="774"/>
      <c r="B95" s="4"/>
      <c r="C95" s="23"/>
      <c r="D95" s="23"/>
      <c r="E95" s="23"/>
      <c r="F95" s="23"/>
      <c r="G95" s="23"/>
      <c r="H95" s="23"/>
      <c r="I95" s="23"/>
      <c r="J95" s="23"/>
      <c r="K95" s="23"/>
      <c r="L95" s="23"/>
      <c r="M95" s="23"/>
      <c r="N95" s="23"/>
      <c r="O95" s="23"/>
      <c r="P95" s="4"/>
      <c r="Q95" s="23"/>
      <c r="R95" s="23"/>
      <c r="S95" s="23"/>
      <c r="T95" s="23"/>
    </row>
    <row r="96" spans="1:20" x14ac:dyDescent="0.2">
      <c r="A96" s="774"/>
      <c r="B96" s="4"/>
      <c r="C96" s="23"/>
      <c r="D96" s="23"/>
      <c r="E96" s="23"/>
      <c r="F96" s="23"/>
      <c r="G96" s="23"/>
      <c r="H96" s="23"/>
      <c r="I96" s="23"/>
      <c r="J96" s="23"/>
      <c r="K96" s="23"/>
      <c r="L96" s="23"/>
      <c r="M96" s="23"/>
      <c r="N96" s="23"/>
      <c r="O96" s="23"/>
      <c r="P96" s="4"/>
      <c r="Q96" s="23"/>
      <c r="R96" s="23"/>
      <c r="S96" s="23"/>
      <c r="T96" s="23"/>
    </row>
    <row r="97" spans="1:20" x14ac:dyDescent="0.2">
      <c r="A97" s="774"/>
      <c r="B97" s="4"/>
      <c r="C97" s="23"/>
      <c r="D97" s="23"/>
      <c r="E97" s="23"/>
      <c r="F97" s="23"/>
      <c r="G97" s="23"/>
      <c r="H97" s="23"/>
      <c r="I97" s="23"/>
      <c r="J97" s="23"/>
      <c r="K97" s="23"/>
      <c r="L97" s="23"/>
      <c r="M97" s="23"/>
      <c r="N97" s="23"/>
      <c r="O97" s="23"/>
      <c r="P97" s="4"/>
      <c r="Q97" s="23"/>
      <c r="R97" s="23"/>
      <c r="S97" s="23"/>
      <c r="T97" s="23"/>
    </row>
    <row r="98" spans="1:20" x14ac:dyDescent="0.2">
      <c r="A98" s="774"/>
      <c r="B98" s="4"/>
      <c r="C98" s="23"/>
      <c r="D98" s="23"/>
      <c r="E98" s="23"/>
      <c r="F98" s="23"/>
      <c r="G98" s="23"/>
      <c r="H98" s="23"/>
      <c r="I98" s="23"/>
      <c r="J98" s="23"/>
      <c r="K98" s="23"/>
      <c r="L98" s="23"/>
      <c r="M98" s="23"/>
      <c r="N98" s="23"/>
      <c r="O98" s="23"/>
      <c r="P98" s="4"/>
      <c r="Q98" s="23"/>
      <c r="R98" s="23"/>
      <c r="S98" s="23"/>
      <c r="T98" s="23"/>
    </row>
    <row r="99" spans="1:20" x14ac:dyDescent="0.2">
      <c r="A99" s="774"/>
      <c r="B99" s="4"/>
      <c r="C99" s="23"/>
      <c r="D99" s="23"/>
      <c r="E99" s="23"/>
      <c r="F99" s="23"/>
      <c r="G99" s="23"/>
      <c r="H99" s="23"/>
      <c r="I99" s="23"/>
      <c r="J99" s="23"/>
      <c r="K99" s="23"/>
      <c r="L99" s="23"/>
      <c r="M99" s="23"/>
      <c r="N99" s="23"/>
      <c r="O99" s="23"/>
      <c r="P99" s="4"/>
      <c r="Q99" s="23"/>
      <c r="R99" s="23"/>
      <c r="S99" s="23"/>
      <c r="T99" s="23"/>
    </row>
    <row r="100" spans="1:20" x14ac:dyDescent="0.2">
      <c r="A100" s="774"/>
      <c r="B100" s="4"/>
      <c r="C100" s="23"/>
      <c r="D100" s="23"/>
      <c r="E100" s="23"/>
      <c r="F100" s="23"/>
      <c r="G100" s="23"/>
      <c r="H100" s="23"/>
      <c r="I100" s="23"/>
      <c r="J100" s="23"/>
      <c r="K100" s="23"/>
      <c r="L100" s="23"/>
      <c r="M100" s="23"/>
      <c r="N100" s="23"/>
      <c r="O100" s="23"/>
      <c r="P100" s="4"/>
      <c r="Q100" s="23"/>
      <c r="R100" s="23"/>
      <c r="S100" s="23"/>
      <c r="T100" s="23"/>
    </row>
    <row r="101" spans="1:20" x14ac:dyDescent="0.2">
      <c r="A101" s="774"/>
      <c r="B101" s="4"/>
      <c r="C101" s="23"/>
      <c r="D101" s="23"/>
      <c r="E101" s="23"/>
      <c r="F101" s="23"/>
      <c r="G101" s="23"/>
      <c r="H101" s="23"/>
      <c r="I101" s="23"/>
      <c r="J101" s="23"/>
      <c r="K101" s="23"/>
      <c r="L101" s="23"/>
      <c r="M101" s="23"/>
      <c r="N101" s="23"/>
      <c r="O101" s="23"/>
      <c r="P101" s="4"/>
      <c r="Q101" s="23"/>
      <c r="R101" s="23"/>
      <c r="S101" s="23"/>
      <c r="T101" s="23"/>
    </row>
    <row r="102" spans="1:20" x14ac:dyDescent="0.2">
      <c r="A102" s="774"/>
      <c r="B102" s="4"/>
      <c r="C102" s="23"/>
      <c r="D102" s="23"/>
      <c r="E102" s="23"/>
      <c r="F102" s="23"/>
      <c r="G102" s="23"/>
      <c r="H102" s="23"/>
      <c r="I102" s="23"/>
      <c r="J102" s="23"/>
      <c r="K102" s="23"/>
      <c r="L102" s="23"/>
      <c r="M102" s="23"/>
      <c r="N102" s="23"/>
      <c r="O102" s="23"/>
      <c r="P102" s="4"/>
      <c r="Q102" s="23"/>
      <c r="R102" s="23"/>
      <c r="S102" s="23"/>
      <c r="T102" s="23"/>
    </row>
    <row r="103" spans="1:20" x14ac:dyDescent="0.2">
      <c r="A103" s="774"/>
      <c r="B103" s="4"/>
      <c r="C103" s="23"/>
      <c r="D103" s="23"/>
      <c r="E103" s="23"/>
      <c r="F103" s="23"/>
      <c r="G103" s="23"/>
      <c r="H103" s="23"/>
      <c r="I103" s="23"/>
      <c r="J103" s="23"/>
      <c r="K103" s="23"/>
      <c r="L103" s="23"/>
      <c r="M103" s="23"/>
      <c r="N103" s="23"/>
      <c r="O103" s="23"/>
      <c r="P103" s="4"/>
      <c r="Q103" s="23"/>
      <c r="R103" s="23"/>
      <c r="S103" s="23"/>
      <c r="T103" s="23"/>
    </row>
    <row r="104" spans="1:20" x14ac:dyDescent="0.2">
      <c r="A104" s="774"/>
      <c r="B104" s="4"/>
      <c r="C104" s="23"/>
      <c r="D104" s="23"/>
      <c r="E104" s="23"/>
      <c r="F104" s="23"/>
      <c r="G104" s="23"/>
      <c r="H104" s="23"/>
      <c r="I104" s="23"/>
      <c r="J104" s="23"/>
      <c r="K104" s="23"/>
      <c r="L104" s="23"/>
      <c r="M104" s="23"/>
      <c r="N104" s="23"/>
      <c r="O104" s="23"/>
      <c r="P104" s="4"/>
      <c r="Q104" s="23"/>
      <c r="R104" s="23"/>
      <c r="S104" s="23"/>
      <c r="T104" s="23"/>
    </row>
    <row r="105" spans="1:20" x14ac:dyDescent="0.2">
      <c r="A105" s="774"/>
      <c r="B105" s="4"/>
      <c r="C105" s="23"/>
      <c r="D105" s="23"/>
      <c r="E105" s="23"/>
      <c r="F105" s="23"/>
      <c r="G105" s="23"/>
      <c r="H105" s="23"/>
      <c r="I105" s="23"/>
      <c r="J105" s="23"/>
      <c r="K105" s="23"/>
      <c r="L105" s="23"/>
      <c r="M105" s="23"/>
      <c r="N105" s="23"/>
      <c r="O105" s="23"/>
      <c r="P105" s="4"/>
      <c r="Q105" s="23"/>
      <c r="R105" s="23"/>
      <c r="S105" s="23"/>
      <c r="T105" s="23"/>
    </row>
    <row r="106" spans="1:20" x14ac:dyDescent="0.2">
      <c r="A106" s="774"/>
      <c r="B106" s="4"/>
      <c r="C106" s="23"/>
      <c r="D106" s="23"/>
      <c r="E106" s="23"/>
      <c r="F106" s="23"/>
      <c r="G106" s="23"/>
      <c r="H106" s="23"/>
      <c r="I106" s="23"/>
      <c r="J106" s="23"/>
      <c r="K106" s="23"/>
      <c r="L106" s="23"/>
      <c r="M106" s="23"/>
      <c r="N106" s="23"/>
      <c r="O106" s="23"/>
      <c r="P106" s="4"/>
      <c r="Q106" s="23"/>
      <c r="R106" s="23"/>
      <c r="S106" s="23"/>
      <c r="T106" s="23"/>
    </row>
    <row r="107" spans="1:20" x14ac:dyDescent="0.2">
      <c r="A107" s="774"/>
      <c r="B107" s="4"/>
      <c r="C107" s="23"/>
      <c r="D107" s="23"/>
      <c r="E107" s="23"/>
      <c r="F107" s="23"/>
      <c r="G107" s="23"/>
      <c r="H107" s="23"/>
      <c r="I107" s="23"/>
      <c r="J107" s="23"/>
      <c r="K107" s="23"/>
      <c r="L107" s="23"/>
      <c r="M107" s="23"/>
      <c r="N107" s="23"/>
      <c r="O107" s="23"/>
      <c r="P107" s="4"/>
      <c r="Q107" s="23"/>
      <c r="R107" s="23"/>
      <c r="S107" s="23"/>
      <c r="T107" s="23"/>
    </row>
    <row r="108" spans="1:20" x14ac:dyDescent="0.2">
      <c r="A108" s="774"/>
      <c r="B108" s="4"/>
      <c r="C108" s="23"/>
      <c r="D108" s="23"/>
      <c r="E108" s="23"/>
      <c r="F108" s="23"/>
      <c r="G108" s="23"/>
      <c r="H108" s="23"/>
      <c r="I108" s="23"/>
      <c r="J108" s="23"/>
      <c r="K108" s="23"/>
      <c r="L108" s="23"/>
      <c r="M108" s="23"/>
      <c r="N108" s="23"/>
      <c r="O108" s="23"/>
      <c r="P108" s="4"/>
      <c r="Q108" s="23"/>
      <c r="R108" s="23"/>
      <c r="S108" s="23"/>
      <c r="T108" s="23"/>
    </row>
    <row r="109" spans="1:20" x14ac:dyDescent="0.2">
      <c r="A109" s="774"/>
      <c r="B109" s="4"/>
      <c r="C109" s="23"/>
      <c r="D109" s="23"/>
      <c r="E109" s="23"/>
      <c r="F109" s="23"/>
      <c r="G109" s="23"/>
      <c r="H109" s="23"/>
      <c r="I109" s="23"/>
      <c r="J109" s="23"/>
      <c r="K109" s="23"/>
      <c r="L109" s="23"/>
      <c r="M109" s="23"/>
      <c r="N109" s="23"/>
      <c r="O109" s="23"/>
      <c r="P109" s="4"/>
      <c r="Q109" s="23"/>
      <c r="R109" s="23"/>
      <c r="S109" s="23"/>
      <c r="T109" s="23"/>
    </row>
    <row r="110" spans="1:20" x14ac:dyDescent="0.2">
      <c r="A110" s="774"/>
      <c r="B110" s="4"/>
      <c r="C110" s="23"/>
      <c r="D110" s="23"/>
      <c r="E110" s="23"/>
      <c r="F110" s="23"/>
      <c r="G110" s="23"/>
      <c r="H110" s="23"/>
      <c r="I110" s="23"/>
      <c r="J110" s="23"/>
      <c r="K110" s="23"/>
      <c r="L110" s="23"/>
      <c r="M110" s="23"/>
      <c r="N110" s="23"/>
      <c r="O110" s="23"/>
      <c r="P110" s="4"/>
      <c r="Q110" s="23"/>
      <c r="R110" s="23"/>
      <c r="S110" s="23"/>
      <c r="T110" s="23"/>
    </row>
    <row r="111" spans="1:20" x14ac:dyDescent="0.2">
      <c r="A111" s="774"/>
      <c r="B111" s="4"/>
      <c r="C111" s="23"/>
      <c r="D111" s="23"/>
      <c r="E111" s="23"/>
      <c r="F111" s="23"/>
      <c r="G111" s="23"/>
      <c r="H111" s="23"/>
      <c r="I111" s="23"/>
      <c r="J111" s="23"/>
      <c r="K111" s="23"/>
      <c r="L111" s="23"/>
      <c r="M111" s="23"/>
      <c r="N111" s="23"/>
      <c r="O111" s="23"/>
      <c r="P111" s="4"/>
      <c r="Q111" s="23"/>
      <c r="R111" s="23"/>
      <c r="S111" s="23"/>
      <c r="T111" s="23"/>
    </row>
    <row r="112" spans="1:20" x14ac:dyDescent="0.2">
      <c r="A112" s="774"/>
      <c r="B112" s="4"/>
      <c r="C112" s="23"/>
      <c r="D112" s="23"/>
      <c r="E112" s="23"/>
      <c r="F112" s="23"/>
      <c r="G112" s="23"/>
      <c r="H112" s="23"/>
      <c r="I112" s="23"/>
      <c r="J112" s="23"/>
      <c r="K112" s="23"/>
      <c r="L112" s="23"/>
      <c r="M112" s="23"/>
      <c r="N112" s="23"/>
      <c r="O112" s="23"/>
      <c r="P112" s="4"/>
      <c r="Q112" s="23"/>
      <c r="R112" s="23"/>
      <c r="S112" s="23"/>
      <c r="T112" s="23"/>
    </row>
    <row r="113" spans="1:20" x14ac:dyDescent="0.2">
      <c r="A113" s="774"/>
      <c r="B113" s="4"/>
      <c r="C113" s="23"/>
      <c r="D113" s="23"/>
      <c r="E113" s="23"/>
      <c r="F113" s="23"/>
      <c r="G113" s="23"/>
      <c r="H113" s="23"/>
      <c r="I113" s="23"/>
      <c r="J113" s="23"/>
      <c r="K113" s="23"/>
      <c r="L113" s="23"/>
      <c r="M113" s="23"/>
      <c r="N113" s="23"/>
      <c r="O113" s="23"/>
      <c r="P113" s="4"/>
      <c r="Q113" s="23"/>
      <c r="R113" s="23"/>
      <c r="S113" s="23"/>
      <c r="T113" s="23"/>
    </row>
    <row r="114" spans="1:20" x14ac:dyDescent="0.2">
      <c r="A114" s="774"/>
      <c r="B114" s="4"/>
      <c r="C114" s="23"/>
      <c r="D114" s="23"/>
      <c r="E114" s="23"/>
      <c r="F114" s="23"/>
      <c r="G114" s="23"/>
      <c r="H114" s="23"/>
      <c r="I114" s="23"/>
      <c r="J114" s="23"/>
      <c r="K114" s="23"/>
      <c r="L114" s="23"/>
      <c r="M114" s="23"/>
      <c r="N114" s="23"/>
      <c r="O114" s="23"/>
      <c r="P114" s="4"/>
      <c r="Q114" s="23"/>
      <c r="R114" s="23"/>
      <c r="S114" s="23"/>
      <c r="T114" s="23"/>
    </row>
    <row r="115" spans="1:20" x14ac:dyDescent="0.2">
      <c r="A115" s="774"/>
      <c r="B115" s="4"/>
      <c r="C115" s="23"/>
      <c r="D115" s="23"/>
      <c r="E115" s="23"/>
      <c r="F115" s="23"/>
      <c r="G115" s="23"/>
      <c r="H115" s="23"/>
      <c r="I115" s="23"/>
      <c r="J115" s="23"/>
      <c r="K115" s="23"/>
      <c r="L115" s="23"/>
      <c r="M115" s="23"/>
      <c r="N115" s="23"/>
      <c r="O115" s="23"/>
      <c r="P115" s="4"/>
      <c r="Q115" s="23"/>
      <c r="R115" s="23"/>
      <c r="S115" s="23"/>
      <c r="T115" s="23"/>
    </row>
    <row r="116" spans="1:20" x14ac:dyDescent="0.2">
      <c r="A116" s="774"/>
      <c r="B116" s="4"/>
      <c r="C116" s="23"/>
      <c r="D116" s="23"/>
      <c r="E116" s="23"/>
      <c r="F116" s="23"/>
      <c r="G116" s="23"/>
      <c r="H116" s="23"/>
      <c r="I116" s="23"/>
      <c r="J116" s="23"/>
      <c r="K116" s="23"/>
      <c r="L116" s="23"/>
      <c r="M116" s="23"/>
      <c r="N116" s="23"/>
      <c r="O116" s="23"/>
      <c r="P116" s="4"/>
      <c r="Q116" s="23"/>
      <c r="R116" s="23"/>
      <c r="S116" s="23"/>
      <c r="T116" s="23"/>
    </row>
    <row r="117" spans="1:20" x14ac:dyDescent="0.2">
      <c r="A117" s="774"/>
      <c r="B117" s="4"/>
      <c r="C117" s="23"/>
      <c r="D117" s="23"/>
      <c r="E117" s="23"/>
      <c r="F117" s="23"/>
      <c r="G117" s="23"/>
      <c r="H117" s="23"/>
      <c r="I117" s="23"/>
      <c r="J117" s="23"/>
      <c r="K117" s="23"/>
      <c r="L117" s="23"/>
      <c r="M117" s="23"/>
      <c r="N117" s="23"/>
      <c r="O117" s="23"/>
      <c r="P117" s="4"/>
      <c r="Q117" s="23"/>
      <c r="R117" s="23"/>
      <c r="S117" s="23"/>
      <c r="T117" s="23"/>
    </row>
    <row r="118" spans="1:20" x14ac:dyDescent="0.2">
      <c r="A118" s="774"/>
      <c r="B118" s="4"/>
      <c r="C118" s="23"/>
      <c r="D118" s="23"/>
      <c r="E118" s="23"/>
      <c r="F118" s="23"/>
      <c r="G118" s="23"/>
      <c r="H118" s="23"/>
      <c r="I118" s="23"/>
      <c r="J118" s="23"/>
      <c r="K118" s="23"/>
      <c r="L118" s="23"/>
      <c r="M118" s="23"/>
      <c r="N118" s="23"/>
      <c r="O118" s="23"/>
      <c r="P118" s="4"/>
      <c r="Q118" s="23"/>
      <c r="R118" s="23"/>
      <c r="S118" s="23"/>
      <c r="T118" s="23"/>
    </row>
    <row r="119" spans="1:20" x14ac:dyDescent="0.2">
      <c r="A119" s="774"/>
      <c r="B119" s="4"/>
      <c r="C119" s="23"/>
      <c r="D119" s="23"/>
      <c r="E119" s="23"/>
      <c r="F119" s="23"/>
      <c r="G119" s="23"/>
      <c r="H119" s="23"/>
      <c r="I119" s="23"/>
      <c r="J119" s="23"/>
      <c r="K119" s="23"/>
      <c r="L119" s="23"/>
      <c r="M119" s="23"/>
      <c r="N119" s="23"/>
      <c r="O119" s="23"/>
      <c r="P119" s="4"/>
      <c r="Q119" s="23"/>
      <c r="R119" s="23"/>
      <c r="S119" s="23"/>
      <c r="T119" s="23"/>
    </row>
    <row r="120" spans="1:20" x14ac:dyDescent="0.2">
      <c r="A120" s="774"/>
      <c r="B120" s="4"/>
      <c r="C120" s="23"/>
      <c r="D120" s="23"/>
      <c r="E120" s="23"/>
      <c r="F120" s="23"/>
      <c r="G120" s="23"/>
      <c r="H120" s="23"/>
      <c r="I120" s="23"/>
      <c r="J120" s="23"/>
      <c r="K120" s="23"/>
      <c r="L120" s="23"/>
      <c r="M120" s="23"/>
      <c r="N120" s="23"/>
      <c r="O120" s="23"/>
      <c r="P120" s="4"/>
      <c r="Q120" s="23"/>
      <c r="R120" s="23"/>
      <c r="S120" s="23"/>
      <c r="T120" s="23"/>
    </row>
    <row r="121" spans="1:20" x14ac:dyDescent="0.2">
      <c r="A121" s="774"/>
      <c r="B121" s="4"/>
      <c r="C121" s="23"/>
      <c r="D121" s="23"/>
      <c r="E121" s="23"/>
      <c r="F121" s="23"/>
      <c r="G121" s="23"/>
      <c r="H121" s="23"/>
      <c r="I121" s="23"/>
      <c r="J121" s="23"/>
      <c r="K121" s="23"/>
      <c r="L121" s="23"/>
      <c r="M121" s="23"/>
      <c r="N121" s="23"/>
      <c r="O121" s="23"/>
      <c r="P121" s="4"/>
      <c r="Q121" s="23"/>
      <c r="R121" s="23"/>
      <c r="S121" s="23"/>
      <c r="T121" s="23"/>
    </row>
    <row r="122" spans="1:20" x14ac:dyDescent="0.2">
      <c r="A122" s="774"/>
      <c r="B122" s="4"/>
      <c r="C122" s="23"/>
      <c r="D122" s="23"/>
      <c r="E122" s="23"/>
      <c r="F122" s="23"/>
      <c r="G122" s="23"/>
      <c r="H122" s="23"/>
      <c r="I122" s="23"/>
      <c r="J122" s="23"/>
      <c r="K122" s="23"/>
      <c r="L122" s="23"/>
      <c r="M122" s="23"/>
      <c r="N122" s="23"/>
      <c r="O122" s="23"/>
      <c r="P122" s="4"/>
      <c r="Q122" s="23"/>
      <c r="R122" s="23"/>
      <c r="S122" s="23"/>
      <c r="T122" s="23"/>
    </row>
    <row r="123" spans="1:20" x14ac:dyDescent="0.2">
      <c r="A123" s="774"/>
      <c r="B123" s="4"/>
      <c r="C123" s="23"/>
      <c r="D123" s="23"/>
      <c r="E123" s="23"/>
      <c r="F123" s="23"/>
      <c r="G123" s="23"/>
      <c r="H123" s="23"/>
      <c r="I123" s="23"/>
      <c r="J123" s="23"/>
      <c r="K123" s="23"/>
      <c r="L123" s="23"/>
      <c r="M123" s="23"/>
      <c r="N123" s="23"/>
      <c r="O123" s="23"/>
      <c r="P123" s="4"/>
      <c r="Q123" s="23"/>
      <c r="R123" s="23"/>
      <c r="S123" s="23"/>
      <c r="T123" s="23"/>
    </row>
    <row r="124" spans="1:20" x14ac:dyDescent="0.2">
      <c r="A124" s="774"/>
      <c r="B124" s="4"/>
      <c r="C124" s="23"/>
      <c r="D124" s="23"/>
      <c r="E124" s="23"/>
      <c r="F124" s="23"/>
      <c r="G124" s="23"/>
      <c r="H124" s="23"/>
      <c r="I124" s="23"/>
      <c r="J124" s="23"/>
      <c r="K124" s="23"/>
      <c r="L124" s="23"/>
      <c r="M124" s="23"/>
      <c r="N124" s="23"/>
      <c r="O124" s="23"/>
      <c r="P124" s="4"/>
      <c r="Q124" s="23"/>
      <c r="R124" s="23"/>
      <c r="S124" s="23"/>
      <c r="T124" s="23"/>
    </row>
    <row r="125" spans="1:20" x14ac:dyDescent="0.2">
      <c r="A125" s="774"/>
      <c r="B125" s="4"/>
      <c r="C125" s="23"/>
      <c r="D125" s="23"/>
      <c r="E125" s="23"/>
      <c r="F125" s="23"/>
      <c r="G125" s="23"/>
      <c r="H125" s="23"/>
      <c r="I125" s="23"/>
      <c r="J125" s="23"/>
      <c r="K125" s="23"/>
      <c r="L125" s="23"/>
      <c r="M125" s="23"/>
      <c r="N125" s="23"/>
      <c r="O125" s="23"/>
      <c r="P125" s="4"/>
      <c r="Q125" s="23"/>
      <c r="R125" s="23"/>
      <c r="S125" s="23"/>
      <c r="T125" s="23"/>
    </row>
    <row r="126" spans="1:20" x14ac:dyDescent="0.2">
      <c r="A126" s="774"/>
      <c r="B126" s="4"/>
      <c r="C126" s="23"/>
      <c r="D126" s="23"/>
      <c r="E126" s="23"/>
      <c r="F126" s="23"/>
      <c r="G126" s="23"/>
      <c r="H126" s="23"/>
      <c r="I126" s="23"/>
      <c r="J126" s="23"/>
      <c r="K126" s="23"/>
      <c r="L126" s="23"/>
      <c r="M126" s="23"/>
      <c r="N126" s="23"/>
      <c r="O126" s="23"/>
      <c r="P126" s="4"/>
      <c r="Q126" s="23"/>
      <c r="R126" s="23"/>
      <c r="S126" s="23"/>
      <c r="T126" s="23"/>
    </row>
    <row r="127" spans="1:20" x14ac:dyDescent="0.2">
      <c r="A127" s="774"/>
      <c r="B127" s="4"/>
      <c r="C127" s="23"/>
      <c r="D127" s="23"/>
      <c r="E127" s="23"/>
      <c r="F127" s="23"/>
      <c r="G127" s="23"/>
      <c r="H127" s="23"/>
      <c r="I127" s="23"/>
      <c r="J127" s="23"/>
      <c r="K127" s="23"/>
      <c r="L127" s="23"/>
      <c r="M127" s="23"/>
      <c r="N127" s="23"/>
      <c r="O127" s="23"/>
      <c r="P127" s="4"/>
      <c r="Q127" s="23"/>
      <c r="R127" s="23"/>
      <c r="S127" s="23"/>
      <c r="T127" s="23"/>
    </row>
    <row r="128" spans="1:20" x14ac:dyDescent="0.2">
      <c r="A128" s="774"/>
      <c r="B128" s="4"/>
      <c r="C128" s="23"/>
      <c r="D128" s="23"/>
      <c r="E128" s="23"/>
      <c r="F128" s="23"/>
      <c r="G128" s="23"/>
      <c r="H128" s="23"/>
      <c r="I128" s="23"/>
      <c r="J128" s="23"/>
      <c r="K128" s="23"/>
      <c r="L128" s="23"/>
      <c r="M128" s="23"/>
      <c r="N128" s="23"/>
      <c r="O128" s="23"/>
      <c r="P128" s="4"/>
      <c r="Q128" s="23"/>
      <c r="R128" s="23"/>
      <c r="S128" s="23"/>
      <c r="T128" s="23"/>
    </row>
    <row r="129" spans="3:3" x14ac:dyDescent="0.2">
      <c r="C129" s="212"/>
    </row>
    <row r="130" spans="3:3" x14ac:dyDescent="0.2">
      <c r="C130" s="212"/>
    </row>
    <row r="131" spans="3:3" x14ac:dyDescent="0.2">
      <c r="C131" s="212"/>
    </row>
    <row r="132" spans="3:3" x14ac:dyDescent="0.2">
      <c r="C132" s="212"/>
    </row>
    <row r="133" spans="3:3" x14ac:dyDescent="0.2">
      <c r="C133" s="212"/>
    </row>
    <row r="134" spans="3:3" x14ac:dyDescent="0.2">
      <c r="C134" s="212"/>
    </row>
    <row r="135" spans="3:3" x14ac:dyDescent="0.2">
      <c r="C135" s="212"/>
    </row>
    <row r="136" spans="3:3" x14ac:dyDescent="0.2">
      <c r="C136" s="212"/>
    </row>
    <row r="137" spans="3:3" x14ac:dyDescent="0.2">
      <c r="C137" s="212"/>
    </row>
    <row r="138" spans="3:3" x14ac:dyDescent="0.2">
      <c r="C138" s="212"/>
    </row>
    <row r="139" spans="3:3" x14ac:dyDescent="0.2">
      <c r="C139" s="212"/>
    </row>
    <row r="140" spans="3:3" x14ac:dyDescent="0.2">
      <c r="C140" s="212"/>
    </row>
    <row r="141" spans="3:3" x14ac:dyDescent="0.2">
      <c r="C141" s="212"/>
    </row>
    <row r="142" spans="3:3" x14ac:dyDescent="0.2">
      <c r="C142" s="212"/>
    </row>
    <row r="143" spans="3:3" x14ac:dyDescent="0.2">
      <c r="C143" s="212"/>
    </row>
    <row r="144" spans="3:3" x14ac:dyDescent="0.2">
      <c r="C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row r="160" spans="3:3" x14ac:dyDescent="0.2">
      <c r="C160" s="212"/>
    </row>
    <row r="161" spans="3:3" x14ac:dyDescent="0.2">
      <c r="C161" s="212"/>
    </row>
    <row r="162" spans="3:3" x14ac:dyDescent="0.2">
      <c r="C162" s="212"/>
    </row>
    <row r="163" spans="3:3" x14ac:dyDescent="0.2">
      <c r="C163" s="212"/>
    </row>
    <row r="164" spans="3:3" x14ac:dyDescent="0.2">
      <c r="C164" s="212"/>
    </row>
    <row r="165" spans="3:3" x14ac:dyDescent="0.2">
      <c r="C165" s="212"/>
    </row>
    <row r="166" spans="3:3" x14ac:dyDescent="0.2">
      <c r="C166" s="212"/>
    </row>
    <row r="167" spans="3:3" x14ac:dyDescent="0.2">
      <c r="C167" s="212"/>
    </row>
    <row r="168" spans="3:3" x14ac:dyDescent="0.2">
      <c r="C168" s="212"/>
    </row>
    <row r="169" spans="3:3" x14ac:dyDescent="0.2">
      <c r="C169" s="212"/>
    </row>
    <row r="170" spans="3:3" x14ac:dyDescent="0.2">
      <c r="C170" s="212"/>
    </row>
    <row r="171" spans="3:3" x14ac:dyDescent="0.2">
      <c r="C171" s="212"/>
    </row>
    <row r="172" spans="3:3" x14ac:dyDescent="0.2">
      <c r="C172" s="212"/>
    </row>
    <row r="173" spans="3:3" x14ac:dyDescent="0.2">
      <c r="C173" s="212"/>
    </row>
    <row r="174" spans="3:3" x14ac:dyDescent="0.2">
      <c r="C174" s="212"/>
    </row>
    <row r="175" spans="3:3" x14ac:dyDescent="0.2">
      <c r="C175" s="212"/>
    </row>
    <row r="176" spans="3:3" x14ac:dyDescent="0.2">
      <c r="C176" s="212"/>
    </row>
    <row r="177" spans="3:3" x14ac:dyDescent="0.2">
      <c r="C177" s="212"/>
    </row>
    <row r="178" spans="3:3" x14ac:dyDescent="0.2">
      <c r="C178" s="212"/>
    </row>
  </sheetData>
  <phoneticPr fontId="0" type="noConversion"/>
  <hyperlinks>
    <hyperlink ref="A1" location="'Working Budget with funding det'!A1" display="Main " xr:uid="{00000000-0004-0000-2700-000000000000}"/>
    <hyperlink ref="B1" location="'Table of Contents'!A1" display="TOC" xr:uid="{00000000-0004-0000-2700-000001000000}"/>
  </hyperlinks>
  <pageMargins left="0.75" right="0.75" top="1" bottom="1" header="0.5" footer="0.5"/>
  <pageSetup scale="92" fitToHeight="0" orientation="landscape" r:id="rId1"/>
  <headerFooter alignWithMargins="0">
    <oddFooter>&amp;L&amp;D     &amp;T&amp;C&amp;F&amp;R&amp;A</oddFooter>
  </headerFooter>
  <rowBreaks count="1" manualBreakCount="1">
    <brk id="31" max="16"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pageSetUpPr fitToPage="1"/>
  </sheetPr>
  <dimension ref="A1:S26"/>
  <sheetViews>
    <sheetView workbookViewId="0">
      <selection activeCell="Q22" sqref="Q22"/>
    </sheetView>
  </sheetViews>
  <sheetFormatPr defaultRowHeight="12.75" x14ac:dyDescent="0.2"/>
  <cols>
    <col min="1" max="1" width="9.5" style="783" bestFit="1" customWidth="1"/>
    <col min="2" max="2" width="36.6640625" customWidth="1"/>
    <col min="3" max="6" width="11.1640625" hidden="1" customWidth="1"/>
    <col min="7" max="7" width="9" hidden="1" customWidth="1"/>
    <col min="8" max="12" width="14.6640625" hidden="1" customWidth="1"/>
    <col min="13" max="19" width="14.6640625" customWidth="1"/>
  </cols>
  <sheetData>
    <row r="1" spans="1:19" x14ac:dyDescent="0.2">
      <c r="A1" s="772" t="s">
        <v>847</v>
      </c>
      <c r="B1" s="308" t="s">
        <v>197</v>
      </c>
      <c r="C1" s="1"/>
      <c r="D1" s="212"/>
      <c r="E1" s="212"/>
      <c r="F1" s="212"/>
      <c r="G1" s="212"/>
      <c r="H1" s="212"/>
      <c r="I1" s="212"/>
      <c r="J1" s="212"/>
      <c r="K1" s="212"/>
      <c r="L1" s="212"/>
      <c r="M1" s="212"/>
      <c r="N1" s="212"/>
      <c r="O1" s="212"/>
      <c r="Q1" s="1"/>
      <c r="R1" s="1"/>
    </row>
    <row r="2" spans="1:19" ht="15" x14ac:dyDescent="0.25">
      <c r="A2" s="773" t="s">
        <v>1286</v>
      </c>
      <c r="B2" s="43"/>
      <c r="C2" s="1"/>
      <c r="D2" s="212"/>
      <c r="E2" s="126"/>
      <c r="F2" s="212"/>
      <c r="G2" s="212"/>
      <c r="I2" s="126" t="s">
        <v>816</v>
      </c>
      <c r="J2" s="126"/>
      <c r="K2" s="126"/>
      <c r="L2" s="126"/>
      <c r="M2" s="126"/>
      <c r="N2" s="126"/>
      <c r="O2" s="126"/>
      <c r="P2" s="58" t="s">
        <v>1408</v>
      </c>
      <c r="Q2" s="1"/>
      <c r="R2" s="1"/>
      <c r="S2" s="44" t="s">
        <v>1409</v>
      </c>
    </row>
    <row r="3" spans="1:19" ht="13.5" thickBot="1" x14ac:dyDescent="0.25">
      <c r="A3" s="774"/>
      <c r="B3" s="4"/>
      <c r="C3" s="23"/>
      <c r="D3" s="23"/>
      <c r="E3" s="23"/>
      <c r="F3" s="23"/>
      <c r="G3" s="23"/>
      <c r="H3" s="23"/>
      <c r="I3" s="23"/>
      <c r="J3" s="23"/>
      <c r="K3" s="23"/>
      <c r="L3" s="23"/>
      <c r="M3" s="23"/>
      <c r="N3" s="23"/>
      <c r="O3" s="23"/>
      <c r="P3" s="4"/>
      <c r="Q3" s="23"/>
      <c r="R3" s="23"/>
      <c r="S3" s="4"/>
    </row>
    <row r="4" spans="1:19"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19"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19" x14ac:dyDescent="0.2">
      <c r="A6" s="776"/>
      <c r="B6" s="202"/>
      <c r="C6" s="113"/>
      <c r="D6" s="113"/>
      <c r="E6" s="113"/>
      <c r="F6" s="82"/>
      <c r="G6" s="113"/>
      <c r="H6" s="113"/>
      <c r="I6" s="83"/>
      <c r="J6" s="83"/>
      <c r="K6" s="83"/>
      <c r="L6" s="83"/>
      <c r="M6" s="83"/>
      <c r="N6" s="83"/>
      <c r="O6" s="83"/>
      <c r="P6" s="113"/>
      <c r="Q6" s="83" t="s">
        <v>823</v>
      </c>
      <c r="R6" s="83" t="s">
        <v>585</v>
      </c>
      <c r="S6" s="45" t="s">
        <v>824</v>
      </c>
    </row>
    <row r="7" spans="1:19"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19" ht="13.5" thickTop="1" x14ac:dyDescent="0.2">
      <c r="A8" s="796"/>
      <c r="B8" s="203"/>
      <c r="C8" s="118"/>
      <c r="D8" s="18"/>
      <c r="E8" s="18"/>
      <c r="F8" s="18"/>
      <c r="G8" s="18"/>
      <c r="H8" s="18"/>
      <c r="I8" s="19"/>
      <c r="J8" s="19"/>
      <c r="K8" s="19"/>
      <c r="L8" s="19"/>
      <c r="M8" s="19"/>
      <c r="N8" s="19"/>
      <c r="O8" s="19"/>
      <c r="P8" s="18"/>
      <c r="Q8" s="19"/>
      <c r="R8" s="19"/>
      <c r="S8" s="19"/>
    </row>
    <row r="9" spans="1:19" ht="13.5" thickBot="1" x14ac:dyDescent="0.25">
      <c r="A9" s="779">
        <v>5211</v>
      </c>
      <c r="B9" s="60" t="s">
        <v>1410</v>
      </c>
      <c r="C9" s="117"/>
      <c r="D9" s="15"/>
      <c r="E9" s="13"/>
      <c r="F9" s="13"/>
      <c r="G9" s="13"/>
      <c r="H9" s="13"/>
      <c r="I9" s="13"/>
      <c r="J9" s="13">
        <v>878.32</v>
      </c>
      <c r="K9" s="14">
        <v>7000</v>
      </c>
      <c r="L9" s="13">
        <v>3227.64</v>
      </c>
      <c r="M9" s="14">
        <v>6000</v>
      </c>
      <c r="N9" s="13">
        <v>4250.4799999999996</v>
      </c>
      <c r="O9" s="14">
        <v>6000</v>
      </c>
      <c r="P9" s="13">
        <v>2559.6799999999998</v>
      </c>
      <c r="Q9" s="14">
        <v>6000</v>
      </c>
      <c r="R9" s="14"/>
      <c r="S9" s="14"/>
    </row>
    <row r="10" spans="1:19" x14ac:dyDescent="0.2">
      <c r="A10" s="779">
        <v>5247</v>
      </c>
      <c r="B10" s="60" t="s">
        <v>1411</v>
      </c>
      <c r="C10" s="228"/>
      <c r="D10" s="35"/>
      <c r="E10" s="13"/>
      <c r="F10" s="13"/>
      <c r="G10" s="13"/>
      <c r="H10" s="13"/>
      <c r="I10" s="13"/>
      <c r="J10" s="13">
        <v>2820</v>
      </c>
      <c r="K10" s="14"/>
      <c r="L10" s="13"/>
      <c r="M10" s="14"/>
      <c r="N10" s="13"/>
      <c r="O10" s="14"/>
      <c r="P10" s="13"/>
      <c r="Q10" s="14">
        <v>1380</v>
      </c>
      <c r="R10" s="14"/>
      <c r="S10" s="14"/>
    </row>
    <row r="11" spans="1:19" x14ac:dyDescent="0.2">
      <c r="A11" s="779">
        <v>5740</v>
      </c>
      <c r="B11" s="60" t="s">
        <v>1412</v>
      </c>
      <c r="C11" s="13"/>
      <c r="D11" s="13"/>
      <c r="E11" s="13"/>
      <c r="F11" s="13"/>
      <c r="G11" s="13"/>
      <c r="H11" s="13"/>
      <c r="I11" s="13"/>
      <c r="J11" s="13">
        <v>4241.5</v>
      </c>
      <c r="K11" s="14"/>
      <c r="L11" s="13"/>
      <c r="M11" s="14"/>
      <c r="N11" s="13"/>
      <c r="O11" s="14"/>
      <c r="P11" s="13"/>
      <c r="Q11" s="14"/>
      <c r="R11" s="14"/>
      <c r="S11" s="14"/>
    </row>
    <row r="12" spans="1:19" ht="13.5" thickBot="1" x14ac:dyDescent="0.25">
      <c r="A12" s="779"/>
      <c r="B12" s="60"/>
      <c r="C12" s="15"/>
      <c r="D12" s="15"/>
      <c r="E12" s="15"/>
      <c r="F12" s="15"/>
      <c r="G12" s="15"/>
      <c r="H12" s="15"/>
      <c r="I12" s="15"/>
      <c r="J12" s="15"/>
      <c r="K12" s="16"/>
      <c r="L12" s="15"/>
      <c r="M12" s="16"/>
      <c r="N12" s="15"/>
      <c r="O12" s="16"/>
      <c r="P12" s="15"/>
      <c r="Q12" s="16"/>
      <c r="R12" s="16"/>
      <c r="S12" s="16"/>
    </row>
    <row r="13" spans="1:19" x14ac:dyDescent="0.2">
      <c r="A13" s="779"/>
      <c r="B13" s="61" t="s">
        <v>838</v>
      </c>
      <c r="C13" s="118">
        <f t="shared" ref="C13:P13" si="0">SUM(C9:C9)</f>
        <v>0</v>
      </c>
      <c r="D13" s="18">
        <f t="shared" si="0"/>
        <v>0</v>
      </c>
      <c r="E13" s="18">
        <f t="shared" si="0"/>
        <v>0</v>
      </c>
      <c r="F13" s="18">
        <f>+F9</f>
        <v>0</v>
      </c>
      <c r="G13" s="18">
        <f>+G9</f>
        <v>0</v>
      </c>
      <c r="H13" s="18">
        <f>+H9</f>
        <v>0</v>
      </c>
      <c r="I13" s="18">
        <f>SUM(I9:I11)</f>
        <v>0</v>
      </c>
      <c r="J13" s="18">
        <f>SUM(J9:J11)</f>
        <v>7939.82</v>
      </c>
      <c r="K13" s="19">
        <f>SUM(K9:K12)</f>
        <v>7000</v>
      </c>
      <c r="L13" s="18">
        <f t="shared" ref="L13:O13" si="1">SUM(L9:L12)</f>
        <v>3227.64</v>
      </c>
      <c r="M13" s="19">
        <f t="shared" si="1"/>
        <v>6000</v>
      </c>
      <c r="N13" s="18">
        <f t="shared" ref="N13" si="2">SUM(N9:N12)</f>
        <v>4250.4799999999996</v>
      </c>
      <c r="O13" s="19">
        <f t="shared" si="1"/>
        <v>6000</v>
      </c>
      <c r="P13" s="18">
        <f t="shared" si="0"/>
        <v>2559.6799999999998</v>
      </c>
      <c r="Q13" s="19">
        <f>SUM(Q9:Q12)</f>
        <v>7380</v>
      </c>
      <c r="R13" s="19"/>
      <c r="S13" s="19">
        <f>+Q13</f>
        <v>7380</v>
      </c>
    </row>
    <row r="14" spans="1:19" x14ac:dyDescent="0.2">
      <c r="A14" s="779"/>
      <c r="B14" s="60"/>
      <c r="C14" s="116"/>
      <c r="D14" s="13"/>
      <c r="E14" s="13"/>
      <c r="F14" s="13"/>
      <c r="G14" s="13"/>
      <c r="H14" s="13"/>
      <c r="I14" s="13"/>
      <c r="J14" s="13"/>
      <c r="K14" s="14"/>
      <c r="L14" s="13"/>
      <c r="M14" s="14"/>
      <c r="N14" s="13"/>
      <c r="O14" s="14"/>
      <c r="P14" s="13"/>
      <c r="Q14" s="14"/>
      <c r="R14" s="14"/>
      <c r="S14" s="14"/>
    </row>
    <row r="15" spans="1:19" ht="13.5" thickBot="1" x14ac:dyDescent="0.25">
      <c r="A15" s="780"/>
      <c r="B15" s="602" t="s">
        <v>1413</v>
      </c>
      <c r="C15" s="596" t="e">
        <f>+#REF!+C13</f>
        <v>#REF!</v>
      </c>
      <c r="D15" s="21" t="e">
        <f>+#REF!+D13</f>
        <v>#REF!</v>
      </c>
      <c r="E15" s="21" t="e">
        <f>+#REF!+E13</f>
        <v>#REF!</v>
      </c>
      <c r="F15" s="21" t="e">
        <f>+#REF!+F13</f>
        <v>#REF!</v>
      </c>
      <c r="G15" s="21" t="e">
        <f>+#REF!+G13</f>
        <v>#REF!</v>
      </c>
      <c r="H15" s="21">
        <f>+H13</f>
        <v>0</v>
      </c>
      <c r="I15" s="21">
        <f t="shared" ref="I15:S15" si="3">+I13</f>
        <v>0</v>
      </c>
      <c r="J15" s="21">
        <f t="shared" ref="J15" si="4">+J13</f>
        <v>7939.82</v>
      </c>
      <c r="K15" s="556">
        <f t="shared" si="3"/>
        <v>7000</v>
      </c>
      <c r="L15" s="21">
        <f t="shared" ref="L15:O15" si="5">+L13</f>
        <v>3227.64</v>
      </c>
      <c r="M15" s="556">
        <f t="shared" si="5"/>
        <v>6000</v>
      </c>
      <c r="N15" s="21">
        <f t="shared" ref="N15" si="6">+N13</f>
        <v>4250.4799999999996</v>
      </c>
      <c r="O15" s="556">
        <f t="shared" si="5"/>
        <v>6000</v>
      </c>
      <c r="P15" s="21">
        <f t="shared" si="3"/>
        <v>2559.6799999999998</v>
      </c>
      <c r="Q15" s="556">
        <f t="shared" si="3"/>
        <v>7380</v>
      </c>
      <c r="R15" s="556">
        <f>+Q15</f>
        <v>7380</v>
      </c>
      <c r="S15" s="556">
        <f t="shared" si="3"/>
        <v>7380</v>
      </c>
    </row>
    <row r="16" spans="1:19" ht="13.5" thickTop="1" x14ac:dyDescent="0.2">
      <c r="A16" s="63">
        <v>44970</v>
      </c>
      <c r="B16" s="603" t="s">
        <v>2461</v>
      </c>
      <c r="C16" s="24"/>
      <c r="D16" s="24"/>
      <c r="E16" s="24"/>
      <c r="F16" s="24"/>
      <c r="G16" s="24"/>
      <c r="H16" s="24"/>
      <c r="I16" s="24"/>
      <c r="J16" s="24"/>
      <c r="K16" s="24"/>
      <c r="L16" s="24"/>
      <c r="M16" s="24"/>
      <c r="N16" s="24"/>
      <c r="O16" s="24"/>
      <c r="P16" s="199" t="s">
        <v>843</v>
      </c>
      <c r="Q16" s="1116">
        <f>+Q15-O15</f>
        <v>1380</v>
      </c>
      <c r="R16" s="1117">
        <f>ROUND((+Q16/O15),4)</f>
        <v>0.23</v>
      </c>
      <c r="S16" s="23"/>
    </row>
    <row r="17" spans="1:19" ht="13.5" thickBot="1" x14ac:dyDescent="0.25">
      <c r="A17" s="774"/>
      <c r="B17" s="4"/>
      <c r="C17" s="23"/>
      <c r="D17" s="23"/>
      <c r="E17" s="23"/>
      <c r="F17" s="23"/>
      <c r="G17" s="23"/>
      <c r="H17" s="23"/>
      <c r="I17" s="23"/>
      <c r="J17" s="23"/>
      <c r="K17" s="23"/>
      <c r="L17" s="23"/>
      <c r="M17" s="23"/>
      <c r="N17" s="23"/>
      <c r="O17" s="23"/>
      <c r="P17" s="25"/>
      <c r="Q17" s="23"/>
      <c r="R17" s="23"/>
      <c r="S17" s="25"/>
    </row>
    <row r="18" spans="1:19" ht="13.5" thickTop="1" x14ac:dyDescent="0.2">
      <c r="A18" s="789"/>
      <c r="B18" s="367"/>
      <c r="C18" s="368" t="s">
        <v>280</v>
      </c>
      <c r="D18" s="369" t="s">
        <v>280</v>
      </c>
      <c r="E18" s="369" t="s">
        <v>280</v>
      </c>
      <c r="F18" s="212"/>
      <c r="G18" s="212"/>
      <c r="M18" s="370" t="s">
        <v>279</v>
      </c>
      <c r="N18" s="371" t="s">
        <v>826</v>
      </c>
      <c r="O18" s="372" t="s">
        <v>840</v>
      </c>
      <c r="P18" s="371" t="s">
        <v>841</v>
      </c>
      <c r="Q18" s="373"/>
      <c r="R18" s="569"/>
      <c r="S18" s="372"/>
    </row>
    <row r="19" spans="1:19" ht="13.5" thickBot="1" x14ac:dyDescent="0.25">
      <c r="A19" s="790" t="s">
        <v>825</v>
      </c>
      <c r="B19" s="374"/>
      <c r="C19" s="375" t="s">
        <v>267</v>
      </c>
      <c r="D19" s="375" t="s">
        <v>268</v>
      </c>
      <c r="E19" s="376" t="s">
        <v>269</v>
      </c>
      <c r="F19" s="212"/>
      <c r="G19" s="212"/>
      <c r="M19" s="377" t="s">
        <v>277</v>
      </c>
      <c r="N19" s="377" t="s">
        <v>571</v>
      </c>
      <c r="O19" s="376" t="s">
        <v>843</v>
      </c>
      <c r="P19" s="378" t="s">
        <v>843</v>
      </c>
      <c r="Q19" s="379" t="s">
        <v>844</v>
      </c>
      <c r="R19" s="570"/>
      <c r="S19" s="377"/>
    </row>
    <row r="20" spans="1:19" ht="13.5" thickTop="1" x14ac:dyDescent="0.2">
      <c r="A20" s="797"/>
      <c r="B20" s="394"/>
      <c r="C20" s="383"/>
      <c r="D20" s="383"/>
      <c r="E20" s="383"/>
      <c r="F20" s="212"/>
      <c r="G20" s="212"/>
      <c r="M20" s="384"/>
      <c r="N20" s="383"/>
      <c r="O20" s="414"/>
      <c r="P20" s="392"/>
      <c r="Q20" s="385"/>
      <c r="R20" s="572"/>
      <c r="S20" s="386"/>
    </row>
    <row r="21" spans="1:19" ht="13.5" thickBot="1" x14ac:dyDescent="0.25">
      <c r="A21" s="795">
        <v>5211</v>
      </c>
      <c r="B21" s="415" t="s">
        <v>1410</v>
      </c>
      <c r="C21" s="389"/>
      <c r="D21" s="389"/>
      <c r="E21" s="391"/>
      <c r="F21" s="212"/>
      <c r="G21" s="212"/>
      <c r="M21" s="390">
        <f>+O9</f>
        <v>6000</v>
      </c>
      <c r="N21" s="411">
        <f>+Q9</f>
        <v>6000</v>
      </c>
      <c r="O21" s="414">
        <f>+N21-M21</f>
        <v>0</v>
      </c>
      <c r="P21" s="392" t="str">
        <f>IF(M21+N21&lt;&gt;0,IF(M21&lt;&gt;0,IF(O21&lt;&gt;0,ROUND((+O21/M21),4),""),1),"")</f>
        <v/>
      </c>
      <c r="Q21" s="385"/>
      <c r="R21" s="572"/>
      <c r="S21" s="386"/>
    </row>
    <row r="22" spans="1:19" x14ac:dyDescent="0.2">
      <c r="A22" s="795">
        <v>5247</v>
      </c>
      <c r="B22" s="415" t="s">
        <v>1411</v>
      </c>
      <c r="C22" s="395"/>
      <c r="D22" s="395"/>
      <c r="E22" s="391"/>
      <c r="F22" s="212"/>
      <c r="G22" s="212"/>
      <c r="M22" s="390">
        <f>+O10</f>
        <v>0</v>
      </c>
      <c r="N22" s="411">
        <f>+Q10</f>
        <v>1380</v>
      </c>
      <c r="O22" s="414">
        <f>+N22-M22</f>
        <v>1380</v>
      </c>
      <c r="P22" s="392">
        <f>IF(M22+N22&lt;&gt;0,IF(M22&lt;&gt;0,IF(O22&lt;&gt;0,ROUND((+O22/M22),4),""),1),"")</f>
        <v>1</v>
      </c>
      <c r="Q22" s="385" t="s">
        <v>2462</v>
      </c>
      <c r="R22" s="572"/>
      <c r="S22" s="386"/>
    </row>
    <row r="23" spans="1:19" x14ac:dyDescent="0.2">
      <c r="A23" s="795">
        <v>5740</v>
      </c>
      <c r="B23" s="415" t="s">
        <v>1412</v>
      </c>
      <c r="C23" s="395"/>
      <c r="D23" s="395"/>
      <c r="E23" s="391"/>
      <c r="F23" s="212"/>
      <c r="G23" s="212"/>
      <c r="M23" s="390">
        <f>+O11</f>
        <v>0</v>
      </c>
      <c r="N23" s="411">
        <f>+Q11</f>
        <v>0</v>
      </c>
      <c r="O23" s="414">
        <f>+N23-M23</f>
        <v>0</v>
      </c>
      <c r="P23" s="392" t="str">
        <f>IF(M23+N23&lt;&gt;0,IF(M23&lt;&gt;0,IF(O23&lt;&gt;0,ROUND((+O23/M23),4),""),1),"")</f>
        <v/>
      </c>
      <c r="Q23" s="385"/>
      <c r="R23" s="572"/>
      <c r="S23" s="386"/>
    </row>
    <row r="24" spans="1:19" x14ac:dyDescent="0.2">
      <c r="A24" s="795"/>
      <c r="B24" s="415"/>
      <c r="C24" s="416"/>
      <c r="D24" s="416"/>
      <c r="E24" s="416"/>
      <c r="F24" s="212"/>
      <c r="G24" s="212"/>
      <c r="M24" s="390">
        <f>+O12</f>
        <v>0</v>
      </c>
      <c r="N24" s="411">
        <f>+Q12</f>
        <v>0</v>
      </c>
      <c r="O24" s="414">
        <f>+N24-M24</f>
        <v>0</v>
      </c>
      <c r="P24" s="392" t="str">
        <f>IF(M24+N24&lt;&gt;0,IF(M24&lt;&gt;0,IF(O24&lt;&gt;0,ROUND((+O24/M24),4),""),1),"")</f>
        <v/>
      </c>
      <c r="Q24" s="385"/>
      <c r="R24" s="572"/>
      <c r="S24" s="386"/>
    </row>
    <row r="26" spans="1:19" x14ac:dyDescent="0.2">
      <c r="B26" s="4" t="s">
        <v>846</v>
      </c>
      <c r="C26" s="23"/>
      <c r="D26" s="23"/>
      <c r="E26" s="23"/>
      <c r="F26" s="23"/>
      <c r="G26" s="23"/>
      <c r="M26" s="616">
        <f>SUM(H15:H25)</f>
        <v>0</v>
      </c>
      <c r="N26" s="616">
        <f>SUM(I15:I25)</f>
        <v>0</v>
      </c>
      <c r="O26" s="25">
        <f>+N26-M26</f>
        <v>0</v>
      </c>
      <c r="P26" s="617" t="str">
        <f>IF(M26+N26&lt;&gt;0,IF(M26&lt;&gt;0,IF(O26&lt;&gt;0,ROUND((+O26/M26),4),""),1),"")</f>
        <v/>
      </c>
    </row>
  </sheetData>
  <hyperlinks>
    <hyperlink ref="A1" location="'Working Budget with funding det'!A1" display="Main " xr:uid="{00000000-0004-0000-2800-000000000000}"/>
    <hyperlink ref="B1" location="'Table of Contents'!A1" display="TOC" xr:uid="{00000000-0004-0000-2800-000001000000}"/>
  </hyperlinks>
  <pageMargins left="0.7" right="0.7" top="0.75" bottom="0.75" header="0.3" footer="0.3"/>
  <pageSetup scale="92" orientation="landscape" r:id="rId1"/>
  <headerFooter>
    <oddFooter>&amp;L&amp;D &amp;T&amp;C&amp;F&amp;R&amp;A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50"/>
    <pageSetUpPr fitToPage="1"/>
  </sheetPr>
  <dimension ref="A1:W183"/>
  <sheetViews>
    <sheetView topLeftCell="A6" workbookViewId="0">
      <selection activeCell="P15" sqref="P15"/>
    </sheetView>
  </sheetViews>
  <sheetFormatPr defaultRowHeight="12.75" x14ac:dyDescent="0.2"/>
  <cols>
    <col min="1" max="1" width="8.83203125" style="783"/>
    <col min="2" max="2" width="36.6640625" customWidth="1"/>
    <col min="3" max="3" width="14.5" style="1" hidden="1" customWidth="1"/>
    <col min="4" max="12" width="14.5" style="106" hidden="1" customWidth="1"/>
    <col min="13" max="15" width="14.5" style="106" customWidth="1"/>
    <col min="16" max="16" width="14.5" customWidth="1"/>
    <col min="17" max="19" width="14.5" style="1" customWidth="1"/>
    <col min="20" max="22" width="14.5" customWidth="1"/>
    <col min="23" max="23" width="14.6640625" style="2" customWidth="1"/>
  </cols>
  <sheetData>
    <row r="1" spans="1:22" x14ac:dyDescent="0.2">
      <c r="A1" s="772" t="s">
        <v>847</v>
      </c>
      <c r="B1" s="308" t="s">
        <v>197</v>
      </c>
      <c r="D1" s="212"/>
      <c r="E1" s="212"/>
      <c r="F1" s="212"/>
      <c r="G1" s="212"/>
      <c r="H1" s="212"/>
      <c r="I1" s="212"/>
      <c r="J1" s="212"/>
      <c r="K1" s="212"/>
      <c r="L1" s="212"/>
      <c r="M1" s="212"/>
      <c r="N1" s="212"/>
      <c r="O1" s="212"/>
      <c r="S1"/>
    </row>
    <row r="2" spans="1:22" ht="15" x14ac:dyDescent="0.25">
      <c r="A2" s="773" t="s">
        <v>1286</v>
      </c>
      <c r="B2" s="43"/>
      <c r="D2" s="212"/>
      <c r="E2" s="126"/>
      <c r="F2" s="212"/>
      <c r="G2" s="212"/>
      <c r="H2" s="212"/>
      <c r="I2" s="126" t="s">
        <v>816</v>
      </c>
      <c r="J2" s="126"/>
      <c r="K2" s="126"/>
      <c r="L2" s="126"/>
      <c r="M2" s="126"/>
      <c r="N2" s="126"/>
      <c r="O2" s="126"/>
      <c r="P2" s="58" t="s">
        <v>653</v>
      </c>
      <c r="S2" s="44" t="s">
        <v>1414</v>
      </c>
    </row>
    <row r="3" spans="1:22" ht="13.5" thickBot="1" x14ac:dyDescent="0.25">
      <c r="A3" s="774"/>
      <c r="B3" s="4"/>
      <c r="C3" s="23"/>
      <c r="D3" s="23"/>
      <c r="E3" s="23"/>
      <c r="F3" s="23"/>
      <c r="G3" s="23"/>
      <c r="H3" s="23"/>
      <c r="I3" s="23"/>
      <c r="J3" s="23"/>
      <c r="K3" s="23"/>
      <c r="L3" s="23"/>
      <c r="M3" s="23"/>
      <c r="N3" s="23"/>
      <c r="O3" s="23"/>
      <c r="P3" s="4"/>
      <c r="Q3" s="23"/>
      <c r="R3" s="23"/>
      <c r="S3" s="4"/>
      <c r="V3" s="4"/>
    </row>
    <row r="4" spans="1:22"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2"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2" x14ac:dyDescent="0.2">
      <c r="A6" s="776"/>
      <c r="B6" s="202"/>
      <c r="C6" s="113"/>
      <c r="D6" s="113"/>
      <c r="E6" s="113"/>
      <c r="F6" s="82"/>
      <c r="G6" s="113"/>
      <c r="H6" s="113"/>
      <c r="I6" s="83"/>
      <c r="J6" s="83"/>
      <c r="K6" s="83"/>
      <c r="L6" s="83"/>
      <c r="M6" s="83"/>
      <c r="N6" s="83"/>
      <c r="O6" s="83"/>
      <c r="P6" s="113"/>
      <c r="Q6" s="83" t="s">
        <v>823</v>
      </c>
      <c r="R6" s="83" t="s">
        <v>585</v>
      </c>
      <c r="S6" s="45" t="s">
        <v>824</v>
      </c>
    </row>
    <row r="7" spans="1:22"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2" ht="13.5" thickTop="1" x14ac:dyDescent="0.2">
      <c r="A8" s="796"/>
      <c r="B8" s="203"/>
      <c r="C8" s="118"/>
      <c r="D8" s="18"/>
      <c r="E8" s="18"/>
      <c r="F8" s="18"/>
      <c r="G8" s="18"/>
      <c r="H8" s="18"/>
      <c r="I8" s="19"/>
      <c r="J8" s="19"/>
      <c r="K8" s="19"/>
      <c r="L8" s="19"/>
      <c r="M8" s="19"/>
      <c r="N8" s="19"/>
      <c r="O8" s="19"/>
      <c r="P8" s="18"/>
      <c r="Q8" s="19"/>
      <c r="R8" s="19"/>
      <c r="S8" s="19"/>
    </row>
    <row r="9" spans="1:22" ht="13.5" thickBot="1" x14ac:dyDescent="0.25">
      <c r="A9" s="779">
        <v>5241</v>
      </c>
      <c r="B9" s="60" t="s">
        <v>1415</v>
      </c>
      <c r="C9" s="117">
        <v>4741</v>
      </c>
      <c r="D9" s="15">
        <v>2715</v>
      </c>
      <c r="E9" s="13">
        <v>5850</v>
      </c>
      <c r="F9" s="13">
        <v>6360</v>
      </c>
      <c r="G9" s="13">
        <v>6040</v>
      </c>
      <c r="H9" s="13">
        <v>5440</v>
      </c>
      <c r="I9" s="13">
        <v>6955</v>
      </c>
      <c r="J9" s="13">
        <v>6845</v>
      </c>
      <c r="K9" s="14">
        <v>7000</v>
      </c>
      <c r="L9" s="13">
        <v>3227.64</v>
      </c>
      <c r="M9" s="14">
        <v>12000</v>
      </c>
      <c r="N9" s="13">
        <v>11203.84</v>
      </c>
      <c r="O9" s="14">
        <v>12000</v>
      </c>
      <c r="P9" s="13">
        <v>1540</v>
      </c>
      <c r="Q9" s="14">
        <v>30000</v>
      </c>
      <c r="R9" s="14"/>
      <c r="S9" s="14"/>
      <c r="T9" s="220"/>
    </row>
    <row r="10" spans="1:22" x14ac:dyDescent="0.2">
      <c r="A10" s="779">
        <v>5245</v>
      </c>
      <c r="B10" s="60" t="s">
        <v>1416</v>
      </c>
      <c r="C10" s="591"/>
      <c r="D10" s="28"/>
      <c r="E10" s="13"/>
      <c r="F10" s="13"/>
      <c r="G10" s="13"/>
      <c r="H10" s="13">
        <v>3000</v>
      </c>
      <c r="I10" s="13"/>
      <c r="J10" s="13"/>
      <c r="K10" s="14"/>
      <c r="L10" s="13"/>
      <c r="M10" s="14">
        <v>1440</v>
      </c>
      <c r="N10" s="13">
        <v>2163</v>
      </c>
      <c r="O10" s="14">
        <v>1440</v>
      </c>
      <c r="P10" s="13">
        <v>725</v>
      </c>
      <c r="Q10" s="14"/>
      <c r="R10" s="14"/>
      <c r="S10" s="14"/>
    </row>
    <row r="11" spans="1:22" x14ac:dyDescent="0.2">
      <c r="A11" s="779">
        <v>5730</v>
      </c>
      <c r="B11" s="60" t="s">
        <v>837</v>
      </c>
      <c r="C11" s="591"/>
      <c r="D11" s="28"/>
      <c r="E11" s="35"/>
      <c r="F11" s="35"/>
      <c r="G11" s="35"/>
      <c r="H11" s="35"/>
      <c r="I11" s="35"/>
      <c r="J11" s="35"/>
      <c r="K11" s="36"/>
      <c r="L11" s="35"/>
      <c r="M11" s="36"/>
      <c r="N11" s="35"/>
      <c r="O11" s="36"/>
      <c r="P11" s="35"/>
      <c r="Q11" s="36">
        <v>150</v>
      </c>
      <c r="R11" s="36"/>
      <c r="S11" s="36"/>
    </row>
    <row r="12" spans="1:22" ht="13.5" thickBot="1" x14ac:dyDescent="0.25">
      <c r="A12" s="779"/>
      <c r="B12" s="60"/>
      <c r="C12" s="591"/>
      <c r="D12" s="28"/>
      <c r="E12" s="15"/>
      <c r="F12" s="15"/>
      <c r="G12" s="15"/>
      <c r="H12" s="15"/>
      <c r="I12" s="15"/>
      <c r="J12" s="15"/>
      <c r="K12" s="16"/>
      <c r="L12" s="15"/>
      <c r="M12" s="16"/>
      <c r="N12" s="15"/>
      <c r="O12" s="16"/>
      <c r="P12" s="15"/>
      <c r="Q12" s="16"/>
      <c r="R12" s="16"/>
      <c r="S12" s="16"/>
    </row>
    <row r="13" spans="1:22" x14ac:dyDescent="0.2">
      <c r="A13" s="779"/>
      <c r="B13" s="61" t="s">
        <v>838</v>
      </c>
      <c r="C13" s="118">
        <f t="shared" ref="C13:E13" si="0">SUM(C9:C9)</f>
        <v>4741</v>
      </c>
      <c r="D13" s="18">
        <f t="shared" si="0"/>
        <v>2715</v>
      </c>
      <c r="E13" s="18">
        <f t="shared" si="0"/>
        <v>5850</v>
      </c>
      <c r="F13" s="18">
        <f>+F9</f>
        <v>6360</v>
      </c>
      <c r="G13" s="18">
        <f>+G9</f>
        <v>6040</v>
      </c>
      <c r="H13" s="18">
        <f>+H9</f>
        <v>5440</v>
      </c>
      <c r="I13" s="18">
        <f>SUM(I9:I10)</f>
        <v>6955</v>
      </c>
      <c r="J13" s="18">
        <f>SUM(J9:J10)</f>
        <v>6845</v>
      </c>
      <c r="K13" s="19">
        <f>SUM(K9:K12)</f>
        <v>7000</v>
      </c>
      <c r="L13" s="18">
        <f t="shared" ref="L13:O13" si="1">SUM(L9:L12)</f>
        <v>3227.64</v>
      </c>
      <c r="M13" s="19">
        <f t="shared" si="1"/>
        <v>13440</v>
      </c>
      <c r="N13" s="18">
        <f t="shared" ref="N13" si="2">SUM(N9:N12)</f>
        <v>13366.84</v>
      </c>
      <c r="O13" s="19">
        <f t="shared" si="1"/>
        <v>13440</v>
      </c>
      <c r="P13" s="18">
        <f>SUM(P9:P12)</f>
        <v>2265</v>
      </c>
      <c r="Q13" s="19">
        <f>SUM(Q9:Q12)</f>
        <v>30150</v>
      </c>
      <c r="R13" s="19"/>
      <c r="S13" s="19">
        <f>SUM(S9:S9)</f>
        <v>0</v>
      </c>
    </row>
    <row r="14" spans="1:22" x14ac:dyDescent="0.2">
      <c r="A14" s="779"/>
      <c r="B14" s="200"/>
      <c r="C14" s="591"/>
      <c r="D14" s="28"/>
      <c r="E14" s="28"/>
      <c r="F14" s="28"/>
      <c r="G14" s="28"/>
      <c r="H14" s="28"/>
      <c r="I14" s="28"/>
      <c r="J14" s="28"/>
      <c r="K14" s="29"/>
      <c r="L14" s="28"/>
      <c r="M14" s="29"/>
      <c r="N14" s="28"/>
      <c r="O14" s="29"/>
      <c r="P14" s="28"/>
      <c r="Q14" s="29"/>
      <c r="R14" s="29"/>
      <c r="S14" s="29"/>
    </row>
    <row r="15" spans="1:22" ht="13.5" thickBot="1" x14ac:dyDescent="0.25">
      <c r="A15" s="779">
        <v>5800</v>
      </c>
      <c r="B15" s="60" t="s">
        <v>1417</v>
      </c>
      <c r="C15" s="117"/>
      <c r="D15" s="15"/>
      <c r="E15" s="15"/>
      <c r="F15" s="15"/>
      <c r="G15" s="15"/>
      <c r="H15" s="15"/>
      <c r="I15" s="15"/>
      <c r="J15" s="15"/>
      <c r="K15" s="41"/>
      <c r="L15" s="15"/>
      <c r="M15" s="41"/>
      <c r="N15" s="15"/>
      <c r="O15" s="41"/>
      <c r="P15" s="15"/>
      <c r="Q15" s="41"/>
      <c r="R15" s="41"/>
      <c r="S15" s="41"/>
    </row>
    <row r="16" spans="1:22" x14ac:dyDescent="0.2">
      <c r="A16" s="779"/>
      <c r="B16" s="61" t="s">
        <v>952</v>
      </c>
      <c r="C16" s="118">
        <f t="shared" ref="C16:Q16" si="3">+C15</f>
        <v>0</v>
      </c>
      <c r="D16" s="18">
        <f t="shared" si="3"/>
        <v>0</v>
      </c>
      <c r="E16" s="18">
        <f>+E15</f>
        <v>0</v>
      </c>
      <c r="F16" s="18"/>
      <c r="G16" s="18"/>
      <c r="H16" s="18"/>
      <c r="I16" s="18">
        <f>+I15</f>
        <v>0</v>
      </c>
      <c r="J16" s="18">
        <f>+J15</f>
        <v>0</v>
      </c>
      <c r="K16" s="19">
        <f t="shared" ref="K16:O16" si="4">+K15</f>
        <v>0</v>
      </c>
      <c r="L16" s="18">
        <f t="shared" si="4"/>
        <v>0</v>
      </c>
      <c r="M16" s="19">
        <f t="shared" si="4"/>
        <v>0</v>
      </c>
      <c r="N16" s="18">
        <f t="shared" ref="N16" si="5">+N15</f>
        <v>0</v>
      </c>
      <c r="O16" s="19">
        <f t="shared" si="4"/>
        <v>0</v>
      </c>
      <c r="P16" s="18">
        <f t="shared" si="3"/>
        <v>0</v>
      </c>
      <c r="Q16" s="19">
        <f t="shared" si="3"/>
        <v>0</v>
      </c>
      <c r="R16" s="19"/>
      <c r="S16" s="19">
        <f>+S15</f>
        <v>0</v>
      </c>
    </row>
    <row r="17" spans="1:22" x14ac:dyDescent="0.2">
      <c r="A17" s="779"/>
      <c r="B17" s="60"/>
      <c r="C17" s="116"/>
      <c r="D17" s="13"/>
      <c r="E17" s="13"/>
      <c r="F17" s="13"/>
      <c r="G17" s="13"/>
      <c r="H17" s="13"/>
      <c r="I17" s="13"/>
      <c r="J17" s="13"/>
      <c r="K17" s="14"/>
      <c r="L17" s="13"/>
      <c r="M17" s="14"/>
      <c r="N17" s="13"/>
      <c r="O17" s="14"/>
      <c r="P17" s="13"/>
      <c r="Q17" s="14"/>
      <c r="R17" s="14"/>
      <c r="S17" s="14"/>
    </row>
    <row r="18" spans="1:22" ht="13.5" thickBot="1" x14ac:dyDescent="0.25">
      <c r="A18" s="780"/>
      <c r="B18" s="602" t="s">
        <v>1418</v>
      </c>
      <c r="C18" s="596">
        <f t="shared" ref="C18:Q18" si="6">+C16+C13</f>
        <v>4741</v>
      </c>
      <c r="D18" s="21">
        <f t="shared" si="6"/>
        <v>2715</v>
      </c>
      <c r="E18" s="21">
        <f t="shared" ref="E18:J18" si="7">+E16+E13</f>
        <v>5850</v>
      </c>
      <c r="F18" s="21">
        <f t="shared" si="7"/>
        <v>6360</v>
      </c>
      <c r="G18" s="21">
        <f t="shared" si="7"/>
        <v>6040</v>
      </c>
      <c r="H18" s="21">
        <f t="shared" si="7"/>
        <v>5440</v>
      </c>
      <c r="I18" s="21">
        <f t="shared" si="7"/>
        <v>6955</v>
      </c>
      <c r="J18" s="21">
        <f t="shared" si="7"/>
        <v>6845</v>
      </c>
      <c r="K18" s="22">
        <f t="shared" ref="K18:O18" si="8">+K16+K13</f>
        <v>7000</v>
      </c>
      <c r="L18" s="21">
        <f t="shared" si="8"/>
        <v>3227.64</v>
      </c>
      <c r="M18" s="22">
        <f t="shared" si="8"/>
        <v>13440</v>
      </c>
      <c r="N18" s="21">
        <f t="shared" ref="N18" si="9">+N16+N13</f>
        <v>13366.84</v>
      </c>
      <c r="O18" s="22">
        <f t="shared" si="8"/>
        <v>13440</v>
      </c>
      <c r="P18" s="21">
        <f t="shared" si="6"/>
        <v>2265</v>
      </c>
      <c r="Q18" s="22">
        <f t="shared" si="6"/>
        <v>30150</v>
      </c>
      <c r="R18" s="22">
        <f>+Q18</f>
        <v>30150</v>
      </c>
      <c r="S18" s="22">
        <f>+Q18</f>
        <v>30150</v>
      </c>
    </row>
    <row r="19" spans="1:22" ht="13.5" thickTop="1" x14ac:dyDescent="0.2">
      <c r="A19" s="774"/>
      <c r="B19" s="603"/>
      <c r="C19" s="24"/>
      <c r="D19" s="24"/>
      <c r="E19" s="24"/>
      <c r="F19" s="24"/>
      <c r="G19" s="24"/>
      <c r="H19" s="24"/>
      <c r="I19" s="24"/>
      <c r="J19" s="24"/>
      <c r="K19" s="24"/>
      <c r="L19" s="24"/>
      <c r="M19" s="24"/>
      <c r="N19" s="24"/>
      <c r="O19" s="24"/>
      <c r="P19" s="199" t="s">
        <v>843</v>
      </c>
      <c r="Q19" s="1116">
        <f>+Q18-O18</f>
        <v>16710</v>
      </c>
      <c r="R19" s="1117">
        <f>ROUND((+Q19/O18),4)</f>
        <v>1.2433000000000001</v>
      </c>
      <c r="S19" s="23"/>
      <c r="T19" s="25"/>
      <c r="U19" s="25"/>
      <c r="V19" s="25"/>
    </row>
    <row r="20" spans="1:22" ht="13.5" thickBot="1" x14ac:dyDescent="0.25">
      <c r="A20" s="774"/>
      <c r="B20" s="4"/>
      <c r="C20" s="23"/>
      <c r="D20" s="23"/>
      <c r="E20" s="23"/>
      <c r="F20" s="23"/>
      <c r="G20" s="23"/>
      <c r="H20" s="23"/>
      <c r="I20" s="23"/>
      <c r="J20" s="23"/>
      <c r="K20" s="23"/>
      <c r="L20" s="23"/>
      <c r="M20" s="23"/>
      <c r="N20" s="23"/>
      <c r="O20" s="23"/>
      <c r="P20" s="25"/>
      <c r="Q20" s="23"/>
      <c r="R20" s="23"/>
      <c r="S20" s="25"/>
      <c r="T20" s="25"/>
      <c r="U20" s="25"/>
      <c r="V20" s="25"/>
    </row>
    <row r="21" spans="1:22" ht="13.5" thickTop="1" x14ac:dyDescent="0.2">
      <c r="A21" s="789"/>
      <c r="B21" s="367"/>
      <c r="C21" s="368" t="s">
        <v>280</v>
      </c>
      <c r="D21" s="369" t="s">
        <v>280</v>
      </c>
      <c r="E21" s="369" t="s">
        <v>280</v>
      </c>
      <c r="F21" s="212"/>
      <c r="G21" s="212"/>
      <c r="H21" s="212"/>
      <c r="I21" s="212"/>
      <c r="J21" s="212"/>
      <c r="K21" s="212"/>
      <c r="L21" s="212"/>
      <c r="M21" s="370" t="s">
        <v>279</v>
      </c>
      <c r="N21" s="371" t="s">
        <v>826</v>
      </c>
      <c r="O21" s="372" t="s">
        <v>840</v>
      </c>
      <c r="P21" s="371" t="s">
        <v>841</v>
      </c>
      <c r="Q21" s="373"/>
      <c r="R21" s="569"/>
      <c r="S21" s="372"/>
      <c r="T21" s="25"/>
      <c r="U21" s="25"/>
      <c r="V21" s="25"/>
    </row>
    <row r="22" spans="1:22" ht="13.5" thickBot="1" x14ac:dyDescent="0.25">
      <c r="A22" s="790" t="s">
        <v>825</v>
      </c>
      <c r="B22" s="374"/>
      <c r="C22" s="375" t="s">
        <v>267</v>
      </c>
      <c r="D22" s="375" t="s">
        <v>268</v>
      </c>
      <c r="E22" s="376" t="s">
        <v>269</v>
      </c>
      <c r="F22" s="212"/>
      <c r="G22" s="212"/>
      <c r="H22" s="212"/>
      <c r="I22" s="212"/>
      <c r="J22" s="212"/>
      <c r="K22" s="212"/>
      <c r="L22" s="212"/>
      <c r="M22" s="377" t="s">
        <v>277</v>
      </c>
      <c r="N22" s="377" t="s">
        <v>571</v>
      </c>
      <c r="O22" s="376" t="s">
        <v>843</v>
      </c>
      <c r="P22" s="378" t="s">
        <v>843</v>
      </c>
      <c r="Q22" s="379" t="s">
        <v>844</v>
      </c>
      <c r="R22" s="570"/>
      <c r="S22" s="377"/>
      <c r="T22" s="25"/>
      <c r="U22" s="25"/>
      <c r="V22" s="25"/>
    </row>
    <row r="23" spans="1:22" ht="13.5" thickTop="1" x14ac:dyDescent="0.2">
      <c r="A23" s="797"/>
      <c r="B23" s="394"/>
      <c r="C23" s="383"/>
      <c r="D23" s="383"/>
      <c r="E23" s="383"/>
      <c r="F23" s="212"/>
      <c r="G23" s="212"/>
      <c r="H23" s="212"/>
      <c r="I23" s="212"/>
      <c r="J23" s="212"/>
      <c r="K23" s="212"/>
      <c r="L23" s="212"/>
      <c r="M23" s="384"/>
      <c r="N23" s="383"/>
      <c r="O23" s="414"/>
      <c r="P23" s="392"/>
      <c r="Q23" s="385"/>
      <c r="R23" s="572"/>
      <c r="S23" s="386"/>
      <c r="T23" s="25"/>
      <c r="U23" s="25"/>
      <c r="V23" s="25"/>
    </row>
    <row r="24" spans="1:22" ht="13.5" thickBot="1" x14ac:dyDescent="0.25">
      <c r="A24" s="795">
        <v>5241</v>
      </c>
      <c r="B24" s="387" t="s">
        <v>1415</v>
      </c>
      <c r="C24" s="389">
        <v>4741</v>
      </c>
      <c r="D24" s="389">
        <v>2715</v>
      </c>
      <c r="E24" s="391">
        <v>5850</v>
      </c>
      <c r="F24" s="212"/>
      <c r="G24" s="212"/>
      <c r="H24" s="212"/>
      <c r="I24" s="212"/>
      <c r="J24" s="212"/>
      <c r="K24" s="212"/>
      <c r="L24" s="212"/>
      <c r="M24" s="390">
        <f>+O9</f>
        <v>12000</v>
      </c>
      <c r="N24" s="411">
        <f>+Q9</f>
        <v>30000</v>
      </c>
      <c r="O24" s="414">
        <f>+N24-M24</f>
        <v>18000</v>
      </c>
      <c r="P24" s="392">
        <f>IF(M24+N24&lt;&gt;0,IF(M24&lt;&gt;0,IF(O24&lt;&gt;0,ROUND((+O24/M24),4),""),1),"")</f>
        <v>1.5</v>
      </c>
      <c r="Q24" s="385" t="s">
        <v>2174</v>
      </c>
      <c r="R24" s="572"/>
      <c r="S24" s="386"/>
      <c r="T24" s="25"/>
      <c r="U24" s="25"/>
      <c r="V24" s="25"/>
    </row>
    <row r="25" spans="1:22" x14ac:dyDescent="0.2">
      <c r="A25" s="795">
        <v>5245</v>
      </c>
      <c r="B25" s="387" t="s">
        <v>1419</v>
      </c>
      <c r="C25" s="395"/>
      <c r="D25" s="395"/>
      <c r="E25" s="391"/>
      <c r="F25" s="212"/>
      <c r="G25" s="212"/>
      <c r="H25" s="212"/>
      <c r="I25" s="212"/>
      <c r="J25" s="212"/>
      <c r="K25" s="212"/>
      <c r="L25" s="212"/>
      <c r="M25" s="390">
        <f>+O10</f>
        <v>1440</v>
      </c>
      <c r="N25" s="411">
        <f>+Q10</f>
        <v>0</v>
      </c>
      <c r="O25" s="414">
        <f>+N25-M25</f>
        <v>-1440</v>
      </c>
      <c r="P25" s="392">
        <f>IF(M25+N25&lt;&gt;0,IF(M25&lt;&gt;0,IF(O25&lt;&gt;0,ROUND((+O25/M25),4),""),1),"")</f>
        <v>-1</v>
      </c>
      <c r="Q25" s="385" t="s">
        <v>2175</v>
      </c>
      <c r="R25" s="572"/>
      <c r="S25" s="386"/>
      <c r="T25" s="25"/>
      <c r="U25" s="25"/>
      <c r="V25" s="25"/>
    </row>
    <row r="26" spans="1:22" x14ac:dyDescent="0.2">
      <c r="A26" s="795">
        <v>5730</v>
      </c>
      <c r="B26" s="415" t="s">
        <v>837</v>
      </c>
      <c r="C26" s="395"/>
      <c r="D26" s="395"/>
      <c r="E26" s="391"/>
      <c r="F26" s="212"/>
      <c r="G26" s="212"/>
      <c r="H26" s="212"/>
      <c r="I26" s="212"/>
      <c r="J26" s="212"/>
      <c r="K26" s="212"/>
      <c r="L26" s="212"/>
      <c r="M26" s="390">
        <f>+O16</f>
        <v>0</v>
      </c>
      <c r="N26" s="411">
        <f>+Q11</f>
        <v>150</v>
      </c>
      <c r="O26" s="414">
        <f>+N26-M26</f>
        <v>150</v>
      </c>
      <c r="P26" s="392">
        <f>IF(M26+N26&lt;&gt;0,IF(M26&lt;&gt;0,IF(O26&lt;&gt;0,ROUND((+O26/M26),4),""),1),"")</f>
        <v>1</v>
      </c>
      <c r="Q26" s="385" t="s">
        <v>2176</v>
      </c>
      <c r="R26" s="572"/>
      <c r="S26" s="386"/>
      <c r="T26" s="25"/>
      <c r="U26" s="25"/>
      <c r="V26" s="25"/>
    </row>
    <row r="27" spans="1:22" x14ac:dyDescent="0.2">
      <c r="A27" s="809"/>
      <c r="B27" s="406"/>
      <c r="C27" s="416"/>
      <c r="D27" s="416"/>
      <c r="E27" s="416"/>
      <c r="F27" s="212"/>
      <c r="G27" s="212"/>
      <c r="H27" s="212"/>
      <c r="I27" s="212"/>
      <c r="J27" s="212"/>
      <c r="K27" s="212"/>
      <c r="L27" s="212"/>
      <c r="M27" s="416"/>
      <c r="N27" s="416"/>
      <c r="O27" s="416"/>
      <c r="P27" s="417"/>
      <c r="Q27" s="416"/>
      <c r="R27" s="416"/>
      <c r="S27" s="416"/>
      <c r="T27" s="25"/>
      <c r="U27" s="25"/>
      <c r="V27" s="25"/>
    </row>
    <row r="28" spans="1:22" x14ac:dyDescent="0.2">
      <c r="A28" s="774"/>
      <c r="B28" s="4"/>
      <c r="C28" s="23"/>
      <c r="D28" s="23"/>
      <c r="E28" s="23"/>
      <c r="F28" s="23"/>
      <c r="G28" s="23"/>
      <c r="H28" s="212"/>
      <c r="I28" s="212"/>
      <c r="J28" s="212"/>
      <c r="K28" s="212"/>
      <c r="L28" s="212"/>
      <c r="M28" s="23"/>
      <c r="N28" s="23"/>
      <c r="O28" s="23"/>
      <c r="P28" s="25"/>
      <c r="Q28" s="23"/>
      <c r="R28" s="23"/>
      <c r="S28" s="23"/>
      <c r="T28" s="25"/>
      <c r="U28" s="25"/>
      <c r="V28" s="25"/>
    </row>
    <row r="29" spans="1:22" x14ac:dyDescent="0.2">
      <c r="A29" s="774"/>
      <c r="B29" s="4" t="s">
        <v>846</v>
      </c>
      <c r="C29" s="23"/>
      <c r="D29" s="23"/>
      <c r="E29" s="23"/>
      <c r="F29" s="23"/>
      <c r="G29" s="23"/>
      <c r="H29" s="212"/>
      <c r="I29" s="212"/>
      <c r="J29" s="212"/>
      <c r="K29" s="212"/>
      <c r="L29" s="212"/>
      <c r="M29" s="616">
        <f>SUM(M24:M28)</f>
        <v>13440</v>
      </c>
      <c r="N29" s="616">
        <f>SUM(N24:N28)</f>
        <v>30150</v>
      </c>
      <c r="O29" s="25">
        <f>+N29-M29</f>
        <v>16710</v>
      </c>
      <c r="P29" s="617">
        <f>IF(M29+N29&lt;&gt;0,IF(M29&lt;&gt;0,IF(O29&lt;&gt;0,ROUND((+O29/M29),4),""),1),"")</f>
        <v>1.2433000000000001</v>
      </c>
      <c r="Q29" s="23"/>
      <c r="R29" s="23"/>
      <c r="S29" s="23"/>
      <c r="T29" s="25"/>
      <c r="U29" s="25"/>
      <c r="V29" s="25"/>
    </row>
    <row r="30" spans="1:22" x14ac:dyDescent="0.2">
      <c r="A30" s="774"/>
      <c r="B30" s="4"/>
      <c r="C30" s="23"/>
      <c r="D30" s="23"/>
      <c r="E30" s="23"/>
      <c r="F30" s="23"/>
      <c r="G30" s="23"/>
      <c r="H30" s="23"/>
      <c r="I30" s="23"/>
      <c r="J30" s="23"/>
      <c r="K30" s="23"/>
      <c r="L30" s="23"/>
      <c r="M30" s="23"/>
      <c r="N30" s="23"/>
      <c r="O30" s="23"/>
      <c r="P30" s="25"/>
      <c r="Q30" s="23"/>
      <c r="R30" s="23"/>
      <c r="S30" s="23"/>
      <c r="T30" s="25"/>
      <c r="U30" s="25"/>
      <c r="V30" s="25"/>
    </row>
    <row r="31" spans="1:22" x14ac:dyDescent="0.2">
      <c r="A31" s="774"/>
      <c r="B31" s="4"/>
      <c r="C31" s="23"/>
      <c r="D31" s="23"/>
      <c r="E31" s="23"/>
      <c r="F31" s="23"/>
      <c r="G31" s="23"/>
      <c r="H31" s="23"/>
      <c r="I31" s="23"/>
      <c r="J31" s="23"/>
      <c r="K31" s="23"/>
      <c r="L31" s="23"/>
      <c r="M31" s="23"/>
      <c r="N31" s="23"/>
      <c r="O31" s="23"/>
      <c r="P31" s="25"/>
      <c r="Q31" s="23"/>
      <c r="R31" s="23"/>
      <c r="S31" s="23"/>
      <c r="T31" s="25"/>
      <c r="U31" s="25"/>
      <c r="V31" s="25"/>
    </row>
    <row r="32" spans="1:22" x14ac:dyDescent="0.2">
      <c r="A32" s="774"/>
      <c r="B32" s="4"/>
      <c r="C32" s="23"/>
      <c r="D32" s="23"/>
      <c r="E32" s="23"/>
      <c r="F32" s="23"/>
      <c r="G32" s="23"/>
      <c r="H32" s="23"/>
      <c r="I32" s="23"/>
      <c r="J32" s="23"/>
      <c r="K32" s="23"/>
      <c r="L32" s="23"/>
      <c r="M32" s="23"/>
      <c r="N32" s="23"/>
      <c r="O32" s="23"/>
      <c r="P32" s="25"/>
      <c r="Q32" s="23"/>
      <c r="R32" s="23"/>
      <c r="S32" s="23"/>
      <c r="T32" s="25"/>
      <c r="U32" s="25"/>
      <c r="V32" s="25"/>
    </row>
    <row r="33" spans="1:22" x14ac:dyDescent="0.2">
      <c r="A33" s="774"/>
      <c r="B33" s="4"/>
      <c r="C33" s="23"/>
      <c r="D33" s="23"/>
      <c r="E33" s="23"/>
      <c r="F33" s="23"/>
      <c r="G33" s="23"/>
      <c r="H33" s="23"/>
      <c r="I33" s="23"/>
      <c r="J33" s="23"/>
      <c r="K33" s="23"/>
      <c r="L33" s="23"/>
      <c r="M33" s="23"/>
      <c r="N33" s="23"/>
      <c r="O33" s="23"/>
      <c r="P33" s="25"/>
      <c r="Q33" s="23"/>
      <c r="R33" s="23"/>
      <c r="S33" s="23"/>
      <c r="T33" s="25"/>
      <c r="U33" s="25"/>
      <c r="V33" s="25"/>
    </row>
    <row r="34" spans="1:22" x14ac:dyDescent="0.2">
      <c r="A34" s="774"/>
      <c r="B34" s="4"/>
      <c r="C34" s="23"/>
      <c r="D34" s="23"/>
      <c r="E34" s="23"/>
      <c r="F34" s="23"/>
      <c r="G34" s="23"/>
      <c r="H34" s="23"/>
      <c r="I34" s="23"/>
      <c r="J34" s="23"/>
      <c r="K34" s="23"/>
      <c r="L34" s="23"/>
      <c r="M34" s="23"/>
      <c r="N34" s="23"/>
      <c r="O34" s="23"/>
      <c r="P34" s="25"/>
      <c r="Q34" s="23"/>
      <c r="R34" s="23"/>
      <c r="S34" s="23"/>
      <c r="T34" s="25"/>
      <c r="U34" s="25"/>
      <c r="V34" s="25"/>
    </row>
    <row r="35" spans="1:22" x14ac:dyDescent="0.2">
      <c r="A35" s="774"/>
      <c r="B35" s="4"/>
      <c r="C35" s="23"/>
      <c r="D35" s="23"/>
      <c r="E35" s="23"/>
      <c r="F35" s="23"/>
      <c r="G35" s="23"/>
      <c r="H35" s="23"/>
      <c r="I35" s="23"/>
      <c r="J35" s="23"/>
      <c r="K35" s="23"/>
      <c r="L35" s="23"/>
      <c r="M35" s="23"/>
      <c r="N35" s="23"/>
      <c r="O35" s="23"/>
      <c r="P35" s="25"/>
      <c r="Q35" s="23"/>
      <c r="R35" s="23"/>
      <c r="S35" s="23"/>
      <c r="T35" s="25"/>
      <c r="U35" s="25"/>
      <c r="V35" s="25"/>
    </row>
    <row r="36" spans="1:22" x14ac:dyDescent="0.2">
      <c r="A36" s="774"/>
      <c r="B36" s="4"/>
      <c r="C36" s="23"/>
      <c r="D36" s="23"/>
      <c r="E36" s="23"/>
      <c r="F36" s="23"/>
      <c r="G36" s="23"/>
      <c r="H36" s="23"/>
      <c r="I36" s="23"/>
      <c r="J36" s="23"/>
      <c r="K36" s="23"/>
      <c r="L36" s="23"/>
      <c r="M36" s="23"/>
      <c r="N36" s="23"/>
      <c r="O36" s="23"/>
      <c r="P36" s="25"/>
      <c r="Q36" s="23"/>
      <c r="R36" s="23"/>
      <c r="S36" s="23"/>
      <c r="T36" s="25"/>
      <c r="U36" s="25"/>
      <c r="V36" s="25"/>
    </row>
    <row r="37" spans="1:22" x14ac:dyDescent="0.2">
      <c r="A37" s="774"/>
      <c r="B37" s="4"/>
      <c r="C37" s="23"/>
      <c r="D37" s="23"/>
      <c r="E37" s="23"/>
      <c r="F37" s="23"/>
      <c r="G37" s="23"/>
      <c r="H37" s="23"/>
      <c r="I37" s="23"/>
      <c r="J37" s="23"/>
      <c r="K37" s="23"/>
      <c r="L37" s="23"/>
      <c r="M37" s="23"/>
      <c r="N37" s="23"/>
      <c r="O37" s="23"/>
      <c r="P37" s="25"/>
      <c r="Q37" s="23"/>
      <c r="R37" s="23"/>
      <c r="S37" s="23"/>
      <c r="T37" s="25"/>
      <c r="U37" s="25"/>
      <c r="V37" s="25"/>
    </row>
    <row r="38" spans="1:22" x14ac:dyDescent="0.2">
      <c r="A38" s="774"/>
      <c r="B38" s="4"/>
      <c r="C38" s="23"/>
      <c r="D38" s="23"/>
      <c r="E38" s="23"/>
      <c r="F38" s="23"/>
      <c r="G38" s="23"/>
      <c r="H38" s="23"/>
      <c r="I38" s="23"/>
      <c r="J38" s="23"/>
      <c r="K38" s="23"/>
      <c r="L38" s="23"/>
      <c r="M38" s="23"/>
      <c r="N38" s="23"/>
      <c r="O38" s="23"/>
      <c r="P38" s="25"/>
      <c r="Q38" s="23"/>
      <c r="R38" s="23"/>
      <c r="S38" s="23"/>
      <c r="T38" s="25"/>
      <c r="U38" s="25"/>
      <c r="V38" s="25"/>
    </row>
    <row r="39" spans="1:22" x14ac:dyDescent="0.2">
      <c r="A39" s="774"/>
      <c r="B39" s="4"/>
      <c r="C39" s="23"/>
      <c r="D39" s="23"/>
      <c r="E39" s="23"/>
      <c r="F39" s="23"/>
      <c r="G39" s="23"/>
      <c r="H39" s="23"/>
      <c r="I39" s="23"/>
      <c r="J39" s="23"/>
      <c r="K39" s="23"/>
      <c r="L39" s="23"/>
      <c r="M39" s="23"/>
      <c r="N39" s="23"/>
      <c r="O39" s="23"/>
      <c r="P39" s="25"/>
      <c r="Q39" s="23"/>
      <c r="R39" s="23"/>
      <c r="S39" s="23"/>
      <c r="T39" s="25"/>
      <c r="U39" s="25"/>
      <c r="V39" s="25"/>
    </row>
    <row r="40" spans="1:22" x14ac:dyDescent="0.2">
      <c r="A40" s="774"/>
      <c r="B40" s="4"/>
      <c r="C40" s="23"/>
      <c r="D40" s="23"/>
      <c r="E40" s="23"/>
      <c r="F40" s="23"/>
      <c r="G40" s="23"/>
      <c r="H40" s="23"/>
      <c r="I40" s="23"/>
      <c r="J40" s="23"/>
      <c r="K40" s="23"/>
      <c r="L40" s="23"/>
      <c r="M40" s="23"/>
      <c r="N40" s="23"/>
      <c r="O40" s="23"/>
      <c r="P40" s="25"/>
      <c r="Q40" s="23"/>
      <c r="R40" s="23"/>
      <c r="S40" s="23"/>
      <c r="T40" s="25"/>
      <c r="U40" s="25"/>
      <c r="V40" s="25"/>
    </row>
    <row r="41" spans="1:22" x14ac:dyDescent="0.2">
      <c r="A41" s="774"/>
      <c r="B41" s="4"/>
      <c r="C41" s="23"/>
      <c r="D41" s="23"/>
      <c r="E41" s="23"/>
      <c r="F41" s="23"/>
      <c r="G41" s="23"/>
      <c r="H41" s="23"/>
      <c r="I41" s="23"/>
      <c r="J41" s="23"/>
      <c r="K41" s="23"/>
      <c r="L41" s="23"/>
      <c r="M41" s="23"/>
      <c r="N41" s="23"/>
      <c r="O41" s="23"/>
      <c r="P41" s="25"/>
      <c r="Q41" s="23"/>
      <c r="R41" s="23"/>
      <c r="S41" s="23"/>
      <c r="T41" s="25"/>
      <c r="U41" s="25"/>
      <c r="V41" s="25"/>
    </row>
    <row r="42" spans="1:22" x14ac:dyDescent="0.2">
      <c r="A42" s="774"/>
      <c r="B42" s="4"/>
      <c r="C42" s="23"/>
      <c r="D42" s="23"/>
      <c r="E42" s="23"/>
      <c r="F42" s="23"/>
      <c r="G42" s="23"/>
      <c r="H42" s="23"/>
      <c r="I42" s="23"/>
      <c r="J42" s="23"/>
      <c r="K42" s="23"/>
      <c r="L42" s="23"/>
      <c r="M42" s="23"/>
      <c r="N42" s="23"/>
      <c r="O42" s="23"/>
      <c r="P42" s="25"/>
      <c r="Q42" s="23"/>
      <c r="R42" s="23"/>
      <c r="S42" s="23"/>
      <c r="T42" s="25"/>
      <c r="U42" s="25"/>
      <c r="V42" s="25"/>
    </row>
    <row r="43" spans="1:22" x14ac:dyDescent="0.2">
      <c r="A43" s="774"/>
      <c r="B43" s="4"/>
      <c r="C43" s="23"/>
      <c r="D43" s="23"/>
      <c r="E43" s="23"/>
      <c r="F43" s="23"/>
      <c r="G43" s="23"/>
      <c r="H43" s="23"/>
      <c r="I43" s="23"/>
      <c r="J43" s="23"/>
      <c r="K43" s="23"/>
      <c r="L43" s="23"/>
      <c r="M43" s="23"/>
      <c r="N43" s="23"/>
      <c r="O43" s="23"/>
      <c r="P43" s="25"/>
      <c r="Q43" s="23"/>
      <c r="R43" s="23"/>
      <c r="S43" s="23"/>
      <c r="T43" s="25"/>
      <c r="U43" s="25"/>
      <c r="V43" s="25"/>
    </row>
    <row r="44" spans="1:22" x14ac:dyDescent="0.2">
      <c r="A44" s="774"/>
      <c r="B44" s="4"/>
      <c r="C44" s="23"/>
      <c r="D44" s="23"/>
      <c r="E44" s="23"/>
      <c r="F44" s="23"/>
      <c r="G44" s="23"/>
      <c r="H44" s="23"/>
      <c r="I44" s="23"/>
      <c r="J44" s="23"/>
      <c r="K44" s="23"/>
      <c r="L44" s="23"/>
      <c r="M44" s="23"/>
      <c r="N44" s="23"/>
      <c r="O44" s="23"/>
      <c r="P44" s="25"/>
      <c r="Q44" s="23"/>
      <c r="R44" s="23"/>
      <c r="S44" s="23"/>
      <c r="T44" s="25"/>
      <c r="U44" s="25"/>
      <c r="V44" s="25"/>
    </row>
    <row r="45" spans="1:22" x14ac:dyDescent="0.2">
      <c r="A45" s="774"/>
      <c r="B45" s="4"/>
      <c r="C45" s="23"/>
      <c r="D45" s="23"/>
      <c r="E45" s="23"/>
      <c r="F45" s="23"/>
      <c r="G45" s="23"/>
      <c r="H45" s="23"/>
      <c r="I45" s="23"/>
      <c r="J45" s="23"/>
      <c r="K45" s="23"/>
      <c r="L45" s="23"/>
      <c r="M45" s="23"/>
      <c r="N45" s="23"/>
      <c r="O45" s="23"/>
      <c r="P45" s="25"/>
      <c r="Q45" s="23"/>
      <c r="R45" s="23"/>
      <c r="S45" s="23"/>
      <c r="T45" s="25"/>
      <c r="U45" s="25"/>
      <c r="V45" s="25"/>
    </row>
    <row r="46" spans="1:22" x14ac:dyDescent="0.2">
      <c r="A46" s="774"/>
      <c r="B46" s="4"/>
      <c r="C46" s="23"/>
      <c r="D46" s="23"/>
      <c r="E46" s="23"/>
      <c r="F46" s="23"/>
      <c r="G46" s="23"/>
      <c r="H46" s="23"/>
      <c r="I46" s="23"/>
      <c r="J46" s="23"/>
      <c r="K46" s="23"/>
      <c r="L46" s="23"/>
      <c r="M46" s="23"/>
      <c r="N46" s="23"/>
      <c r="O46" s="23"/>
      <c r="P46" s="25"/>
      <c r="Q46" s="23"/>
      <c r="R46" s="23"/>
      <c r="S46" s="23"/>
      <c r="T46" s="25"/>
      <c r="U46" s="25"/>
      <c r="V46" s="25"/>
    </row>
    <row r="47" spans="1:22" x14ac:dyDescent="0.2">
      <c r="A47" s="774"/>
      <c r="B47" s="4"/>
      <c r="C47" s="23"/>
      <c r="D47" s="23"/>
      <c r="E47" s="23"/>
      <c r="F47" s="23"/>
      <c r="G47" s="23"/>
      <c r="H47" s="23"/>
      <c r="I47" s="23"/>
      <c r="J47" s="23"/>
      <c r="K47" s="23"/>
      <c r="L47" s="23"/>
      <c r="M47" s="23"/>
      <c r="N47" s="23"/>
      <c r="O47" s="23"/>
      <c r="P47" s="25"/>
      <c r="Q47" s="23"/>
      <c r="R47" s="23"/>
      <c r="S47" s="23"/>
      <c r="T47" s="25"/>
      <c r="U47" s="25"/>
      <c r="V47" s="25"/>
    </row>
    <row r="48" spans="1:22" x14ac:dyDescent="0.2">
      <c r="A48" s="774"/>
      <c r="B48" s="4"/>
      <c r="C48" s="23"/>
      <c r="D48" s="23"/>
      <c r="E48" s="23"/>
      <c r="F48" s="23"/>
      <c r="G48" s="23"/>
      <c r="H48" s="23"/>
      <c r="I48" s="23"/>
      <c r="J48" s="23"/>
      <c r="K48" s="23"/>
      <c r="L48" s="23"/>
      <c r="M48" s="23"/>
      <c r="N48" s="23"/>
      <c r="O48" s="23"/>
      <c r="P48" s="25"/>
      <c r="Q48" s="23"/>
      <c r="R48" s="23"/>
      <c r="S48" s="23"/>
      <c r="T48" s="25"/>
      <c r="U48" s="25"/>
      <c r="V48" s="25"/>
    </row>
    <row r="49" spans="1:22" x14ac:dyDescent="0.2">
      <c r="A49" s="774"/>
      <c r="B49" s="4"/>
      <c r="C49" s="23"/>
      <c r="D49" s="23"/>
      <c r="E49" s="23"/>
      <c r="F49" s="23"/>
      <c r="G49" s="23"/>
      <c r="H49" s="23"/>
      <c r="I49" s="23"/>
      <c r="J49" s="23"/>
      <c r="K49" s="23"/>
      <c r="L49" s="23"/>
      <c r="M49" s="23"/>
      <c r="N49" s="23"/>
      <c r="O49" s="23"/>
      <c r="P49" s="25"/>
      <c r="Q49" s="23"/>
      <c r="R49" s="23"/>
      <c r="S49" s="23"/>
      <c r="T49" s="25"/>
      <c r="U49" s="25"/>
      <c r="V49" s="25"/>
    </row>
    <row r="50" spans="1:22" x14ac:dyDescent="0.2">
      <c r="A50" s="774"/>
      <c r="B50" s="4"/>
      <c r="C50" s="23"/>
      <c r="D50" s="23"/>
      <c r="E50" s="23"/>
      <c r="F50" s="23"/>
      <c r="G50" s="23"/>
      <c r="H50" s="23"/>
      <c r="I50" s="23"/>
      <c r="J50" s="23"/>
      <c r="K50" s="23"/>
      <c r="L50" s="23"/>
      <c r="M50" s="23"/>
      <c r="N50" s="23"/>
      <c r="O50" s="23"/>
      <c r="P50" s="25"/>
      <c r="Q50" s="23"/>
      <c r="R50" s="23"/>
      <c r="S50" s="23"/>
      <c r="T50" s="25"/>
      <c r="U50" s="25"/>
      <c r="V50" s="25"/>
    </row>
    <row r="51" spans="1:22" x14ac:dyDescent="0.2">
      <c r="A51" s="774"/>
      <c r="B51" s="4"/>
      <c r="C51" s="23"/>
      <c r="D51" s="23"/>
      <c r="E51" s="23"/>
      <c r="F51" s="23"/>
      <c r="G51" s="23"/>
      <c r="H51" s="23"/>
      <c r="I51" s="23"/>
      <c r="J51" s="23"/>
      <c r="K51" s="23"/>
      <c r="L51" s="23"/>
      <c r="M51" s="23"/>
      <c r="N51" s="23"/>
      <c r="O51" s="23"/>
      <c r="P51" s="25"/>
      <c r="Q51" s="23"/>
      <c r="R51" s="23"/>
      <c r="S51" s="23"/>
      <c r="T51" s="25"/>
      <c r="U51" s="25"/>
      <c r="V51" s="25"/>
    </row>
    <row r="52" spans="1:22" x14ac:dyDescent="0.2">
      <c r="A52" s="774"/>
      <c r="B52" s="4"/>
      <c r="C52" s="23"/>
      <c r="D52" s="23"/>
      <c r="E52" s="23"/>
      <c r="F52" s="23"/>
      <c r="G52" s="23"/>
      <c r="H52" s="23"/>
      <c r="I52" s="23"/>
      <c r="J52" s="23"/>
      <c r="K52" s="23"/>
      <c r="L52" s="23"/>
      <c r="M52" s="23"/>
      <c r="N52" s="23"/>
      <c r="O52" s="23"/>
      <c r="P52" s="25"/>
      <c r="Q52" s="23"/>
      <c r="R52" s="23"/>
      <c r="S52" s="23"/>
      <c r="T52" s="25"/>
      <c r="U52" s="25"/>
      <c r="V52" s="25"/>
    </row>
    <row r="53" spans="1:22" x14ac:dyDescent="0.2">
      <c r="A53" s="774"/>
      <c r="B53" s="4"/>
      <c r="C53" s="23"/>
      <c r="D53" s="23"/>
      <c r="E53" s="23"/>
      <c r="F53" s="23"/>
      <c r="G53" s="23"/>
      <c r="H53" s="23"/>
      <c r="I53" s="23"/>
      <c r="J53" s="23"/>
      <c r="K53" s="23"/>
      <c r="L53" s="23"/>
      <c r="M53" s="23"/>
      <c r="N53" s="23"/>
      <c r="O53" s="23"/>
      <c r="P53" s="25"/>
      <c r="Q53" s="23"/>
      <c r="R53" s="23"/>
      <c r="S53" s="23"/>
      <c r="T53" s="25"/>
      <c r="U53" s="25"/>
      <c r="V53" s="25"/>
    </row>
    <row r="54" spans="1:22" x14ac:dyDescent="0.2">
      <c r="A54" s="774"/>
      <c r="B54" s="4"/>
      <c r="C54" s="23"/>
      <c r="D54" s="23"/>
      <c r="E54" s="23"/>
      <c r="F54" s="23"/>
      <c r="G54" s="23"/>
      <c r="H54" s="23"/>
      <c r="I54" s="23"/>
      <c r="J54" s="23"/>
      <c r="K54" s="23"/>
      <c r="L54" s="23"/>
      <c r="M54" s="23"/>
      <c r="N54" s="23"/>
      <c r="O54" s="23"/>
      <c r="P54" s="25"/>
      <c r="Q54" s="23"/>
      <c r="R54" s="23"/>
      <c r="S54" s="23"/>
      <c r="T54" s="25"/>
      <c r="U54" s="25"/>
      <c r="V54" s="25"/>
    </row>
    <row r="55" spans="1:22" x14ac:dyDescent="0.2">
      <c r="A55" s="774"/>
      <c r="B55" s="4"/>
      <c r="C55" s="23"/>
      <c r="D55" s="23"/>
      <c r="E55" s="23"/>
      <c r="F55" s="23"/>
      <c r="G55" s="23"/>
      <c r="H55" s="23"/>
      <c r="I55" s="23"/>
      <c r="J55" s="23"/>
      <c r="K55" s="23"/>
      <c r="L55" s="23"/>
      <c r="M55" s="23"/>
      <c r="N55" s="23"/>
      <c r="O55" s="23"/>
      <c r="P55" s="25"/>
      <c r="Q55" s="23"/>
      <c r="R55" s="23"/>
      <c r="S55" s="23"/>
      <c r="T55" s="25"/>
      <c r="U55" s="25"/>
      <c r="V55" s="25"/>
    </row>
    <row r="56" spans="1:22" x14ac:dyDescent="0.2">
      <c r="A56" s="774"/>
      <c r="B56" s="4"/>
      <c r="C56" s="23"/>
      <c r="D56" s="23"/>
      <c r="E56" s="23"/>
      <c r="F56" s="23"/>
      <c r="G56" s="23"/>
      <c r="H56" s="23"/>
      <c r="I56" s="23"/>
      <c r="J56" s="23"/>
      <c r="K56" s="23"/>
      <c r="L56" s="23"/>
      <c r="M56" s="23"/>
      <c r="N56" s="23"/>
      <c r="O56" s="23"/>
      <c r="P56" s="25"/>
      <c r="Q56" s="23"/>
      <c r="R56" s="23"/>
      <c r="S56" s="23"/>
      <c r="T56" s="25"/>
      <c r="U56" s="25"/>
      <c r="V56" s="25"/>
    </row>
    <row r="57" spans="1:22" x14ac:dyDescent="0.2">
      <c r="A57" s="774"/>
      <c r="B57" s="4"/>
      <c r="C57" s="23"/>
      <c r="D57" s="23"/>
      <c r="E57" s="23"/>
      <c r="F57" s="23"/>
      <c r="G57" s="23"/>
      <c r="H57" s="23"/>
      <c r="I57" s="23"/>
      <c r="J57" s="23"/>
      <c r="K57" s="23"/>
      <c r="L57" s="23"/>
      <c r="M57" s="23"/>
      <c r="N57" s="23"/>
      <c r="O57" s="23"/>
      <c r="P57" s="25"/>
      <c r="Q57" s="23"/>
      <c r="R57" s="23"/>
      <c r="S57" s="23"/>
      <c r="T57" s="25"/>
      <c r="U57" s="25"/>
      <c r="V57" s="25"/>
    </row>
    <row r="58" spans="1:22" x14ac:dyDescent="0.2">
      <c r="A58" s="774"/>
      <c r="B58" s="4"/>
      <c r="C58" s="23"/>
      <c r="D58" s="23"/>
      <c r="E58" s="23"/>
      <c r="F58" s="23"/>
      <c r="G58" s="23"/>
      <c r="H58" s="23"/>
      <c r="I58" s="23"/>
      <c r="J58" s="23"/>
      <c r="K58" s="23"/>
      <c r="L58" s="23"/>
      <c r="M58" s="23"/>
      <c r="N58" s="23"/>
      <c r="O58" s="23"/>
      <c r="P58" s="25"/>
      <c r="Q58" s="23"/>
      <c r="R58" s="23"/>
      <c r="S58" s="23"/>
      <c r="T58" s="25"/>
      <c r="U58" s="25"/>
      <c r="V58" s="25"/>
    </row>
    <row r="59" spans="1:22" x14ac:dyDescent="0.2">
      <c r="A59" s="774"/>
      <c r="B59" s="4"/>
      <c r="C59" s="23"/>
      <c r="D59" s="23"/>
      <c r="E59" s="23"/>
      <c r="F59" s="23"/>
      <c r="G59" s="23"/>
      <c r="H59" s="23"/>
      <c r="I59" s="23"/>
      <c r="J59" s="23"/>
      <c r="K59" s="23"/>
      <c r="L59" s="23"/>
      <c r="M59" s="23"/>
      <c r="N59" s="23"/>
      <c r="O59" s="23"/>
      <c r="P59" s="25"/>
      <c r="Q59" s="23"/>
      <c r="R59" s="23"/>
      <c r="S59" s="23"/>
      <c r="T59" s="25"/>
      <c r="U59" s="25"/>
      <c r="V59" s="25"/>
    </row>
    <row r="60" spans="1:22" x14ac:dyDescent="0.2">
      <c r="A60" s="774"/>
      <c r="B60" s="4"/>
      <c r="C60" s="23"/>
      <c r="D60" s="23"/>
      <c r="E60" s="23"/>
      <c r="F60" s="23"/>
      <c r="G60" s="23"/>
      <c r="H60" s="23"/>
      <c r="I60" s="23"/>
      <c r="J60" s="23"/>
      <c r="K60" s="23"/>
      <c r="L60" s="23"/>
      <c r="M60" s="23"/>
      <c r="N60" s="23"/>
      <c r="O60" s="23"/>
      <c r="P60" s="25"/>
      <c r="Q60" s="23"/>
      <c r="R60" s="23"/>
      <c r="S60" s="23"/>
      <c r="T60" s="25"/>
      <c r="U60" s="25"/>
      <c r="V60" s="25"/>
    </row>
    <row r="61" spans="1:22" x14ac:dyDescent="0.2">
      <c r="A61" s="774"/>
      <c r="B61" s="4"/>
      <c r="C61" s="23"/>
      <c r="D61" s="23"/>
      <c r="E61" s="23"/>
      <c r="F61" s="23"/>
      <c r="G61" s="23"/>
      <c r="H61" s="23"/>
      <c r="I61" s="23"/>
      <c r="J61" s="23"/>
      <c r="K61" s="23"/>
      <c r="L61" s="23"/>
      <c r="M61" s="23"/>
      <c r="N61" s="23"/>
      <c r="O61" s="23"/>
      <c r="P61" s="25"/>
      <c r="Q61" s="23"/>
      <c r="R61" s="23"/>
      <c r="S61" s="23"/>
      <c r="T61" s="25"/>
      <c r="U61" s="25"/>
      <c r="V61" s="25"/>
    </row>
    <row r="62" spans="1:22" x14ac:dyDescent="0.2">
      <c r="A62" s="774"/>
      <c r="B62" s="4"/>
      <c r="C62" s="23"/>
      <c r="D62" s="23"/>
      <c r="E62" s="23"/>
      <c r="F62" s="23"/>
      <c r="G62" s="23"/>
      <c r="H62" s="23"/>
      <c r="I62" s="23"/>
      <c r="J62" s="23"/>
      <c r="K62" s="23"/>
      <c r="L62" s="23"/>
      <c r="M62" s="23"/>
      <c r="N62" s="23"/>
      <c r="O62" s="23"/>
      <c r="P62" s="25"/>
      <c r="Q62" s="23"/>
      <c r="R62" s="23"/>
      <c r="S62" s="23"/>
      <c r="T62" s="25"/>
      <c r="U62" s="25"/>
      <c r="V62" s="25"/>
    </row>
    <row r="63" spans="1:22" x14ac:dyDescent="0.2">
      <c r="A63" s="774"/>
      <c r="B63" s="4"/>
      <c r="C63" s="23"/>
      <c r="D63" s="23"/>
      <c r="E63" s="23"/>
      <c r="F63" s="23"/>
      <c r="G63" s="23"/>
      <c r="H63" s="23"/>
      <c r="I63" s="23"/>
      <c r="J63" s="23"/>
      <c r="K63" s="23"/>
      <c r="L63" s="23"/>
      <c r="M63" s="23"/>
      <c r="N63" s="23"/>
      <c r="O63" s="23"/>
      <c r="P63" s="4"/>
      <c r="Q63" s="23"/>
      <c r="R63" s="23"/>
      <c r="S63" s="23"/>
      <c r="T63" s="4"/>
      <c r="U63" s="4"/>
      <c r="V63" s="4"/>
    </row>
    <row r="64" spans="1:22" x14ac:dyDescent="0.2">
      <c r="A64" s="774"/>
      <c r="B64" s="4"/>
      <c r="C64" s="23"/>
      <c r="D64" s="23"/>
      <c r="E64" s="23"/>
      <c r="F64" s="23"/>
      <c r="G64" s="23"/>
      <c r="H64" s="23"/>
      <c r="I64" s="23"/>
      <c r="J64" s="23"/>
      <c r="K64" s="23"/>
      <c r="L64" s="23"/>
      <c r="M64" s="23"/>
      <c r="N64" s="23"/>
      <c r="O64" s="23"/>
      <c r="P64" s="4"/>
      <c r="Q64" s="23"/>
      <c r="R64" s="23"/>
      <c r="S64" s="23"/>
      <c r="T64" s="4"/>
      <c r="U64" s="4"/>
      <c r="V64" s="4"/>
    </row>
    <row r="65" spans="1:22" x14ac:dyDescent="0.2">
      <c r="A65" s="774"/>
      <c r="B65" s="4"/>
      <c r="C65" s="23"/>
      <c r="D65" s="23"/>
      <c r="E65" s="23"/>
      <c r="F65" s="23"/>
      <c r="G65" s="23"/>
      <c r="H65" s="23"/>
      <c r="I65" s="23"/>
      <c r="J65" s="23"/>
      <c r="K65" s="23"/>
      <c r="L65" s="23"/>
      <c r="M65" s="23"/>
      <c r="N65" s="23"/>
      <c r="O65" s="23"/>
      <c r="P65" s="4"/>
      <c r="Q65" s="23"/>
      <c r="R65" s="23"/>
      <c r="S65" s="23"/>
      <c r="T65" s="4"/>
      <c r="U65" s="4"/>
      <c r="V65" s="4"/>
    </row>
    <row r="66" spans="1:22" x14ac:dyDescent="0.2">
      <c r="A66" s="774"/>
      <c r="B66" s="4"/>
      <c r="C66" s="23"/>
      <c r="D66" s="23"/>
      <c r="E66" s="23"/>
      <c r="F66" s="23"/>
      <c r="G66" s="23"/>
      <c r="H66" s="23"/>
      <c r="I66" s="23"/>
      <c r="J66" s="23"/>
      <c r="K66" s="23"/>
      <c r="L66" s="23"/>
      <c r="M66" s="23"/>
      <c r="N66" s="23"/>
      <c r="O66" s="23"/>
      <c r="P66" s="4"/>
      <c r="Q66" s="23"/>
      <c r="R66" s="23"/>
      <c r="S66" s="23"/>
      <c r="T66" s="4"/>
      <c r="U66" s="4"/>
      <c r="V66" s="4"/>
    </row>
    <row r="67" spans="1:22" x14ac:dyDescent="0.2">
      <c r="A67" s="774"/>
      <c r="B67" s="4"/>
      <c r="C67" s="23"/>
      <c r="D67" s="23"/>
      <c r="E67" s="23"/>
      <c r="F67" s="23"/>
      <c r="G67" s="23"/>
      <c r="H67" s="23"/>
      <c r="I67" s="23"/>
      <c r="J67" s="23"/>
      <c r="K67" s="23"/>
      <c r="L67" s="23"/>
      <c r="M67" s="23"/>
      <c r="N67" s="23"/>
      <c r="O67" s="23"/>
      <c r="P67" s="4"/>
      <c r="Q67" s="23"/>
      <c r="R67" s="23"/>
      <c r="S67" s="23"/>
      <c r="T67" s="4"/>
      <c r="U67" s="4"/>
      <c r="V67" s="4"/>
    </row>
    <row r="68" spans="1:22" x14ac:dyDescent="0.2">
      <c r="A68" s="774"/>
      <c r="B68" s="4"/>
      <c r="C68" s="23"/>
      <c r="D68" s="23"/>
      <c r="E68" s="23"/>
      <c r="F68" s="23"/>
      <c r="G68" s="23"/>
      <c r="H68" s="23"/>
      <c r="I68" s="23"/>
      <c r="J68" s="23"/>
      <c r="K68" s="23"/>
      <c r="L68" s="23"/>
      <c r="M68" s="23"/>
      <c r="N68" s="23"/>
      <c r="O68" s="23"/>
      <c r="P68" s="4"/>
      <c r="Q68" s="23"/>
      <c r="R68" s="23"/>
      <c r="S68" s="23"/>
      <c r="T68" s="4"/>
      <c r="U68" s="4"/>
      <c r="V68" s="4"/>
    </row>
    <row r="69" spans="1:22" x14ac:dyDescent="0.2">
      <c r="A69" s="774"/>
      <c r="B69" s="4"/>
      <c r="C69" s="23"/>
      <c r="D69" s="23"/>
      <c r="E69" s="23"/>
      <c r="F69" s="23"/>
      <c r="G69" s="23"/>
      <c r="H69" s="23"/>
      <c r="I69" s="23"/>
      <c r="J69" s="23"/>
      <c r="K69" s="23"/>
      <c r="L69" s="23"/>
      <c r="M69" s="23"/>
      <c r="N69" s="23"/>
      <c r="O69" s="23"/>
      <c r="P69" s="4"/>
      <c r="Q69" s="23"/>
      <c r="R69" s="23"/>
      <c r="S69" s="23"/>
      <c r="T69" s="4"/>
      <c r="U69" s="4"/>
      <c r="V69" s="4"/>
    </row>
    <row r="70" spans="1:22" x14ac:dyDescent="0.2">
      <c r="A70" s="774"/>
      <c r="B70" s="4"/>
      <c r="C70" s="23"/>
      <c r="D70" s="23"/>
      <c r="E70" s="23"/>
      <c r="F70" s="23"/>
      <c r="G70" s="23"/>
      <c r="H70" s="23"/>
      <c r="I70" s="23"/>
      <c r="J70" s="23"/>
      <c r="K70" s="23"/>
      <c r="L70" s="23"/>
      <c r="M70" s="23"/>
      <c r="N70" s="23"/>
      <c r="O70" s="23"/>
      <c r="P70" s="4"/>
      <c r="Q70" s="23"/>
      <c r="R70" s="23"/>
      <c r="S70" s="23"/>
      <c r="T70" s="4"/>
      <c r="U70" s="4"/>
      <c r="V70" s="4"/>
    </row>
    <row r="71" spans="1:22" x14ac:dyDescent="0.2">
      <c r="A71" s="774"/>
      <c r="B71" s="4"/>
      <c r="C71" s="23"/>
      <c r="D71" s="23"/>
      <c r="E71" s="23"/>
      <c r="F71" s="23"/>
      <c r="G71" s="23"/>
      <c r="H71" s="23"/>
      <c r="I71" s="23"/>
      <c r="J71" s="23"/>
      <c r="K71" s="23"/>
      <c r="L71" s="23"/>
      <c r="M71" s="23"/>
      <c r="N71" s="23"/>
      <c r="O71" s="23"/>
      <c r="P71" s="4"/>
      <c r="Q71" s="23"/>
      <c r="R71" s="23"/>
      <c r="S71" s="23"/>
      <c r="T71" s="4"/>
      <c r="U71" s="4"/>
      <c r="V71" s="4"/>
    </row>
    <row r="72" spans="1:22" x14ac:dyDescent="0.2">
      <c r="A72" s="774"/>
      <c r="B72" s="4"/>
      <c r="C72" s="23"/>
      <c r="D72" s="23"/>
      <c r="E72" s="23"/>
      <c r="F72" s="23"/>
      <c r="G72" s="23"/>
      <c r="H72" s="23"/>
      <c r="I72" s="23"/>
      <c r="J72" s="23"/>
      <c r="K72" s="23"/>
      <c r="L72" s="23"/>
      <c r="M72" s="23"/>
      <c r="N72" s="23"/>
      <c r="O72" s="23"/>
      <c r="P72" s="4"/>
      <c r="Q72" s="23"/>
      <c r="R72" s="23"/>
      <c r="S72" s="23"/>
      <c r="T72" s="4"/>
      <c r="U72" s="4"/>
      <c r="V72" s="4"/>
    </row>
    <row r="73" spans="1:22" x14ac:dyDescent="0.2">
      <c r="A73" s="774"/>
      <c r="B73" s="4"/>
      <c r="C73" s="23"/>
      <c r="D73" s="23"/>
      <c r="E73" s="23"/>
      <c r="F73" s="23"/>
      <c r="G73" s="23"/>
      <c r="H73" s="23"/>
      <c r="I73" s="23"/>
      <c r="J73" s="23"/>
      <c r="K73" s="23"/>
      <c r="L73" s="23"/>
      <c r="M73" s="23"/>
      <c r="N73" s="23"/>
      <c r="O73" s="23"/>
      <c r="P73" s="4"/>
      <c r="Q73" s="23"/>
      <c r="R73" s="23"/>
      <c r="S73" s="23"/>
      <c r="T73" s="4"/>
      <c r="U73" s="4"/>
      <c r="V73" s="4"/>
    </row>
    <row r="74" spans="1:22" x14ac:dyDescent="0.2">
      <c r="A74" s="774"/>
      <c r="B74" s="4"/>
      <c r="C74" s="23"/>
      <c r="D74" s="23"/>
      <c r="E74" s="23"/>
      <c r="F74" s="23"/>
      <c r="G74" s="23"/>
      <c r="H74" s="23"/>
      <c r="I74" s="23"/>
      <c r="J74" s="23"/>
      <c r="K74" s="23"/>
      <c r="L74" s="23"/>
      <c r="M74" s="23"/>
      <c r="N74" s="23"/>
      <c r="O74" s="23"/>
      <c r="P74" s="4"/>
      <c r="Q74" s="23"/>
      <c r="R74" s="23"/>
      <c r="S74" s="23"/>
      <c r="T74" s="4"/>
      <c r="U74" s="4"/>
      <c r="V74" s="4"/>
    </row>
    <row r="75" spans="1:22" x14ac:dyDescent="0.2">
      <c r="A75" s="774"/>
      <c r="B75" s="4"/>
      <c r="C75" s="23"/>
      <c r="D75" s="23"/>
      <c r="E75" s="23"/>
      <c r="F75" s="23"/>
      <c r="G75" s="23"/>
      <c r="H75" s="23"/>
      <c r="I75" s="23"/>
      <c r="J75" s="23"/>
      <c r="K75" s="23"/>
      <c r="L75" s="23"/>
      <c r="M75" s="23"/>
      <c r="N75" s="23"/>
      <c r="O75" s="23"/>
      <c r="P75" s="4"/>
      <c r="Q75" s="23"/>
      <c r="R75" s="23"/>
      <c r="S75" s="23"/>
      <c r="T75" s="4"/>
      <c r="U75" s="4"/>
      <c r="V75" s="4"/>
    </row>
    <row r="76" spans="1:22" x14ac:dyDescent="0.2">
      <c r="A76" s="774"/>
      <c r="B76" s="4"/>
      <c r="C76" s="23"/>
      <c r="D76" s="23"/>
      <c r="E76" s="23"/>
      <c r="F76" s="23"/>
      <c r="G76" s="23"/>
      <c r="H76" s="23"/>
      <c r="I76" s="23"/>
      <c r="J76" s="23"/>
      <c r="K76" s="23"/>
      <c r="L76" s="23"/>
      <c r="M76" s="23"/>
      <c r="N76" s="23"/>
      <c r="O76" s="23"/>
      <c r="P76" s="4"/>
      <c r="Q76" s="23"/>
      <c r="R76" s="23"/>
      <c r="S76" s="23"/>
      <c r="T76" s="4"/>
      <c r="U76" s="4"/>
      <c r="V76" s="4"/>
    </row>
    <row r="77" spans="1:22" x14ac:dyDescent="0.2">
      <c r="A77" s="774"/>
      <c r="B77" s="4"/>
      <c r="C77" s="23"/>
      <c r="D77" s="23"/>
      <c r="E77" s="23"/>
      <c r="F77" s="23"/>
      <c r="G77" s="23"/>
      <c r="H77" s="23"/>
      <c r="I77" s="23"/>
      <c r="J77" s="23"/>
      <c r="K77" s="23"/>
      <c r="L77" s="23"/>
      <c r="M77" s="23"/>
      <c r="N77" s="23"/>
      <c r="O77" s="23"/>
      <c r="P77" s="4"/>
      <c r="Q77" s="23"/>
      <c r="R77" s="23"/>
      <c r="S77" s="23"/>
      <c r="T77" s="4"/>
      <c r="U77" s="4"/>
      <c r="V77" s="4"/>
    </row>
    <row r="78" spans="1:22" x14ac:dyDescent="0.2">
      <c r="A78" s="774"/>
      <c r="B78" s="4"/>
      <c r="C78" s="23"/>
      <c r="D78" s="23"/>
      <c r="E78" s="23"/>
      <c r="F78" s="23"/>
      <c r="G78" s="23"/>
      <c r="H78" s="23"/>
      <c r="I78" s="23"/>
      <c r="J78" s="23"/>
      <c r="K78" s="23"/>
      <c r="L78" s="23"/>
      <c r="M78" s="23"/>
      <c r="N78" s="23"/>
      <c r="O78" s="23"/>
      <c r="P78" s="4"/>
      <c r="Q78" s="23"/>
      <c r="R78" s="23"/>
      <c r="S78" s="23"/>
      <c r="T78" s="4"/>
      <c r="U78" s="4"/>
      <c r="V78" s="4"/>
    </row>
    <row r="79" spans="1:22" x14ac:dyDescent="0.2">
      <c r="A79" s="774"/>
      <c r="B79" s="4"/>
      <c r="C79" s="23"/>
      <c r="D79" s="23"/>
      <c r="E79" s="23"/>
      <c r="F79" s="23"/>
      <c r="G79" s="23"/>
      <c r="H79" s="23"/>
      <c r="I79" s="23"/>
      <c r="J79" s="23"/>
      <c r="K79" s="23"/>
      <c r="L79" s="23"/>
      <c r="M79" s="23"/>
      <c r="N79" s="23"/>
      <c r="O79" s="23"/>
      <c r="P79" s="4"/>
      <c r="Q79" s="23"/>
      <c r="R79" s="23"/>
      <c r="S79" s="23"/>
      <c r="T79" s="4"/>
      <c r="U79" s="4"/>
      <c r="V79" s="4"/>
    </row>
    <row r="80" spans="1:22" x14ac:dyDescent="0.2">
      <c r="A80" s="774"/>
      <c r="B80" s="4"/>
      <c r="C80" s="23"/>
      <c r="D80" s="23"/>
      <c r="E80" s="23"/>
      <c r="F80" s="23"/>
      <c r="G80" s="23"/>
      <c r="H80" s="23"/>
      <c r="I80" s="23"/>
      <c r="J80" s="23"/>
      <c r="K80" s="23"/>
      <c r="L80" s="23"/>
      <c r="M80" s="23"/>
      <c r="N80" s="23"/>
      <c r="O80" s="23"/>
      <c r="P80" s="4"/>
      <c r="Q80" s="23"/>
      <c r="R80" s="23"/>
      <c r="S80" s="23"/>
      <c r="T80" s="4"/>
      <c r="U80" s="4"/>
      <c r="V80" s="4"/>
    </row>
    <row r="81" spans="1:22" x14ac:dyDescent="0.2">
      <c r="A81" s="774"/>
      <c r="B81" s="4"/>
      <c r="C81" s="23"/>
      <c r="D81" s="23"/>
      <c r="E81" s="23"/>
      <c r="F81" s="23"/>
      <c r="G81" s="23"/>
      <c r="H81" s="23"/>
      <c r="I81" s="23"/>
      <c r="J81" s="23"/>
      <c r="K81" s="23"/>
      <c r="L81" s="23"/>
      <c r="M81" s="23"/>
      <c r="N81" s="23"/>
      <c r="O81" s="23"/>
      <c r="P81" s="4"/>
      <c r="Q81" s="23"/>
      <c r="R81" s="23"/>
      <c r="S81" s="23"/>
      <c r="T81" s="4"/>
      <c r="U81" s="4"/>
      <c r="V81" s="4"/>
    </row>
    <row r="82" spans="1:22" x14ac:dyDescent="0.2">
      <c r="A82" s="774"/>
      <c r="B82" s="4"/>
      <c r="C82" s="23"/>
      <c r="D82" s="23"/>
      <c r="E82" s="23"/>
      <c r="F82" s="23"/>
      <c r="G82" s="23"/>
      <c r="H82" s="23"/>
      <c r="I82" s="23"/>
      <c r="J82" s="23"/>
      <c r="K82" s="23"/>
      <c r="L82" s="23"/>
      <c r="M82" s="23"/>
      <c r="N82" s="23"/>
      <c r="O82" s="23"/>
      <c r="P82" s="4"/>
      <c r="Q82" s="23"/>
      <c r="R82" s="23"/>
      <c r="S82" s="23"/>
      <c r="T82" s="4"/>
      <c r="U82" s="4"/>
      <c r="V82" s="4"/>
    </row>
    <row r="83" spans="1:22" x14ac:dyDescent="0.2">
      <c r="A83" s="774"/>
      <c r="B83" s="4"/>
      <c r="C83" s="23"/>
      <c r="D83" s="23"/>
      <c r="E83" s="23"/>
      <c r="F83" s="23"/>
      <c r="G83" s="23"/>
      <c r="H83" s="23"/>
      <c r="I83" s="23"/>
      <c r="J83" s="23"/>
      <c r="K83" s="23"/>
      <c r="L83" s="23"/>
      <c r="M83" s="23"/>
      <c r="N83" s="23"/>
      <c r="O83" s="23"/>
      <c r="P83" s="4"/>
      <c r="Q83" s="23"/>
      <c r="R83" s="23"/>
      <c r="S83" s="23"/>
      <c r="T83" s="4"/>
      <c r="U83" s="4"/>
      <c r="V83" s="4"/>
    </row>
    <row r="84" spans="1:22" x14ac:dyDescent="0.2">
      <c r="A84" s="774"/>
      <c r="B84" s="4"/>
      <c r="C84" s="23"/>
      <c r="D84" s="23"/>
      <c r="E84" s="23"/>
      <c r="F84" s="23"/>
      <c r="G84" s="23"/>
      <c r="H84" s="23"/>
      <c r="I84" s="23"/>
      <c r="J84" s="23"/>
      <c r="K84" s="23"/>
      <c r="L84" s="23"/>
      <c r="M84" s="23"/>
      <c r="N84" s="23"/>
      <c r="O84" s="23"/>
      <c r="P84" s="4"/>
      <c r="Q84" s="23"/>
      <c r="R84" s="23"/>
      <c r="S84" s="23"/>
      <c r="T84" s="4"/>
      <c r="U84" s="4"/>
      <c r="V84" s="4"/>
    </row>
    <row r="85" spans="1:22" x14ac:dyDescent="0.2">
      <c r="A85" s="774"/>
      <c r="B85" s="4"/>
      <c r="C85" s="23"/>
      <c r="D85" s="23"/>
      <c r="E85" s="23"/>
      <c r="F85" s="23"/>
      <c r="G85" s="23"/>
      <c r="H85" s="23"/>
      <c r="I85" s="23"/>
      <c r="J85" s="23"/>
      <c r="K85" s="23"/>
      <c r="L85" s="23"/>
      <c r="M85" s="23"/>
      <c r="N85" s="23"/>
      <c r="O85" s="23"/>
      <c r="P85" s="4"/>
      <c r="Q85" s="23"/>
      <c r="R85" s="23"/>
      <c r="S85" s="23"/>
      <c r="T85" s="4"/>
      <c r="U85" s="4"/>
      <c r="V85" s="4"/>
    </row>
    <row r="86" spans="1:22" x14ac:dyDescent="0.2">
      <c r="A86" s="774"/>
      <c r="B86" s="4"/>
      <c r="C86" s="23"/>
      <c r="D86" s="23"/>
      <c r="E86" s="23"/>
      <c r="F86" s="23"/>
      <c r="G86" s="23"/>
      <c r="H86" s="23"/>
      <c r="I86" s="23"/>
      <c r="J86" s="23"/>
      <c r="K86" s="23"/>
      <c r="L86" s="23"/>
      <c r="M86" s="23"/>
      <c r="N86" s="23"/>
      <c r="O86" s="23"/>
      <c r="P86" s="4"/>
      <c r="Q86" s="23"/>
      <c r="R86" s="23"/>
      <c r="S86" s="23"/>
      <c r="T86" s="4"/>
      <c r="U86" s="4"/>
      <c r="V86" s="4"/>
    </row>
    <row r="87" spans="1:22" x14ac:dyDescent="0.2">
      <c r="A87" s="774"/>
      <c r="B87" s="4"/>
      <c r="C87" s="23"/>
      <c r="D87" s="23"/>
      <c r="E87" s="23"/>
      <c r="F87" s="23"/>
      <c r="G87" s="23"/>
      <c r="H87" s="23"/>
      <c r="I87" s="23"/>
      <c r="J87" s="23"/>
      <c r="K87" s="23"/>
      <c r="L87" s="23"/>
      <c r="M87" s="23"/>
      <c r="N87" s="23"/>
      <c r="O87" s="23"/>
      <c r="P87" s="4"/>
      <c r="Q87" s="23"/>
      <c r="R87" s="23"/>
      <c r="S87" s="23"/>
      <c r="T87" s="4"/>
      <c r="U87" s="4"/>
      <c r="V87" s="4"/>
    </row>
    <row r="88" spans="1:22" x14ac:dyDescent="0.2">
      <c r="A88" s="774"/>
      <c r="B88" s="4"/>
      <c r="C88" s="23"/>
      <c r="D88" s="23"/>
      <c r="E88" s="23"/>
      <c r="F88" s="23"/>
      <c r="G88" s="23"/>
      <c r="H88" s="23"/>
      <c r="I88" s="23"/>
      <c r="J88" s="23"/>
      <c r="K88" s="23"/>
      <c r="L88" s="23"/>
      <c r="M88" s="23"/>
      <c r="N88" s="23"/>
      <c r="O88" s="23"/>
      <c r="P88" s="4"/>
      <c r="Q88" s="23"/>
      <c r="R88" s="23"/>
      <c r="S88" s="23"/>
      <c r="T88" s="4"/>
      <c r="U88" s="4"/>
      <c r="V88" s="4"/>
    </row>
    <row r="89" spans="1:22" x14ac:dyDescent="0.2">
      <c r="A89" s="774"/>
      <c r="B89" s="4"/>
      <c r="C89" s="23"/>
      <c r="D89" s="23"/>
      <c r="E89" s="23"/>
      <c r="F89" s="23"/>
      <c r="G89" s="23"/>
      <c r="H89" s="23"/>
      <c r="I89" s="23"/>
      <c r="J89" s="23"/>
      <c r="K89" s="23"/>
      <c r="L89" s="23"/>
      <c r="M89" s="23"/>
      <c r="N89" s="23"/>
      <c r="O89" s="23"/>
      <c r="P89" s="4"/>
      <c r="Q89" s="23"/>
      <c r="R89" s="23"/>
      <c r="S89" s="23"/>
      <c r="T89" s="4"/>
      <c r="U89" s="4"/>
      <c r="V89" s="4"/>
    </row>
    <row r="90" spans="1:22" x14ac:dyDescent="0.2">
      <c r="A90" s="774"/>
      <c r="B90" s="4"/>
      <c r="C90" s="23"/>
      <c r="D90" s="23"/>
      <c r="E90" s="23"/>
      <c r="F90" s="23"/>
      <c r="G90" s="23"/>
      <c r="H90" s="23"/>
      <c r="I90" s="23"/>
      <c r="J90" s="23"/>
      <c r="K90" s="23"/>
      <c r="L90" s="23"/>
      <c r="M90" s="23"/>
      <c r="N90" s="23"/>
      <c r="O90" s="23"/>
      <c r="P90" s="4"/>
      <c r="Q90" s="23"/>
      <c r="R90" s="23"/>
      <c r="S90" s="23"/>
      <c r="T90" s="4"/>
      <c r="U90" s="4"/>
      <c r="V90" s="4"/>
    </row>
    <row r="91" spans="1:22" x14ac:dyDescent="0.2">
      <c r="A91" s="774"/>
      <c r="B91" s="4"/>
      <c r="C91" s="23"/>
      <c r="D91" s="23"/>
      <c r="E91" s="23"/>
      <c r="F91" s="23"/>
      <c r="G91" s="23"/>
      <c r="H91" s="23"/>
      <c r="I91" s="23"/>
      <c r="J91" s="23"/>
      <c r="K91" s="23"/>
      <c r="L91" s="23"/>
      <c r="M91" s="23"/>
      <c r="N91" s="23"/>
      <c r="O91" s="23"/>
      <c r="P91" s="4"/>
      <c r="Q91" s="23"/>
      <c r="R91" s="23"/>
      <c r="S91" s="23"/>
      <c r="T91" s="4"/>
      <c r="U91" s="4"/>
      <c r="V91" s="4"/>
    </row>
    <row r="92" spans="1:22" x14ac:dyDescent="0.2">
      <c r="A92" s="774"/>
      <c r="B92" s="4"/>
      <c r="C92" s="23"/>
      <c r="D92" s="23"/>
      <c r="E92" s="23"/>
      <c r="F92" s="23"/>
      <c r="G92" s="23"/>
      <c r="H92" s="23"/>
      <c r="I92" s="23"/>
      <c r="J92" s="23"/>
      <c r="K92" s="23"/>
      <c r="L92" s="23"/>
      <c r="M92" s="23"/>
      <c r="N92" s="23"/>
      <c r="O92" s="23"/>
      <c r="P92" s="4"/>
      <c r="Q92" s="23"/>
      <c r="R92" s="23"/>
      <c r="S92" s="23"/>
      <c r="T92" s="4"/>
      <c r="U92" s="4"/>
      <c r="V92" s="4"/>
    </row>
    <row r="93" spans="1:22" x14ac:dyDescent="0.2">
      <c r="A93" s="774"/>
      <c r="B93" s="4"/>
      <c r="C93" s="23"/>
      <c r="D93" s="23"/>
      <c r="E93" s="23"/>
      <c r="F93" s="23"/>
      <c r="G93" s="23"/>
      <c r="H93" s="23"/>
      <c r="I93" s="23"/>
      <c r="J93" s="23"/>
      <c r="K93" s="23"/>
      <c r="L93" s="23"/>
      <c r="M93" s="23"/>
      <c r="N93" s="23"/>
      <c r="O93" s="23"/>
      <c r="P93" s="4"/>
      <c r="Q93" s="23"/>
      <c r="R93" s="23"/>
      <c r="S93" s="23"/>
      <c r="T93" s="4"/>
      <c r="U93" s="4"/>
      <c r="V93" s="4"/>
    </row>
    <row r="94" spans="1:22" x14ac:dyDescent="0.2">
      <c r="A94" s="774"/>
      <c r="B94" s="4"/>
      <c r="C94" s="23"/>
      <c r="D94" s="23"/>
      <c r="E94" s="23"/>
      <c r="F94" s="23"/>
      <c r="G94" s="23"/>
      <c r="H94" s="23"/>
      <c r="I94" s="23"/>
      <c r="J94" s="23"/>
      <c r="K94" s="23"/>
      <c r="L94" s="23"/>
      <c r="M94" s="23"/>
      <c r="N94" s="23"/>
      <c r="O94" s="23"/>
      <c r="P94" s="4"/>
      <c r="Q94" s="23"/>
      <c r="R94" s="23"/>
      <c r="S94" s="23"/>
      <c r="T94" s="4"/>
      <c r="U94" s="4"/>
      <c r="V94" s="4"/>
    </row>
    <row r="95" spans="1:22" x14ac:dyDescent="0.2">
      <c r="A95" s="774"/>
      <c r="B95" s="4"/>
      <c r="C95" s="23"/>
      <c r="D95" s="23"/>
      <c r="E95" s="23"/>
      <c r="F95" s="23"/>
      <c r="G95" s="23"/>
      <c r="H95" s="23"/>
      <c r="I95" s="23"/>
      <c r="J95" s="23"/>
      <c r="K95" s="23"/>
      <c r="L95" s="23"/>
      <c r="M95" s="23"/>
      <c r="N95" s="23"/>
      <c r="O95" s="23"/>
      <c r="P95" s="4"/>
      <c r="Q95" s="23"/>
      <c r="R95" s="23"/>
      <c r="S95" s="23"/>
      <c r="T95" s="4"/>
      <c r="U95" s="4"/>
      <c r="V95" s="4"/>
    </row>
    <row r="96" spans="1:22" x14ac:dyDescent="0.2">
      <c r="A96" s="774"/>
      <c r="B96" s="4"/>
      <c r="C96" s="23"/>
      <c r="D96" s="23"/>
      <c r="E96" s="23"/>
      <c r="F96" s="23"/>
      <c r="G96" s="23"/>
      <c r="H96" s="23"/>
      <c r="I96" s="23"/>
      <c r="J96" s="23"/>
      <c r="K96" s="23"/>
      <c r="L96" s="23"/>
      <c r="M96" s="23"/>
      <c r="N96" s="23"/>
      <c r="O96" s="23"/>
      <c r="P96" s="4"/>
      <c r="Q96" s="23"/>
      <c r="R96" s="23"/>
      <c r="S96" s="23"/>
      <c r="T96" s="4"/>
      <c r="U96" s="4"/>
      <c r="V96" s="4"/>
    </row>
    <row r="97" spans="1:22" x14ac:dyDescent="0.2">
      <c r="A97" s="774"/>
      <c r="B97" s="4"/>
      <c r="C97" s="23"/>
      <c r="D97" s="23"/>
      <c r="E97" s="23"/>
      <c r="F97" s="23"/>
      <c r="G97" s="23"/>
      <c r="H97" s="23"/>
      <c r="I97" s="23"/>
      <c r="J97" s="23"/>
      <c r="K97" s="23"/>
      <c r="L97" s="23"/>
      <c r="M97" s="23"/>
      <c r="N97" s="23"/>
      <c r="O97" s="23"/>
      <c r="P97" s="4"/>
      <c r="Q97" s="23"/>
      <c r="R97" s="23"/>
      <c r="S97" s="23"/>
      <c r="T97" s="4"/>
      <c r="U97" s="4"/>
      <c r="V97" s="4"/>
    </row>
    <row r="98" spans="1:22" x14ac:dyDescent="0.2">
      <c r="A98" s="774"/>
      <c r="B98" s="4"/>
      <c r="C98" s="23"/>
      <c r="D98" s="23"/>
      <c r="E98" s="23"/>
      <c r="F98" s="23"/>
      <c r="G98" s="23"/>
      <c r="H98" s="23"/>
      <c r="I98" s="23"/>
      <c r="J98" s="23"/>
      <c r="K98" s="23"/>
      <c r="L98" s="23"/>
      <c r="M98" s="23"/>
      <c r="N98" s="23"/>
      <c r="O98" s="23"/>
      <c r="P98" s="4"/>
      <c r="Q98" s="23"/>
      <c r="R98" s="23"/>
      <c r="S98" s="23"/>
      <c r="T98" s="4"/>
      <c r="U98" s="4"/>
      <c r="V98" s="4"/>
    </row>
    <row r="99" spans="1:22" x14ac:dyDescent="0.2">
      <c r="A99" s="774"/>
      <c r="B99" s="4"/>
      <c r="C99" s="23"/>
      <c r="D99" s="23"/>
      <c r="E99" s="23"/>
      <c r="F99" s="23"/>
      <c r="G99" s="23"/>
      <c r="H99" s="23"/>
      <c r="I99" s="23"/>
      <c r="J99" s="23"/>
      <c r="K99" s="23"/>
      <c r="L99" s="23"/>
      <c r="M99" s="23"/>
      <c r="N99" s="23"/>
      <c r="O99" s="23"/>
      <c r="P99" s="4"/>
      <c r="Q99" s="23"/>
      <c r="R99" s="23"/>
      <c r="S99" s="23"/>
      <c r="T99" s="4"/>
      <c r="U99" s="4"/>
      <c r="V99" s="4"/>
    </row>
    <row r="100" spans="1:22" x14ac:dyDescent="0.2">
      <c r="A100" s="774"/>
      <c r="B100" s="4"/>
      <c r="C100" s="23"/>
      <c r="D100" s="23"/>
      <c r="E100" s="23"/>
      <c r="F100" s="23"/>
      <c r="G100" s="23"/>
      <c r="H100" s="23"/>
      <c r="I100" s="23"/>
      <c r="J100" s="23"/>
      <c r="K100" s="23"/>
      <c r="L100" s="23"/>
      <c r="M100" s="23"/>
      <c r="N100" s="23"/>
      <c r="O100" s="23"/>
      <c r="P100" s="4"/>
      <c r="Q100" s="23"/>
      <c r="R100" s="23"/>
      <c r="S100" s="23"/>
      <c r="T100" s="4"/>
      <c r="U100" s="4"/>
      <c r="V100" s="4"/>
    </row>
    <row r="101" spans="1:22" x14ac:dyDescent="0.2">
      <c r="A101" s="774"/>
      <c r="B101" s="4"/>
      <c r="C101" s="23"/>
      <c r="D101" s="23"/>
      <c r="E101" s="23"/>
      <c r="F101" s="23"/>
      <c r="G101" s="23"/>
      <c r="H101" s="23"/>
      <c r="I101" s="23"/>
      <c r="J101" s="23"/>
      <c r="K101" s="23"/>
      <c r="L101" s="23"/>
      <c r="M101" s="23"/>
      <c r="N101" s="23"/>
      <c r="O101" s="23"/>
      <c r="P101" s="4"/>
      <c r="Q101" s="23"/>
      <c r="R101" s="23"/>
      <c r="S101" s="23"/>
      <c r="T101" s="4"/>
      <c r="U101" s="4"/>
      <c r="V101" s="4"/>
    </row>
    <row r="102" spans="1:22" x14ac:dyDescent="0.2">
      <c r="A102" s="774"/>
      <c r="B102" s="4"/>
      <c r="C102" s="23"/>
      <c r="D102" s="23"/>
      <c r="E102" s="23"/>
      <c r="F102" s="23"/>
      <c r="G102" s="23"/>
      <c r="H102" s="23"/>
      <c r="I102" s="23"/>
      <c r="J102" s="23"/>
      <c r="K102" s="23"/>
      <c r="L102" s="23"/>
      <c r="M102" s="23"/>
      <c r="N102" s="23"/>
      <c r="O102" s="23"/>
      <c r="P102" s="4"/>
      <c r="Q102" s="23"/>
      <c r="R102" s="23"/>
      <c r="S102" s="23"/>
      <c r="T102" s="4"/>
      <c r="U102" s="4"/>
      <c r="V102" s="4"/>
    </row>
    <row r="103" spans="1:22" x14ac:dyDescent="0.2">
      <c r="A103" s="774"/>
      <c r="B103" s="4"/>
      <c r="C103" s="23"/>
      <c r="D103" s="23"/>
      <c r="E103" s="23"/>
      <c r="F103" s="23"/>
      <c r="G103" s="23"/>
      <c r="H103" s="23"/>
      <c r="I103" s="23"/>
      <c r="J103" s="23"/>
      <c r="K103" s="23"/>
      <c r="L103" s="23"/>
      <c r="M103" s="23"/>
      <c r="N103" s="23"/>
      <c r="O103" s="23"/>
      <c r="P103" s="4"/>
      <c r="Q103" s="23"/>
      <c r="R103" s="23"/>
      <c r="S103" s="23"/>
      <c r="T103" s="4"/>
      <c r="U103" s="4"/>
      <c r="V103" s="4"/>
    </row>
    <row r="104" spans="1:22" x14ac:dyDescent="0.2">
      <c r="A104" s="774"/>
      <c r="B104" s="4"/>
      <c r="C104" s="23"/>
      <c r="D104" s="23"/>
      <c r="E104" s="23"/>
      <c r="F104" s="23"/>
      <c r="G104" s="23"/>
      <c r="H104" s="23"/>
      <c r="I104" s="23"/>
      <c r="J104" s="23"/>
      <c r="K104" s="23"/>
      <c r="L104" s="23"/>
      <c r="M104" s="23"/>
      <c r="N104" s="23"/>
      <c r="O104" s="23"/>
      <c r="P104" s="4"/>
      <c r="Q104" s="23"/>
      <c r="R104" s="23"/>
      <c r="S104" s="23"/>
      <c r="T104" s="4"/>
      <c r="U104" s="4"/>
      <c r="V104" s="4"/>
    </row>
    <row r="105" spans="1:22" x14ac:dyDescent="0.2">
      <c r="A105" s="774"/>
      <c r="B105" s="4"/>
      <c r="C105" s="23"/>
      <c r="D105" s="23"/>
      <c r="E105" s="23"/>
      <c r="F105" s="23"/>
      <c r="G105" s="23"/>
      <c r="H105" s="23"/>
      <c r="I105" s="23"/>
      <c r="J105" s="23"/>
      <c r="K105" s="23"/>
      <c r="L105" s="23"/>
      <c r="M105" s="23"/>
      <c r="N105" s="23"/>
      <c r="O105" s="23"/>
      <c r="P105" s="4"/>
      <c r="Q105" s="23"/>
      <c r="R105" s="23"/>
      <c r="S105" s="23"/>
      <c r="T105" s="4"/>
      <c r="U105" s="4"/>
      <c r="V105" s="4"/>
    </row>
    <row r="106" spans="1:22" x14ac:dyDescent="0.2">
      <c r="A106" s="774"/>
      <c r="B106" s="4"/>
      <c r="C106" s="23"/>
      <c r="D106" s="23"/>
      <c r="E106" s="23"/>
      <c r="F106" s="23"/>
      <c r="G106" s="23"/>
      <c r="H106" s="23"/>
      <c r="I106" s="23"/>
      <c r="J106" s="23"/>
      <c r="K106" s="23"/>
      <c r="L106" s="23"/>
      <c r="M106" s="23"/>
      <c r="N106" s="23"/>
      <c r="O106" s="23"/>
      <c r="P106" s="4"/>
      <c r="Q106" s="23"/>
      <c r="R106" s="23"/>
      <c r="S106" s="23"/>
      <c r="T106" s="4"/>
      <c r="U106" s="4"/>
      <c r="V106" s="4"/>
    </row>
    <row r="107" spans="1:22" x14ac:dyDescent="0.2">
      <c r="A107" s="774"/>
      <c r="B107" s="4"/>
      <c r="C107" s="23"/>
      <c r="D107" s="23"/>
      <c r="E107" s="23"/>
      <c r="F107" s="23"/>
      <c r="G107" s="23"/>
      <c r="H107" s="23"/>
      <c r="I107" s="23"/>
      <c r="J107" s="23"/>
      <c r="K107" s="23"/>
      <c r="L107" s="23"/>
      <c r="M107" s="23"/>
      <c r="N107" s="23"/>
      <c r="O107" s="23"/>
      <c r="P107" s="4"/>
      <c r="Q107" s="23"/>
      <c r="R107" s="23"/>
      <c r="S107" s="23"/>
      <c r="T107" s="4"/>
      <c r="U107" s="4"/>
      <c r="V107" s="4"/>
    </row>
    <row r="108" spans="1:22" x14ac:dyDescent="0.2">
      <c r="A108" s="774"/>
      <c r="B108" s="4"/>
      <c r="C108" s="23"/>
      <c r="D108" s="23"/>
      <c r="E108" s="23"/>
      <c r="F108" s="23"/>
      <c r="G108" s="23"/>
      <c r="H108" s="23"/>
      <c r="I108" s="23"/>
      <c r="J108" s="23"/>
      <c r="K108" s="23"/>
      <c r="L108" s="23"/>
      <c r="M108" s="23"/>
      <c r="N108" s="23"/>
      <c r="O108" s="23"/>
      <c r="P108" s="4"/>
      <c r="Q108" s="23"/>
      <c r="R108" s="23"/>
      <c r="S108" s="23"/>
      <c r="T108" s="4"/>
      <c r="U108" s="4"/>
      <c r="V108" s="4"/>
    </row>
    <row r="109" spans="1:22" x14ac:dyDescent="0.2">
      <c r="A109" s="774"/>
      <c r="B109" s="4"/>
      <c r="C109" s="23"/>
      <c r="D109" s="23"/>
      <c r="E109" s="23"/>
      <c r="F109" s="23"/>
      <c r="G109" s="23"/>
      <c r="H109" s="23"/>
      <c r="I109" s="23"/>
      <c r="J109" s="23"/>
      <c r="K109" s="23"/>
      <c r="L109" s="23"/>
      <c r="M109" s="23"/>
      <c r="N109" s="23"/>
      <c r="O109" s="23"/>
      <c r="P109" s="4"/>
      <c r="Q109" s="23"/>
      <c r="R109" s="23"/>
      <c r="S109" s="23"/>
      <c r="T109" s="4"/>
      <c r="U109" s="4"/>
      <c r="V109" s="4"/>
    </row>
    <row r="110" spans="1:22" x14ac:dyDescent="0.2">
      <c r="A110" s="774"/>
      <c r="B110" s="4"/>
      <c r="C110" s="23"/>
      <c r="D110" s="23"/>
      <c r="E110" s="23"/>
      <c r="F110" s="23"/>
      <c r="G110" s="23"/>
      <c r="H110" s="23"/>
      <c r="I110" s="23"/>
      <c r="J110" s="23"/>
      <c r="K110" s="23"/>
      <c r="L110" s="23"/>
      <c r="M110" s="23"/>
      <c r="N110" s="23"/>
      <c r="O110" s="23"/>
      <c r="P110" s="4"/>
      <c r="Q110" s="23"/>
      <c r="R110" s="23"/>
      <c r="S110" s="23"/>
      <c r="T110" s="4"/>
      <c r="U110" s="4"/>
      <c r="V110" s="4"/>
    </row>
    <row r="111" spans="1:22" x14ac:dyDescent="0.2">
      <c r="A111" s="774"/>
      <c r="B111" s="4"/>
      <c r="C111" s="23"/>
      <c r="D111" s="23"/>
      <c r="E111" s="23"/>
      <c r="F111" s="23"/>
      <c r="G111" s="23"/>
      <c r="H111" s="23"/>
      <c r="I111" s="23"/>
      <c r="J111" s="23"/>
      <c r="K111" s="23"/>
      <c r="L111" s="23"/>
      <c r="M111" s="23"/>
      <c r="N111" s="23"/>
      <c r="O111" s="23"/>
      <c r="P111" s="4"/>
      <c r="Q111" s="23"/>
      <c r="R111" s="23"/>
      <c r="S111" s="23"/>
      <c r="T111" s="4"/>
      <c r="U111" s="4"/>
      <c r="V111" s="4"/>
    </row>
    <row r="112" spans="1:22" x14ac:dyDescent="0.2">
      <c r="A112" s="774"/>
      <c r="B112" s="4"/>
      <c r="C112" s="23"/>
      <c r="D112" s="23"/>
      <c r="E112" s="23"/>
      <c r="F112" s="23"/>
      <c r="G112" s="23"/>
      <c r="H112" s="23"/>
      <c r="I112" s="23"/>
      <c r="J112" s="23"/>
      <c r="K112" s="23"/>
      <c r="L112" s="23"/>
      <c r="M112" s="23"/>
      <c r="N112" s="23"/>
      <c r="O112" s="23"/>
      <c r="P112" s="4"/>
      <c r="Q112" s="23"/>
      <c r="R112" s="23"/>
      <c r="S112" s="23"/>
      <c r="T112" s="4"/>
      <c r="U112" s="4"/>
      <c r="V112" s="4"/>
    </row>
    <row r="113" spans="1:22" x14ac:dyDescent="0.2">
      <c r="A113" s="774"/>
      <c r="B113" s="4"/>
      <c r="C113" s="23"/>
      <c r="D113" s="23"/>
      <c r="E113" s="23"/>
      <c r="F113" s="23"/>
      <c r="G113" s="23"/>
      <c r="H113" s="23"/>
      <c r="I113" s="23"/>
      <c r="J113" s="23"/>
      <c r="K113" s="23"/>
      <c r="L113" s="23"/>
      <c r="M113" s="23"/>
      <c r="N113" s="23"/>
      <c r="O113" s="23"/>
      <c r="P113" s="4"/>
      <c r="Q113" s="23"/>
      <c r="R113" s="23"/>
      <c r="S113" s="23"/>
      <c r="T113" s="4"/>
      <c r="U113" s="4"/>
      <c r="V113" s="4"/>
    </row>
    <row r="114" spans="1:22" x14ac:dyDescent="0.2">
      <c r="A114" s="774"/>
      <c r="B114" s="4"/>
      <c r="C114" s="23"/>
      <c r="D114" s="23"/>
      <c r="E114" s="23"/>
      <c r="F114" s="23"/>
      <c r="G114" s="23"/>
      <c r="H114" s="23"/>
      <c r="I114" s="23"/>
      <c r="J114" s="23"/>
      <c r="K114" s="23"/>
      <c r="L114" s="23"/>
      <c r="M114" s="23"/>
      <c r="N114" s="23"/>
      <c r="O114" s="23"/>
      <c r="P114" s="4"/>
      <c r="Q114" s="23"/>
      <c r="R114" s="23"/>
      <c r="S114" s="23"/>
      <c r="T114" s="4"/>
      <c r="U114" s="4"/>
      <c r="V114" s="4"/>
    </row>
    <row r="115" spans="1:22" x14ac:dyDescent="0.2">
      <c r="A115" s="774"/>
      <c r="B115" s="4"/>
      <c r="C115" s="23"/>
      <c r="D115" s="23"/>
      <c r="E115" s="23"/>
      <c r="F115" s="23"/>
      <c r="G115" s="23"/>
      <c r="H115" s="23"/>
      <c r="I115" s="23"/>
      <c r="J115" s="23"/>
      <c r="K115" s="23"/>
      <c r="L115" s="23"/>
      <c r="M115" s="23"/>
      <c r="N115" s="23"/>
      <c r="O115" s="23"/>
      <c r="P115" s="4"/>
      <c r="Q115" s="23"/>
      <c r="R115" s="23"/>
      <c r="S115" s="23"/>
      <c r="T115" s="4"/>
      <c r="U115" s="4"/>
      <c r="V115" s="4"/>
    </row>
    <row r="116" spans="1:22" x14ac:dyDescent="0.2">
      <c r="A116" s="774"/>
      <c r="B116" s="4"/>
      <c r="C116" s="23"/>
      <c r="D116" s="23"/>
      <c r="E116" s="23"/>
      <c r="F116" s="23"/>
      <c r="G116" s="23"/>
      <c r="H116" s="23"/>
      <c r="I116" s="23"/>
      <c r="J116" s="23"/>
      <c r="K116" s="23"/>
      <c r="L116" s="23"/>
      <c r="M116" s="23"/>
      <c r="N116" s="23"/>
      <c r="O116" s="23"/>
      <c r="P116" s="4"/>
      <c r="Q116" s="23"/>
      <c r="R116" s="23"/>
      <c r="S116" s="23"/>
      <c r="T116" s="4"/>
      <c r="U116" s="4"/>
      <c r="V116" s="4"/>
    </row>
    <row r="117" spans="1:22" x14ac:dyDescent="0.2">
      <c r="A117" s="774"/>
      <c r="B117" s="4"/>
      <c r="C117" s="23"/>
      <c r="D117" s="23"/>
      <c r="E117" s="23"/>
      <c r="F117" s="23"/>
      <c r="G117" s="23"/>
      <c r="H117" s="23"/>
      <c r="I117" s="23"/>
      <c r="J117" s="23"/>
      <c r="K117" s="23"/>
      <c r="L117" s="23"/>
      <c r="M117" s="23"/>
      <c r="N117" s="23"/>
      <c r="O117" s="23"/>
      <c r="P117" s="4"/>
      <c r="Q117" s="23"/>
      <c r="R117" s="23"/>
      <c r="S117" s="23"/>
      <c r="T117" s="4"/>
      <c r="U117" s="4"/>
      <c r="V117" s="4"/>
    </row>
    <row r="118" spans="1:22" x14ac:dyDescent="0.2">
      <c r="A118" s="774"/>
      <c r="B118" s="4"/>
      <c r="C118" s="23"/>
      <c r="D118" s="23"/>
      <c r="E118" s="23"/>
      <c r="F118" s="23"/>
      <c r="G118" s="23"/>
      <c r="H118" s="23"/>
      <c r="I118" s="23"/>
      <c r="J118" s="23"/>
      <c r="K118" s="23"/>
      <c r="L118" s="23"/>
      <c r="M118" s="23"/>
      <c r="N118" s="23"/>
      <c r="O118" s="23"/>
      <c r="P118" s="4"/>
      <c r="Q118" s="23"/>
      <c r="R118" s="23"/>
      <c r="S118" s="23"/>
      <c r="T118" s="4"/>
      <c r="U118" s="4"/>
      <c r="V118" s="4"/>
    </row>
    <row r="119" spans="1:22" x14ac:dyDescent="0.2">
      <c r="A119" s="774"/>
      <c r="B119" s="4"/>
      <c r="C119" s="23"/>
      <c r="D119" s="23"/>
      <c r="E119" s="23"/>
      <c r="F119" s="23"/>
      <c r="G119" s="23"/>
      <c r="H119" s="23"/>
      <c r="I119" s="23"/>
      <c r="J119" s="23"/>
      <c r="K119" s="23"/>
      <c r="L119" s="23"/>
      <c r="M119" s="23"/>
      <c r="N119" s="23"/>
      <c r="O119" s="23"/>
      <c r="P119" s="4"/>
      <c r="Q119" s="23"/>
      <c r="R119" s="23"/>
      <c r="S119" s="23"/>
      <c r="T119" s="4"/>
      <c r="U119" s="4"/>
      <c r="V119" s="4"/>
    </row>
    <row r="120" spans="1:22" x14ac:dyDescent="0.2">
      <c r="A120" s="774"/>
      <c r="B120" s="4"/>
      <c r="C120" s="23"/>
      <c r="D120" s="23"/>
      <c r="E120" s="23"/>
      <c r="F120" s="23"/>
      <c r="G120" s="23"/>
      <c r="H120" s="23"/>
      <c r="I120" s="23"/>
      <c r="J120" s="23"/>
      <c r="K120" s="23"/>
      <c r="L120" s="23"/>
      <c r="M120" s="23"/>
      <c r="N120" s="23"/>
      <c r="O120" s="23"/>
      <c r="P120" s="4"/>
      <c r="Q120" s="23"/>
      <c r="R120" s="23"/>
      <c r="S120" s="23"/>
      <c r="T120" s="4"/>
      <c r="U120" s="4"/>
      <c r="V120" s="4"/>
    </row>
    <row r="121" spans="1:22" x14ac:dyDescent="0.2">
      <c r="A121" s="774"/>
      <c r="B121" s="4"/>
      <c r="C121" s="23"/>
      <c r="D121" s="23"/>
      <c r="E121" s="23"/>
      <c r="F121" s="23"/>
      <c r="G121" s="23"/>
      <c r="H121" s="23"/>
      <c r="I121" s="23"/>
      <c r="J121" s="23"/>
      <c r="K121" s="23"/>
      <c r="L121" s="23"/>
      <c r="M121" s="23"/>
      <c r="N121" s="23"/>
      <c r="O121" s="23"/>
      <c r="P121" s="4"/>
      <c r="Q121" s="23"/>
      <c r="R121" s="23"/>
      <c r="S121" s="23"/>
      <c r="T121" s="4"/>
      <c r="U121" s="4"/>
      <c r="V121" s="4"/>
    </row>
    <row r="122" spans="1:22" x14ac:dyDescent="0.2">
      <c r="A122" s="774"/>
      <c r="B122" s="4"/>
      <c r="C122" s="23"/>
      <c r="D122" s="23"/>
      <c r="E122" s="23"/>
      <c r="F122" s="23"/>
      <c r="G122" s="23"/>
      <c r="H122" s="23"/>
      <c r="I122" s="23"/>
      <c r="J122" s="23"/>
      <c r="K122" s="23"/>
      <c r="L122" s="23"/>
      <c r="M122" s="23"/>
      <c r="N122" s="23"/>
      <c r="O122" s="23"/>
      <c r="P122" s="4"/>
      <c r="Q122" s="23"/>
      <c r="R122" s="23"/>
      <c r="S122" s="23"/>
      <c r="T122" s="4"/>
      <c r="U122" s="4"/>
      <c r="V122" s="4"/>
    </row>
    <row r="123" spans="1:22" x14ac:dyDescent="0.2">
      <c r="A123" s="774"/>
      <c r="B123" s="4"/>
      <c r="C123" s="23"/>
      <c r="D123" s="23"/>
      <c r="E123" s="23"/>
      <c r="F123" s="23"/>
      <c r="G123" s="23"/>
      <c r="H123" s="23"/>
      <c r="I123" s="23"/>
      <c r="J123" s="23"/>
      <c r="K123" s="23"/>
      <c r="L123" s="23"/>
      <c r="M123" s="23"/>
      <c r="N123" s="23"/>
      <c r="O123" s="23"/>
      <c r="P123" s="4"/>
      <c r="Q123" s="23"/>
      <c r="R123" s="23"/>
      <c r="S123" s="23"/>
      <c r="T123" s="4"/>
      <c r="U123" s="4"/>
      <c r="V123" s="4"/>
    </row>
    <row r="124" spans="1:22" x14ac:dyDescent="0.2">
      <c r="A124" s="774"/>
      <c r="B124" s="4"/>
      <c r="C124" s="23"/>
      <c r="D124" s="23"/>
      <c r="E124" s="23"/>
      <c r="F124" s="23"/>
      <c r="G124" s="23"/>
      <c r="H124" s="23"/>
      <c r="I124" s="23"/>
      <c r="J124" s="23"/>
      <c r="K124" s="23"/>
      <c r="L124" s="23"/>
      <c r="M124" s="23"/>
      <c r="N124" s="23"/>
      <c r="O124" s="23"/>
      <c r="P124" s="4"/>
      <c r="Q124" s="23"/>
      <c r="R124" s="23"/>
      <c r="S124" s="23"/>
      <c r="T124" s="4"/>
      <c r="U124" s="4"/>
      <c r="V124" s="4"/>
    </row>
    <row r="125" spans="1:22" x14ac:dyDescent="0.2">
      <c r="A125" s="774"/>
      <c r="B125" s="4"/>
      <c r="C125" s="23"/>
      <c r="D125" s="23"/>
      <c r="E125" s="23"/>
      <c r="F125" s="23"/>
      <c r="G125" s="23"/>
      <c r="H125" s="23"/>
      <c r="I125" s="23"/>
      <c r="J125" s="23"/>
      <c r="K125" s="23"/>
      <c r="L125" s="23"/>
      <c r="M125" s="23"/>
      <c r="N125" s="23"/>
      <c r="O125" s="23"/>
      <c r="P125" s="4"/>
      <c r="Q125" s="23"/>
      <c r="R125" s="23"/>
      <c r="S125" s="23"/>
      <c r="T125" s="4"/>
      <c r="U125" s="4"/>
      <c r="V125" s="4"/>
    </row>
    <row r="126" spans="1:22" x14ac:dyDescent="0.2">
      <c r="A126" s="774"/>
      <c r="B126" s="4"/>
      <c r="C126" s="23"/>
      <c r="D126" s="23"/>
      <c r="E126" s="23"/>
      <c r="F126" s="23"/>
      <c r="G126" s="23"/>
      <c r="H126" s="23"/>
      <c r="I126" s="23"/>
      <c r="J126" s="23"/>
      <c r="K126" s="23"/>
      <c r="L126" s="23"/>
      <c r="M126" s="23"/>
      <c r="N126" s="23"/>
      <c r="O126" s="23"/>
      <c r="P126" s="4"/>
      <c r="Q126" s="23"/>
      <c r="R126" s="23"/>
      <c r="S126" s="23"/>
      <c r="T126" s="4"/>
      <c r="U126" s="4"/>
      <c r="V126" s="4"/>
    </row>
    <row r="127" spans="1:22" x14ac:dyDescent="0.2">
      <c r="A127" s="774"/>
      <c r="B127" s="4"/>
      <c r="C127" s="23"/>
      <c r="D127" s="23"/>
      <c r="E127" s="23"/>
      <c r="F127" s="23"/>
      <c r="G127" s="23"/>
      <c r="H127" s="23"/>
      <c r="I127" s="23"/>
      <c r="J127" s="23"/>
      <c r="K127" s="23"/>
      <c r="L127" s="23"/>
      <c r="M127" s="23"/>
      <c r="N127" s="23"/>
      <c r="O127" s="23"/>
      <c r="P127" s="4"/>
      <c r="Q127" s="23"/>
      <c r="R127" s="23"/>
      <c r="S127" s="23"/>
      <c r="T127" s="4"/>
      <c r="U127" s="4"/>
      <c r="V127" s="4"/>
    </row>
    <row r="128" spans="1:22" x14ac:dyDescent="0.2">
      <c r="A128" s="774"/>
      <c r="B128" s="4"/>
      <c r="C128" s="23"/>
      <c r="D128" s="23"/>
      <c r="E128" s="23"/>
      <c r="F128" s="23"/>
      <c r="G128" s="23"/>
      <c r="H128" s="23"/>
      <c r="I128" s="23"/>
      <c r="J128" s="23"/>
      <c r="K128" s="23"/>
      <c r="L128" s="23"/>
      <c r="M128" s="23"/>
      <c r="N128" s="23"/>
      <c r="O128" s="23"/>
      <c r="P128" s="4"/>
      <c r="Q128" s="23"/>
      <c r="R128" s="23"/>
      <c r="S128" s="23"/>
      <c r="T128" s="4"/>
      <c r="U128" s="4"/>
      <c r="V128" s="4"/>
    </row>
    <row r="129" spans="1:22" x14ac:dyDescent="0.2">
      <c r="A129" s="774"/>
      <c r="B129" s="4"/>
      <c r="C129" s="23"/>
      <c r="D129" s="23"/>
      <c r="E129" s="23"/>
      <c r="F129" s="23"/>
      <c r="G129" s="23"/>
      <c r="H129" s="23"/>
      <c r="I129" s="23"/>
      <c r="J129" s="23"/>
      <c r="K129" s="23"/>
      <c r="L129" s="23"/>
      <c r="M129" s="23"/>
      <c r="N129" s="23"/>
      <c r="O129" s="23"/>
      <c r="P129" s="4"/>
      <c r="Q129" s="23"/>
      <c r="R129" s="23"/>
      <c r="S129" s="23"/>
      <c r="T129" s="4"/>
      <c r="U129" s="4"/>
      <c r="V129" s="4"/>
    </row>
    <row r="130" spans="1:22" x14ac:dyDescent="0.2">
      <c r="A130" s="774"/>
      <c r="B130" s="4"/>
      <c r="C130" s="23"/>
      <c r="D130" s="23"/>
      <c r="E130" s="23"/>
      <c r="F130" s="23"/>
      <c r="G130" s="23"/>
      <c r="H130" s="23"/>
      <c r="I130" s="23"/>
      <c r="J130" s="23"/>
      <c r="K130" s="23"/>
      <c r="L130" s="23"/>
      <c r="M130" s="23"/>
      <c r="N130" s="23"/>
      <c r="O130" s="23"/>
      <c r="P130" s="4"/>
      <c r="Q130" s="23"/>
      <c r="R130" s="23"/>
      <c r="S130" s="23"/>
      <c r="T130" s="4"/>
      <c r="U130" s="4"/>
      <c r="V130" s="4"/>
    </row>
    <row r="131" spans="1:22" x14ac:dyDescent="0.2">
      <c r="C131" s="212"/>
      <c r="D131" s="212"/>
      <c r="E131" s="212"/>
      <c r="F131" s="212"/>
      <c r="G131" s="212"/>
      <c r="H131" s="212"/>
      <c r="I131" s="212"/>
      <c r="J131" s="212"/>
      <c r="K131" s="212"/>
      <c r="L131" s="212"/>
      <c r="M131" s="212"/>
      <c r="N131" s="212"/>
      <c r="O131" s="212"/>
    </row>
    <row r="132" spans="1:22" x14ac:dyDescent="0.2">
      <c r="C132" s="212"/>
      <c r="D132" s="212"/>
      <c r="E132" s="212"/>
      <c r="F132" s="212"/>
      <c r="G132" s="212"/>
      <c r="H132" s="212"/>
      <c r="I132" s="212"/>
      <c r="J132" s="212"/>
      <c r="K132" s="212"/>
      <c r="L132" s="212"/>
      <c r="M132" s="212"/>
      <c r="N132" s="212"/>
      <c r="O132" s="212"/>
    </row>
    <row r="133" spans="1:22" x14ac:dyDescent="0.2">
      <c r="C133" s="212"/>
      <c r="D133" s="212"/>
      <c r="E133" s="212"/>
      <c r="F133" s="212"/>
      <c r="G133" s="212"/>
      <c r="H133" s="212"/>
      <c r="I133" s="212"/>
      <c r="J133" s="212"/>
      <c r="K133" s="212"/>
      <c r="L133" s="212"/>
      <c r="M133" s="212"/>
      <c r="N133" s="212"/>
      <c r="O133" s="212"/>
    </row>
    <row r="134" spans="1:22" x14ac:dyDescent="0.2">
      <c r="C134" s="212"/>
      <c r="D134" s="212"/>
      <c r="E134" s="212"/>
      <c r="F134" s="212"/>
      <c r="G134" s="212"/>
      <c r="H134" s="212"/>
      <c r="I134" s="212"/>
      <c r="J134" s="212"/>
      <c r="K134" s="212"/>
      <c r="L134" s="212"/>
      <c r="M134" s="212"/>
      <c r="N134" s="212"/>
      <c r="O134" s="212"/>
    </row>
    <row r="135" spans="1:22" x14ac:dyDescent="0.2">
      <c r="C135" s="212"/>
      <c r="D135" s="212"/>
      <c r="E135" s="212"/>
      <c r="F135" s="212"/>
      <c r="G135" s="212"/>
      <c r="H135" s="212"/>
      <c r="I135" s="212"/>
      <c r="J135" s="212"/>
      <c r="K135" s="212"/>
      <c r="L135" s="212"/>
      <c r="M135" s="212"/>
      <c r="N135" s="212"/>
      <c r="O135" s="212"/>
    </row>
    <row r="136" spans="1:22" x14ac:dyDescent="0.2">
      <c r="C136" s="212"/>
      <c r="D136" s="212"/>
      <c r="E136" s="212"/>
      <c r="F136" s="212"/>
      <c r="G136" s="212"/>
      <c r="H136" s="212"/>
      <c r="I136" s="212"/>
      <c r="J136" s="212"/>
      <c r="K136" s="212"/>
      <c r="L136" s="212"/>
      <c r="M136" s="212"/>
      <c r="N136" s="212"/>
      <c r="O136" s="212"/>
    </row>
    <row r="137" spans="1:22" x14ac:dyDescent="0.2">
      <c r="C137" s="212"/>
      <c r="D137" s="212"/>
      <c r="E137" s="212"/>
      <c r="F137" s="212"/>
      <c r="G137" s="212"/>
      <c r="H137" s="212"/>
      <c r="I137" s="212"/>
      <c r="J137" s="212"/>
      <c r="K137" s="212"/>
      <c r="L137" s="212"/>
      <c r="M137" s="212"/>
      <c r="N137" s="212"/>
      <c r="O137" s="212"/>
    </row>
    <row r="138" spans="1:22" x14ac:dyDescent="0.2">
      <c r="C138" s="212"/>
      <c r="D138" s="212"/>
      <c r="E138" s="212"/>
      <c r="F138" s="212"/>
      <c r="G138" s="212"/>
      <c r="H138" s="212"/>
      <c r="I138" s="212"/>
      <c r="J138" s="212"/>
      <c r="K138" s="212"/>
      <c r="L138" s="212"/>
      <c r="M138" s="212"/>
      <c r="N138" s="212"/>
      <c r="O138" s="212"/>
    </row>
    <row r="139" spans="1:22" x14ac:dyDescent="0.2">
      <c r="C139" s="212"/>
      <c r="D139" s="212"/>
      <c r="E139" s="212"/>
      <c r="F139" s="212"/>
      <c r="G139" s="212"/>
      <c r="H139" s="212"/>
      <c r="I139" s="212"/>
      <c r="J139" s="212"/>
      <c r="K139" s="212"/>
      <c r="L139" s="212"/>
      <c r="M139" s="212"/>
      <c r="N139" s="212"/>
      <c r="O139" s="212"/>
    </row>
    <row r="140" spans="1:22" x14ac:dyDescent="0.2">
      <c r="C140" s="212"/>
      <c r="D140" s="212"/>
      <c r="E140" s="212"/>
      <c r="F140" s="212"/>
      <c r="G140" s="212"/>
      <c r="H140" s="212"/>
      <c r="I140" s="212"/>
      <c r="J140" s="212"/>
      <c r="K140" s="212"/>
      <c r="L140" s="212"/>
      <c r="M140" s="212"/>
      <c r="N140" s="212"/>
      <c r="O140" s="212"/>
    </row>
    <row r="141" spans="1:22" x14ac:dyDescent="0.2">
      <c r="C141" s="212"/>
      <c r="D141" s="212"/>
      <c r="E141" s="212"/>
      <c r="F141" s="212"/>
      <c r="G141" s="212"/>
      <c r="H141" s="212"/>
      <c r="I141" s="212"/>
      <c r="J141" s="212"/>
      <c r="K141" s="212"/>
      <c r="L141" s="212"/>
      <c r="M141" s="212"/>
      <c r="N141" s="212"/>
      <c r="O141" s="212"/>
    </row>
    <row r="142" spans="1:22" x14ac:dyDescent="0.2">
      <c r="C142" s="212"/>
      <c r="D142" s="212"/>
      <c r="E142" s="212"/>
      <c r="F142" s="212"/>
      <c r="G142" s="212"/>
      <c r="H142" s="212"/>
      <c r="I142" s="212"/>
      <c r="J142" s="212"/>
      <c r="K142" s="212"/>
      <c r="L142" s="212"/>
      <c r="M142" s="212"/>
      <c r="N142" s="212"/>
      <c r="O142" s="212"/>
    </row>
    <row r="143" spans="1:22" x14ac:dyDescent="0.2">
      <c r="C143" s="212"/>
      <c r="D143" s="212"/>
      <c r="E143" s="212"/>
      <c r="F143" s="212"/>
      <c r="G143" s="212"/>
      <c r="H143" s="212"/>
      <c r="I143" s="212"/>
      <c r="J143" s="212"/>
      <c r="K143" s="212"/>
      <c r="L143" s="212"/>
      <c r="M143" s="212"/>
      <c r="N143" s="212"/>
      <c r="O143" s="212"/>
    </row>
    <row r="144" spans="1:22" x14ac:dyDescent="0.2">
      <c r="C144" s="212"/>
      <c r="D144" s="212"/>
      <c r="E144" s="212"/>
      <c r="F144" s="212"/>
      <c r="G144" s="212"/>
      <c r="H144" s="212"/>
      <c r="I144" s="212"/>
      <c r="J144" s="212"/>
      <c r="K144" s="212"/>
      <c r="L144" s="212"/>
      <c r="M144" s="212"/>
      <c r="N144" s="212"/>
      <c r="O144" s="212"/>
    </row>
    <row r="145" spans="3:15" x14ac:dyDescent="0.2">
      <c r="C145" s="212"/>
      <c r="D145" s="212"/>
      <c r="E145" s="212"/>
      <c r="F145" s="212"/>
      <c r="G145" s="212"/>
      <c r="H145" s="212"/>
      <c r="I145" s="212"/>
      <c r="J145" s="212"/>
      <c r="K145" s="212"/>
      <c r="L145" s="212"/>
      <c r="M145" s="212"/>
      <c r="N145" s="212"/>
      <c r="O145" s="212"/>
    </row>
    <row r="146" spans="3:15" x14ac:dyDescent="0.2">
      <c r="C146" s="212"/>
    </row>
    <row r="147" spans="3:15" x14ac:dyDescent="0.2">
      <c r="C147" s="212"/>
    </row>
    <row r="148" spans="3:15" x14ac:dyDescent="0.2">
      <c r="C148" s="212"/>
    </row>
    <row r="149" spans="3:15" x14ac:dyDescent="0.2">
      <c r="C149" s="212"/>
    </row>
    <row r="150" spans="3:15" x14ac:dyDescent="0.2">
      <c r="C150" s="212"/>
    </row>
    <row r="151" spans="3:15" x14ac:dyDescent="0.2">
      <c r="C151" s="212"/>
    </row>
    <row r="152" spans="3:15" x14ac:dyDescent="0.2">
      <c r="C152" s="212"/>
    </row>
    <row r="153" spans="3:15" x14ac:dyDescent="0.2">
      <c r="C153" s="212"/>
    </row>
    <row r="154" spans="3:15" x14ac:dyDescent="0.2">
      <c r="C154" s="212"/>
    </row>
    <row r="155" spans="3:15" x14ac:dyDescent="0.2">
      <c r="C155" s="212"/>
    </row>
    <row r="156" spans="3:15" x14ac:dyDescent="0.2">
      <c r="C156" s="212"/>
    </row>
    <row r="157" spans="3:15" x14ac:dyDescent="0.2">
      <c r="C157" s="212"/>
    </row>
    <row r="158" spans="3:15" x14ac:dyDescent="0.2">
      <c r="C158" s="212"/>
    </row>
    <row r="159" spans="3:15" x14ac:dyDescent="0.2">
      <c r="C159" s="212"/>
    </row>
    <row r="160" spans="3:15" x14ac:dyDescent="0.2">
      <c r="C160" s="212"/>
    </row>
    <row r="161" spans="3:3" x14ac:dyDescent="0.2">
      <c r="C161" s="212"/>
    </row>
    <row r="162" spans="3:3" x14ac:dyDescent="0.2">
      <c r="C162" s="212"/>
    </row>
    <row r="163" spans="3:3" x14ac:dyDescent="0.2">
      <c r="C163" s="212"/>
    </row>
    <row r="164" spans="3:3" x14ac:dyDescent="0.2">
      <c r="C164" s="212"/>
    </row>
    <row r="165" spans="3:3" x14ac:dyDescent="0.2">
      <c r="C165" s="212"/>
    </row>
    <row r="166" spans="3:3" x14ac:dyDescent="0.2">
      <c r="C166" s="212"/>
    </row>
    <row r="167" spans="3:3" x14ac:dyDescent="0.2">
      <c r="C167" s="212"/>
    </row>
    <row r="168" spans="3:3" x14ac:dyDescent="0.2">
      <c r="C168" s="212"/>
    </row>
    <row r="169" spans="3:3" x14ac:dyDescent="0.2">
      <c r="C169" s="212"/>
    </row>
    <row r="170" spans="3:3" x14ac:dyDescent="0.2">
      <c r="C170" s="212"/>
    </row>
    <row r="171" spans="3:3" x14ac:dyDescent="0.2">
      <c r="C171" s="212"/>
    </row>
    <row r="172" spans="3:3" x14ac:dyDescent="0.2">
      <c r="C172" s="212"/>
    </row>
    <row r="173" spans="3:3" x14ac:dyDescent="0.2">
      <c r="C173" s="212"/>
    </row>
    <row r="174" spans="3:3" x14ac:dyDescent="0.2">
      <c r="C174" s="212"/>
    </row>
    <row r="175" spans="3:3" x14ac:dyDescent="0.2">
      <c r="C175" s="212"/>
    </row>
    <row r="176" spans="3:3" x14ac:dyDescent="0.2">
      <c r="C176" s="212"/>
    </row>
    <row r="177" spans="3:3" x14ac:dyDescent="0.2">
      <c r="C177" s="212"/>
    </row>
    <row r="178" spans="3:3" x14ac:dyDescent="0.2">
      <c r="C178" s="212"/>
    </row>
    <row r="179" spans="3:3" x14ac:dyDescent="0.2">
      <c r="C179" s="212"/>
    </row>
    <row r="180" spans="3:3" x14ac:dyDescent="0.2">
      <c r="C180" s="212"/>
    </row>
    <row r="181" spans="3:3" x14ac:dyDescent="0.2">
      <c r="C181" s="212"/>
    </row>
    <row r="182" spans="3:3" x14ac:dyDescent="0.2">
      <c r="C182" s="212"/>
    </row>
    <row r="183" spans="3:3" x14ac:dyDescent="0.2">
      <c r="C183" s="212"/>
    </row>
  </sheetData>
  <phoneticPr fontId="0" type="noConversion"/>
  <hyperlinks>
    <hyperlink ref="A1" location="'Working Budget with funding det'!A1" display="Main " xr:uid="{00000000-0004-0000-2900-000000000000}"/>
    <hyperlink ref="B1" location="'Table of Contents'!A1" display="TOC" xr:uid="{00000000-0004-0000-2900-000001000000}"/>
  </hyperlinks>
  <pageMargins left="0.75" right="0.75" top="1" bottom="1" header="0.5" footer="0.5"/>
  <pageSetup scale="92" orientation="landscape" horizontalDpi="300" verticalDpi="300" r:id="rId1"/>
  <headerFooter alignWithMargins="0">
    <oddFooter>&amp;L&amp;D     &amp;T&amp;C&amp;F&amp;R&amp;A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sheetPr>
  <dimension ref="A1:X111"/>
  <sheetViews>
    <sheetView topLeftCell="A30" zoomScaleNormal="100" workbookViewId="0">
      <selection activeCell="Q9" sqref="Q9"/>
    </sheetView>
  </sheetViews>
  <sheetFormatPr defaultRowHeight="12.75" x14ac:dyDescent="0.2"/>
  <cols>
    <col min="1" max="1" width="11.1640625" style="783" customWidth="1"/>
    <col min="2" max="2" width="36.6640625" customWidth="1"/>
    <col min="3" max="3" width="14.5" style="1" hidden="1" customWidth="1"/>
    <col min="4" max="12" width="14.5" style="106" hidden="1" customWidth="1"/>
    <col min="13" max="15" width="14.5" style="106" customWidth="1"/>
    <col min="16" max="16" width="14.5" customWidth="1"/>
    <col min="17" max="20" width="14.5" style="1" customWidth="1"/>
    <col min="21" max="23" width="14.5" customWidth="1"/>
    <col min="24" max="24" width="14.6640625" style="2" customWidth="1"/>
  </cols>
  <sheetData>
    <row r="1" spans="1:23" x14ac:dyDescent="0.2">
      <c r="A1" s="772" t="s">
        <v>847</v>
      </c>
      <c r="B1" s="308" t="s">
        <v>197</v>
      </c>
      <c r="D1" s="212"/>
      <c r="E1" s="212"/>
      <c r="F1" s="212"/>
      <c r="G1" s="212"/>
      <c r="H1" s="212"/>
      <c r="I1" s="212"/>
      <c r="J1" s="212"/>
      <c r="K1" s="212"/>
      <c r="L1" s="212"/>
      <c r="M1" s="212"/>
      <c r="N1" s="212"/>
      <c r="O1" s="212"/>
      <c r="T1"/>
    </row>
    <row r="2" spans="1:23" ht="15" x14ac:dyDescent="0.25">
      <c r="A2" s="773" t="s">
        <v>1420</v>
      </c>
      <c r="B2" s="43"/>
      <c r="D2" s="212"/>
      <c r="E2" s="126"/>
      <c r="F2" s="212"/>
      <c r="G2" s="212"/>
      <c r="H2" s="212"/>
      <c r="I2" s="126" t="s">
        <v>816</v>
      </c>
      <c r="J2" s="126"/>
      <c r="K2" s="126"/>
      <c r="L2" s="126"/>
      <c r="M2" s="126"/>
      <c r="N2" s="126"/>
      <c r="O2" s="126"/>
      <c r="P2" s="58" t="s">
        <v>656</v>
      </c>
      <c r="S2" s="44" t="s">
        <v>1421</v>
      </c>
    </row>
    <row r="3" spans="1:23" ht="13.5" thickBot="1" x14ac:dyDescent="0.25">
      <c r="A3" s="774"/>
      <c r="B3" s="4"/>
      <c r="C3" s="23"/>
      <c r="D3" s="23"/>
      <c r="E3" s="23"/>
      <c r="F3" s="23"/>
      <c r="G3" s="23"/>
      <c r="H3" s="23"/>
      <c r="I3" s="23"/>
      <c r="J3" s="23"/>
      <c r="K3" s="23"/>
      <c r="L3" s="23"/>
      <c r="M3" s="23"/>
      <c r="N3" s="23"/>
      <c r="O3" s="23"/>
      <c r="P3" s="4"/>
      <c r="Q3" s="23"/>
      <c r="R3" s="23"/>
      <c r="S3" s="4"/>
      <c r="T3" s="4"/>
      <c r="W3" s="4"/>
    </row>
    <row r="4" spans="1:23"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3" x14ac:dyDescent="0.2">
      <c r="A5" s="776"/>
      <c r="B5" s="202"/>
      <c r="C5" s="113"/>
      <c r="D5" s="82"/>
      <c r="E5" s="105"/>
      <c r="F5" s="105"/>
      <c r="G5" s="82"/>
      <c r="H5" s="105"/>
      <c r="I5" s="247"/>
      <c r="J5" s="247"/>
      <c r="K5" s="247"/>
      <c r="L5" s="247"/>
      <c r="M5" s="247"/>
      <c r="N5" s="247"/>
      <c r="O5" s="247"/>
      <c r="P5" s="105" t="s">
        <v>819</v>
      </c>
      <c r="Q5" s="83" t="s">
        <v>820</v>
      </c>
      <c r="R5" s="83" t="s">
        <v>821</v>
      </c>
      <c r="S5" s="196" t="s">
        <v>822</v>
      </c>
    </row>
    <row r="6" spans="1:23" x14ac:dyDescent="0.2">
      <c r="A6" s="776"/>
      <c r="B6" s="202"/>
      <c r="C6" s="113"/>
      <c r="D6" s="113"/>
      <c r="E6" s="113"/>
      <c r="F6" s="113"/>
      <c r="G6" s="113"/>
      <c r="H6" s="113"/>
      <c r="I6" s="83"/>
      <c r="J6" s="83"/>
      <c r="K6" s="83"/>
      <c r="L6" s="83"/>
      <c r="M6" s="83"/>
      <c r="N6" s="83"/>
      <c r="O6" s="83"/>
      <c r="P6" s="113"/>
      <c r="Q6" s="83" t="s">
        <v>823</v>
      </c>
      <c r="R6" s="83" t="s">
        <v>585</v>
      </c>
      <c r="S6" s="45" t="s">
        <v>824</v>
      </c>
    </row>
    <row r="7" spans="1:23"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3" ht="13.5" thickTop="1" x14ac:dyDescent="0.2">
      <c r="A8" s="778"/>
      <c r="B8" s="157"/>
      <c r="C8" s="115"/>
      <c r="D8" s="268"/>
      <c r="E8" s="268"/>
      <c r="F8" s="268"/>
      <c r="G8" s="268"/>
      <c r="H8" s="268"/>
      <c r="I8" s="268"/>
      <c r="J8" s="268"/>
      <c r="K8" s="146"/>
      <c r="L8" s="146"/>
      <c r="M8" s="146"/>
      <c r="N8" s="146"/>
      <c r="O8" s="146"/>
      <c r="P8" s="59"/>
      <c r="Q8" s="10"/>
      <c r="R8" s="10"/>
      <c r="S8" s="10"/>
    </row>
    <row r="9" spans="1:23" x14ac:dyDescent="0.2">
      <c r="A9" s="779">
        <v>5111</v>
      </c>
      <c r="B9" s="60" t="s">
        <v>1422</v>
      </c>
      <c r="C9" s="116">
        <v>62644</v>
      </c>
      <c r="D9" s="13">
        <f>129+62937</f>
        <v>63066</v>
      </c>
      <c r="E9" s="13">
        <v>64970</v>
      </c>
      <c r="F9" s="13">
        <v>66933</v>
      </c>
      <c r="G9" s="13">
        <v>68954</v>
      </c>
      <c r="H9" s="13">
        <v>69988</v>
      </c>
      <c r="I9" s="13">
        <v>73591.7</v>
      </c>
      <c r="J9" s="13">
        <v>65941.53</v>
      </c>
      <c r="K9" s="14">
        <f>37941+67610</f>
        <v>105551</v>
      </c>
      <c r="L9" s="13">
        <v>105572.13</v>
      </c>
      <c r="M9" s="14">
        <f>39130+69997</f>
        <v>109127</v>
      </c>
      <c r="N9" s="13">
        <v>109309.75</v>
      </c>
      <c r="O9" s="14">
        <f>1206+111290</f>
        <v>112496</v>
      </c>
      <c r="P9" s="13">
        <v>42529.7</v>
      </c>
      <c r="Q9" s="14">
        <f>ROUND((+P49+P50),0)</f>
        <v>120054</v>
      </c>
      <c r="R9" s="14"/>
      <c r="S9" s="14"/>
      <c r="T9" s="345"/>
    </row>
    <row r="10" spans="1:23" hidden="1" x14ac:dyDescent="0.2">
      <c r="A10" s="779">
        <v>5113</v>
      </c>
      <c r="B10" s="60" t="s">
        <v>1423</v>
      </c>
      <c r="C10" s="116">
        <v>11965.6</v>
      </c>
      <c r="D10" s="13">
        <v>22300.3</v>
      </c>
      <c r="E10" s="13">
        <v>16105.72</v>
      </c>
      <c r="F10" s="13">
        <v>28573.13</v>
      </c>
      <c r="G10" s="13">
        <v>29302</v>
      </c>
      <c r="H10" s="13">
        <v>30485</v>
      </c>
      <c r="I10" s="13">
        <v>10876.31</v>
      </c>
      <c r="J10" s="13"/>
      <c r="K10" s="14">
        <v>0</v>
      </c>
      <c r="L10" s="13"/>
      <c r="M10" s="14"/>
      <c r="N10" s="13"/>
      <c r="O10" s="14"/>
      <c r="P10" s="13"/>
      <c r="Q10" s="14"/>
      <c r="R10" s="14"/>
      <c r="S10" s="14"/>
    </row>
    <row r="11" spans="1:23" hidden="1" x14ac:dyDescent="0.2">
      <c r="A11" s="779">
        <v>5114</v>
      </c>
      <c r="B11" s="60" t="s">
        <v>1424</v>
      </c>
      <c r="C11" s="116">
        <v>12727.84</v>
      </c>
      <c r="D11" s="13">
        <v>14529.42</v>
      </c>
      <c r="E11" s="13">
        <v>15036.46</v>
      </c>
      <c r="F11" s="13">
        <v>15806.8</v>
      </c>
      <c r="G11" s="13">
        <v>15361.4</v>
      </c>
      <c r="H11" s="13">
        <v>16774.490000000002</v>
      </c>
      <c r="I11" s="128">
        <v>17626.96</v>
      </c>
      <c r="J11" s="128">
        <v>31097.119999999999</v>
      </c>
      <c r="K11" s="14"/>
      <c r="L11" s="128"/>
      <c r="M11" s="14"/>
      <c r="N11" s="128"/>
      <c r="O11" s="14"/>
      <c r="P11" s="13"/>
      <c r="Q11" s="14"/>
      <c r="R11" s="14"/>
      <c r="S11" s="14"/>
    </row>
    <row r="12" spans="1:23" x14ac:dyDescent="0.2">
      <c r="A12" s="779">
        <v>5116</v>
      </c>
      <c r="B12" s="60" t="s">
        <v>1425</v>
      </c>
      <c r="C12" s="329">
        <v>1500</v>
      </c>
      <c r="D12" s="128">
        <v>1500</v>
      </c>
      <c r="E12" s="128">
        <v>1500</v>
      </c>
      <c r="F12" s="128">
        <v>1500</v>
      </c>
      <c r="G12" s="128">
        <v>1500</v>
      </c>
      <c r="H12" s="128">
        <v>1500</v>
      </c>
      <c r="I12" s="128">
        <v>1500</v>
      </c>
      <c r="J12" s="128">
        <v>1575</v>
      </c>
      <c r="K12" s="14">
        <v>1575</v>
      </c>
      <c r="L12" s="218">
        <v>1575</v>
      </c>
      <c r="M12" s="14">
        <v>1575</v>
      </c>
      <c r="N12" s="218">
        <v>1575</v>
      </c>
      <c r="O12" s="14">
        <v>1575</v>
      </c>
      <c r="P12" s="35">
        <v>787.5</v>
      </c>
      <c r="Q12" s="14">
        <v>1575</v>
      </c>
      <c r="R12" s="14"/>
      <c r="S12" s="14"/>
    </row>
    <row r="13" spans="1:23" x14ac:dyDescent="0.2">
      <c r="A13" s="779">
        <v>5117</v>
      </c>
      <c r="B13" s="60" t="s">
        <v>1426</v>
      </c>
      <c r="C13" s="587">
        <v>500</v>
      </c>
      <c r="D13" s="218">
        <v>0</v>
      </c>
      <c r="E13" s="218">
        <v>500</v>
      </c>
      <c r="F13" s="218">
        <v>1000</v>
      </c>
      <c r="G13" s="218">
        <v>1000</v>
      </c>
      <c r="H13" s="218">
        <v>1000</v>
      </c>
      <c r="I13" s="218">
        <v>1000</v>
      </c>
      <c r="J13" s="218">
        <v>1050</v>
      </c>
      <c r="K13" s="36">
        <v>1050</v>
      </c>
      <c r="L13" s="218">
        <v>1050</v>
      </c>
      <c r="M13" s="36">
        <v>1050</v>
      </c>
      <c r="N13" s="218">
        <v>1050</v>
      </c>
      <c r="O13" s="36">
        <v>1050</v>
      </c>
      <c r="P13" s="13">
        <v>1050</v>
      </c>
      <c r="Q13" s="36">
        <v>1050</v>
      </c>
      <c r="R13" s="36"/>
      <c r="S13" s="36"/>
    </row>
    <row r="14" spans="1:23" hidden="1" x14ac:dyDescent="0.2">
      <c r="A14" s="779"/>
      <c r="B14" s="60" t="s">
        <v>1427</v>
      </c>
      <c r="C14" s="587">
        <v>669.75</v>
      </c>
      <c r="D14" s="218">
        <v>672</v>
      </c>
      <c r="E14" s="218">
        <v>670</v>
      </c>
      <c r="F14" s="218"/>
      <c r="G14" s="218"/>
      <c r="H14" s="218"/>
      <c r="I14" s="218">
        <v>0</v>
      </c>
      <c r="J14" s="218"/>
      <c r="K14" s="36"/>
      <c r="L14" s="277"/>
      <c r="M14" s="36"/>
      <c r="N14" s="277"/>
      <c r="O14" s="36"/>
      <c r="Q14" s="36"/>
      <c r="R14" s="36"/>
      <c r="S14" s="36"/>
    </row>
    <row r="15" spans="1:23" x14ac:dyDescent="0.2">
      <c r="A15" s="779">
        <v>5115</v>
      </c>
      <c r="B15" s="60" t="s">
        <v>939</v>
      </c>
      <c r="C15" s="587">
        <v>1000</v>
      </c>
      <c r="D15" s="218">
        <v>1500</v>
      </c>
      <c r="E15" s="218">
        <v>1500</v>
      </c>
      <c r="F15" s="218">
        <v>1500</v>
      </c>
      <c r="G15" s="218">
        <v>1500</v>
      </c>
      <c r="H15" s="218">
        <v>1500</v>
      </c>
      <c r="I15" s="218">
        <v>1500</v>
      </c>
      <c r="J15" s="218">
        <v>1765</v>
      </c>
      <c r="K15" s="36">
        <v>1765</v>
      </c>
      <c r="L15" s="218">
        <v>1765</v>
      </c>
      <c r="M15" s="36">
        <v>1765</v>
      </c>
      <c r="N15" s="218">
        <v>1765.09</v>
      </c>
      <c r="O15" s="36">
        <v>1765</v>
      </c>
      <c r="P15" s="35">
        <v>882.48</v>
      </c>
      <c r="Q15" s="36">
        <v>1765</v>
      </c>
      <c r="R15" s="36"/>
      <c r="S15" s="36"/>
    </row>
    <row r="16" spans="1:23" x14ac:dyDescent="0.2">
      <c r="A16" s="779">
        <v>5115</v>
      </c>
      <c r="B16" s="60" t="s">
        <v>852</v>
      </c>
      <c r="C16" s="587">
        <v>1000</v>
      </c>
      <c r="D16" s="218">
        <v>1500</v>
      </c>
      <c r="E16" s="218">
        <v>1500</v>
      </c>
      <c r="F16" s="218">
        <v>1500</v>
      </c>
      <c r="G16" s="218">
        <v>1500</v>
      </c>
      <c r="H16" s="218">
        <v>1500</v>
      </c>
      <c r="I16" s="218">
        <v>1500</v>
      </c>
      <c r="J16" s="218">
        <v>1605</v>
      </c>
      <c r="K16" s="36">
        <v>1605</v>
      </c>
      <c r="L16" s="218">
        <v>1605</v>
      </c>
      <c r="M16" s="36">
        <v>1605</v>
      </c>
      <c r="N16" s="218">
        <v>1605</v>
      </c>
      <c r="O16" s="36">
        <v>1605</v>
      </c>
      <c r="P16" s="35">
        <v>802.5</v>
      </c>
      <c r="Q16" s="36">
        <v>1605</v>
      </c>
      <c r="R16" s="36"/>
      <c r="S16" s="36"/>
    </row>
    <row r="17" spans="1:19" x14ac:dyDescent="0.2">
      <c r="A17" s="779">
        <v>5115</v>
      </c>
      <c r="B17" s="60" t="s">
        <v>853</v>
      </c>
      <c r="C17" s="329">
        <v>1000</v>
      </c>
      <c r="D17" s="128">
        <v>1500</v>
      </c>
      <c r="E17" s="128">
        <v>1500</v>
      </c>
      <c r="F17" s="128">
        <v>1500</v>
      </c>
      <c r="G17" s="128">
        <v>1500</v>
      </c>
      <c r="H17" s="128">
        <v>1500</v>
      </c>
      <c r="I17" s="128">
        <v>1500</v>
      </c>
      <c r="J17" s="128">
        <v>1605</v>
      </c>
      <c r="K17" s="14">
        <v>1605</v>
      </c>
      <c r="L17" s="128">
        <v>1605</v>
      </c>
      <c r="M17" s="14">
        <v>1605</v>
      </c>
      <c r="N17" s="128">
        <v>1605</v>
      </c>
      <c r="O17" s="14">
        <v>1605</v>
      </c>
      <c r="P17" s="13">
        <v>802.5</v>
      </c>
      <c r="Q17" s="14">
        <v>1605</v>
      </c>
      <c r="R17" s="14"/>
      <c r="S17" s="14"/>
    </row>
    <row r="18" spans="1:19" x14ac:dyDescent="0.2">
      <c r="A18" s="779">
        <v>5144</v>
      </c>
      <c r="B18" s="60" t="s">
        <v>27</v>
      </c>
      <c r="C18" s="587"/>
      <c r="D18" s="218"/>
      <c r="E18" s="218"/>
      <c r="F18" s="218"/>
      <c r="G18" s="218">
        <v>150</v>
      </c>
      <c r="H18" s="218">
        <v>150</v>
      </c>
      <c r="I18" s="218">
        <v>150</v>
      </c>
      <c r="J18" s="218"/>
      <c r="K18" s="36">
        <v>500</v>
      </c>
      <c r="L18" s="218">
        <v>500</v>
      </c>
      <c r="M18" s="36">
        <v>500</v>
      </c>
      <c r="N18" s="218">
        <v>500</v>
      </c>
      <c r="O18" s="36">
        <v>500</v>
      </c>
      <c r="P18" s="35"/>
      <c r="Q18" s="36">
        <f>+T50</f>
        <v>500</v>
      </c>
      <c r="R18" s="36"/>
      <c r="S18" s="36"/>
    </row>
    <row r="19" spans="1:19" ht="13.5" thickBot="1" x14ac:dyDescent="0.25">
      <c r="A19" s="779">
        <v>5145</v>
      </c>
      <c r="B19" s="12" t="s">
        <v>855</v>
      </c>
      <c r="C19" s="270">
        <v>300.04000000000002</v>
      </c>
      <c r="D19" s="270">
        <v>300.04000000000002</v>
      </c>
      <c r="E19" s="270">
        <v>300.04000000000002</v>
      </c>
      <c r="F19" s="270">
        <v>305.81</v>
      </c>
      <c r="G19" s="128">
        <v>51.93</v>
      </c>
      <c r="H19" s="128"/>
      <c r="I19" s="128">
        <v>0</v>
      </c>
      <c r="J19" s="128">
        <v>276.95999999999998</v>
      </c>
      <c r="K19" s="16">
        <v>300</v>
      </c>
      <c r="L19" s="270">
        <v>305.81</v>
      </c>
      <c r="M19" s="16">
        <v>300</v>
      </c>
      <c r="N19" s="270">
        <v>300.04000000000002</v>
      </c>
      <c r="O19" s="16">
        <v>300</v>
      </c>
      <c r="P19" s="15">
        <v>80.78</v>
      </c>
      <c r="Q19" s="16">
        <v>300</v>
      </c>
      <c r="R19" s="16"/>
      <c r="S19" s="16"/>
    </row>
    <row r="20" spans="1:19" hidden="1" x14ac:dyDescent="0.2">
      <c r="A20" s="779">
        <v>5193</v>
      </c>
      <c r="B20" s="12" t="s">
        <v>1046</v>
      </c>
      <c r="C20" s="272"/>
      <c r="D20" s="272"/>
      <c r="E20" s="272"/>
      <c r="F20" s="272"/>
      <c r="G20" s="128"/>
      <c r="H20" s="128"/>
      <c r="I20" s="128">
        <v>5501.21</v>
      </c>
      <c r="J20" s="128"/>
      <c r="K20" s="19"/>
      <c r="L20" s="112"/>
      <c r="M20" s="19"/>
      <c r="N20" s="112"/>
      <c r="O20" s="19"/>
      <c r="P20" s="18"/>
      <c r="Q20" s="19"/>
      <c r="R20" s="19"/>
      <c r="S20" s="19"/>
    </row>
    <row r="21" spans="1:19" ht="13.5" hidden="1" thickBot="1" x14ac:dyDescent="0.25">
      <c r="A21" s="779">
        <v>5194</v>
      </c>
      <c r="B21" s="12" t="s">
        <v>1045</v>
      </c>
      <c r="C21" s="272"/>
      <c r="D21" s="272"/>
      <c r="E21" s="272"/>
      <c r="F21" s="272"/>
      <c r="G21" s="271"/>
      <c r="H21" s="271"/>
      <c r="I21" s="271">
        <v>1833.74</v>
      </c>
      <c r="J21" s="271"/>
      <c r="K21" s="38"/>
      <c r="L21" s="271"/>
      <c r="M21" s="38"/>
      <c r="N21" s="271"/>
      <c r="O21" s="38"/>
      <c r="P21" s="37"/>
      <c r="Q21" s="38"/>
      <c r="R21" s="38"/>
      <c r="S21" s="38"/>
    </row>
    <row r="22" spans="1:19" x14ac:dyDescent="0.2">
      <c r="A22" s="779"/>
      <c r="B22" s="17" t="s">
        <v>828</v>
      </c>
      <c r="C22" s="18">
        <f>SUM(C9:C19)</f>
        <v>93307.23</v>
      </c>
      <c r="D22" s="18">
        <f>SUM(D9:D19)</f>
        <v>106867.76</v>
      </c>
      <c r="E22" s="18">
        <f>SUM(E9:E19)</f>
        <v>103582.21999999999</v>
      </c>
      <c r="F22" s="18">
        <f>SUM(F9:F19)</f>
        <v>118618.74</v>
      </c>
      <c r="G22" s="18">
        <f t="shared" ref="G22:Q22" si="0">SUM(G9:G21)</f>
        <v>120819.32999999999</v>
      </c>
      <c r="H22" s="18">
        <f t="shared" si="0"/>
        <v>124397.49</v>
      </c>
      <c r="I22" s="112">
        <f t="shared" si="0"/>
        <v>116579.92000000001</v>
      </c>
      <c r="J22" s="112">
        <f t="shared" si="0"/>
        <v>104915.61</v>
      </c>
      <c r="K22" s="227">
        <f t="shared" si="0"/>
        <v>113951</v>
      </c>
      <c r="L22" s="112">
        <f t="shared" si="0"/>
        <v>113977.94</v>
      </c>
      <c r="M22" s="227">
        <f t="shared" si="0"/>
        <v>117527</v>
      </c>
      <c r="N22" s="112">
        <f t="shared" si="0"/>
        <v>117709.87999999999</v>
      </c>
      <c r="O22" s="227">
        <f t="shared" ref="O22" si="1">SUM(O9:O21)</f>
        <v>120896</v>
      </c>
      <c r="P22" s="18">
        <f t="shared" si="0"/>
        <v>46935.46</v>
      </c>
      <c r="Q22" s="227">
        <f t="shared" si="0"/>
        <v>128454</v>
      </c>
      <c r="R22" s="227">
        <f t="shared" ref="R22" si="2">SUM(R9:R21)</f>
        <v>0</v>
      </c>
      <c r="S22" s="227"/>
    </row>
    <row r="23" spans="1:19" x14ac:dyDescent="0.2">
      <c r="A23" s="779"/>
      <c r="B23" s="12"/>
      <c r="C23" s="13"/>
      <c r="D23" s="13"/>
      <c r="E23" s="13"/>
      <c r="F23" s="13"/>
      <c r="G23" s="13"/>
      <c r="H23" s="13"/>
      <c r="I23" s="128"/>
      <c r="J23" s="128"/>
      <c r="K23" s="14"/>
      <c r="L23" s="128"/>
      <c r="M23" s="14"/>
      <c r="N23" s="128"/>
      <c r="O23" s="14"/>
      <c r="P23" s="13"/>
      <c r="Q23" s="14"/>
      <c r="R23" s="14"/>
      <c r="S23" s="14"/>
    </row>
    <row r="24" spans="1:19" x14ac:dyDescent="0.2">
      <c r="A24" s="779">
        <v>5310</v>
      </c>
      <c r="B24" s="12" t="s">
        <v>1428</v>
      </c>
      <c r="C24" s="13"/>
      <c r="D24" s="13"/>
      <c r="E24" s="13"/>
      <c r="F24" s="13"/>
      <c r="G24" s="13"/>
      <c r="H24" s="13"/>
      <c r="I24" s="128"/>
      <c r="J24" s="128"/>
      <c r="K24" s="14"/>
      <c r="L24" s="128"/>
      <c r="M24" s="14"/>
      <c r="N24" s="128">
        <v>194</v>
      </c>
      <c r="O24" s="14"/>
      <c r="P24" s="13"/>
      <c r="Q24" s="14"/>
      <c r="R24" s="14"/>
      <c r="S24" s="14"/>
    </row>
    <row r="25" spans="1:19" x14ac:dyDescent="0.2">
      <c r="A25" s="779">
        <v>5314</v>
      </c>
      <c r="B25" s="12" t="s">
        <v>860</v>
      </c>
      <c r="C25" s="13">
        <v>844</v>
      </c>
      <c r="D25" s="13">
        <v>760</v>
      </c>
      <c r="E25" s="13">
        <v>560</v>
      </c>
      <c r="F25" s="13">
        <v>1125</v>
      </c>
      <c r="G25" s="13">
        <v>1119.97</v>
      </c>
      <c r="H25" s="13">
        <v>1506.34</v>
      </c>
      <c r="I25" s="128">
        <v>790</v>
      </c>
      <c r="J25" s="128"/>
      <c r="K25" s="14">
        <v>1500</v>
      </c>
      <c r="L25" s="128"/>
      <c r="M25" s="14">
        <v>1500</v>
      </c>
      <c r="N25" s="128"/>
      <c r="O25" s="14">
        <v>1500</v>
      </c>
      <c r="P25" s="13"/>
      <c r="Q25" s="14">
        <v>1500</v>
      </c>
      <c r="R25" s="14"/>
      <c r="S25" s="14"/>
    </row>
    <row r="26" spans="1:19" x14ac:dyDescent="0.2">
      <c r="A26" s="779">
        <v>5315</v>
      </c>
      <c r="B26" s="12" t="s">
        <v>1429</v>
      </c>
      <c r="C26" s="13">
        <v>8934.75</v>
      </c>
      <c r="D26" s="13">
        <v>7969.5</v>
      </c>
      <c r="E26" s="13">
        <v>3688.75</v>
      </c>
      <c r="F26" s="13">
        <v>2507.9499999999998</v>
      </c>
      <c r="G26" s="13">
        <v>341.25</v>
      </c>
      <c r="H26" s="13">
        <v>963.75</v>
      </c>
      <c r="I26" s="128">
        <v>580</v>
      </c>
      <c r="J26" s="128">
        <v>4798.75</v>
      </c>
      <c r="K26" s="14">
        <v>9800</v>
      </c>
      <c r="L26" s="128">
        <v>9500</v>
      </c>
      <c r="M26" s="14">
        <v>28600</v>
      </c>
      <c r="N26" s="128">
        <v>28600</v>
      </c>
      <c r="O26" s="14">
        <v>28600</v>
      </c>
      <c r="P26" s="13">
        <v>10395</v>
      </c>
      <c r="Q26" s="14">
        <v>28600</v>
      </c>
      <c r="R26" s="14"/>
      <c r="S26" s="152"/>
    </row>
    <row r="27" spans="1:19" x14ac:dyDescent="0.2">
      <c r="A27" s="779">
        <v>5341</v>
      </c>
      <c r="B27" s="12" t="s">
        <v>1430</v>
      </c>
      <c r="C27" s="13">
        <v>618.01</v>
      </c>
      <c r="D27" s="13">
        <v>604.71</v>
      </c>
      <c r="E27" s="13">
        <v>786.39</v>
      </c>
      <c r="F27" s="13">
        <v>623.08000000000004</v>
      </c>
      <c r="G27" s="13">
        <v>895.98</v>
      </c>
      <c r="H27" s="13"/>
      <c r="I27" s="128">
        <v>399.92</v>
      </c>
      <c r="J27" s="128">
        <v>959.84</v>
      </c>
      <c r="K27" s="14">
        <v>1440</v>
      </c>
      <c r="L27" s="128">
        <v>1010.08</v>
      </c>
      <c r="M27" s="14">
        <v>1440</v>
      </c>
      <c r="N27" s="128">
        <v>959.77</v>
      </c>
      <c r="O27" s="14">
        <v>1440</v>
      </c>
      <c r="P27" s="13">
        <v>240</v>
      </c>
      <c r="Q27" s="14">
        <v>1440</v>
      </c>
      <c r="R27" s="14"/>
      <c r="S27" s="14"/>
    </row>
    <row r="28" spans="1:19" x14ac:dyDescent="0.2">
      <c r="A28" s="779">
        <v>5344</v>
      </c>
      <c r="B28" s="12" t="s">
        <v>832</v>
      </c>
      <c r="C28" s="13">
        <v>372.41</v>
      </c>
      <c r="D28" s="13">
        <v>723.38</v>
      </c>
      <c r="E28" s="13">
        <v>1380.06</v>
      </c>
      <c r="F28" s="13">
        <v>479.67</v>
      </c>
      <c r="G28" s="13">
        <v>1425.09</v>
      </c>
      <c r="H28" s="13">
        <v>391.82</v>
      </c>
      <c r="I28" s="128">
        <v>769.29</v>
      </c>
      <c r="J28" s="128">
        <v>145.44999999999999</v>
      </c>
      <c r="K28" s="14">
        <v>800</v>
      </c>
      <c r="L28" s="128">
        <v>96.53</v>
      </c>
      <c r="M28" s="14">
        <v>800</v>
      </c>
      <c r="N28" s="128">
        <v>1177.94</v>
      </c>
      <c r="O28" s="14">
        <v>800</v>
      </c>
      <c r="P28" s="13">
        <v>546.65</v>
      </c>
      <c r="Q28" s="14">
        <v>1250</v>
      </c>
      <c r="R28" s="14"/>
      <c r="S28" s="14"/>
    </row>
    <row r="29" spans="1:19" x14ac:dyDescent="0.2">
      <c r="A29" s="779">
        <v>5345</v>
      </c>
      <c r="B29" s="12" t="s">
        <v>863</v>
      </c>
      <c r="C29" s="13">
        <v>377.02</v>
      </c>
      <c r="D29" s="13">
        <v>0</v>
      </c>
      <c r="E29" s="13">
        <v>843.5</v>
      </c>
      <c r="F29" s="13"/>
      <c r="G29" s="13">
        <v>439.09</v>
      </c>
      <c r="H29" s="13"/>
      <c r="I29" s="128">
        <v>2118.41</v>
      </c>
      <c r="J29" s="128">
        <v>56</v>
      </c>
      <c r="K29" s="14">
        <v>200</v>
      </c>
      <c r="L29" s="128"/>
      <c r="M29" s="14">
        <v>200</v>
      </c>
      <c r="N29" s="128">
        <v>532.77</v>
      </c>
      <c r="O29" s="14">
        <v>200</v>
      </c>
      <c r="P29" s="13">
        <v>1195</v>
      </c>
      <c r="Q29" s="14">
        <v>300</v>
      </c>
      <c r="R29" s="14"/>
      <c r="S29" s="14"/>
    </row>
    <row r="30" spans="1:19" x14ac:dyDescent="0.2">
      <c r="A30" s="779">
        <v>5350</v>
      </c>
      <c r="B30" s="12" t="s">
        <v>1431</v>
      </c>
      <c r="C30" s="13"/>
      <c r="D30" s="13"/>
      <c r="E30" s="13"/>
      <c r="F30" s="13"/>
      <c r="G30" s="13"/>
      <c r="H30" s="13"/>
      <c r="I30" s="128"/>
      <c r="J30" s="128">
        <v>4500</v>
      </c>
      <c r="K30" s="14">
        <v>3000</v>
      </c>
      <c r="L30" s="128">
        <v>3000</v>
      </c>
      <c r="M30" s="14">
        <v>3000</v>
      </c>
      <c r="N30" s="128">
        <v>3000</v>
      </c>
      <c r="O30" s="14">
        <v>3000</v>
      </c>
      <c r="P30" s="13">
        <v>3000</v>
      </c>
      <c r="Q30" s="14">
        <v>3000</v>
      </c>
      <c r="R30" s="14"/>
      <c r="S30" s="14"/>
    </row>
    <row r="31" spans="1:19" x14ac:dyDescent="0.2">
      <c r="A31" s="779">
        <v>5380</v>
      </c>
      <c r="B31" s="12" t="s">
        <v>1432</v>
      </c>
      <c r="C31" s="13">
        <v>614.07000000000005</v>
      </c>
      <c r="D31" s="13">
        <v>674.22</v>
      </c>
      <c r="E31" s="13">
        <v>1414.08</v>
      </c>
      <c r="F31" s="13">
        <v>540</v>
      </c>
      <c r="G31" s="13">
        <v>179.31</v>
      </c>
      <c r="H31" s="13">
        <v>159.19999999999999</v>
      </c>
      <c r="I31" s="128">
        <v>1231.8499999999999</v>
      </c>
      <c r="J31" s="128">
        <v>149.94</v>
      </c>
      <c r="K31" s="14">
        <v>500</v>
      </c>
      <c r="L31" s="128"/>
      <c r="M31" s="14">
        <v>500</v>
      </c>
      <c r="N31" s="128"/>
      <c r="O31" s="14">
        <v>500</v>
      </c>
      <c r="P31" s="13">
        <v>1754.55</v>
      </c>
      <c r="Q31" s="14">
        <v>500</v>
      </c>
      <c r="R31" s="14"/>
      <c r="S31" s="14"/>
    </row>
    <row r="32" spans="1:19" x14ac:dyDescent="0.2">
      <c r="A32" s="779">
        <v>5420</v>
      </c>
      <c r="B32" s="12" t="s">
        <v>864</v>
      </c>
      <c r="C32" s="18">
        <v>1921.7</v>
      </c>
      <c r="D32" s="18">
        <v>2106.65</v>
      </c>
      <c r="E32" s="18">
        <v>5741.26</v>
      </c>
      <c r="F32" s="18">
        <v>4145.3999999999996</v>
      </c>
      <c r="G32" s="18">
        <v>1317.31</v>
      </c>
      <c r="H32" s="18">
        <v>2420.1</v>
      </c>
      <c r="I32" s="112">
        <v>4880.9799999999996</v>
      </c>
      <c r="J32" s="112">
        <v>4275.57</v>
      </c>
      <c r="K32" s="19">
        <v>1500</v>
      </c>
      <c r="L32" s="112">
        <v>2550.5700000000002</v>
      </c>
      <c r="M32" s="19">
        <v>1500</v>
      </c>
      <c r="N32" s="112">
        <v>2525.37</v>
      </c>
      <c r="O32" s="19">
        <v>3000</v>
      </c>
      <c r="P32" s="18">
        <v>812.01</v>
      </c>
      <c r="Q32" s="19">
        <v>4500</v>
      </c>
      <c r="R32" s="19"/>
      <c r="S32" s="19"/>
    </row>
    <row r="33" spans="1:23" x14ac:dyDescent="0.2">
      <c r="A33" s="779">
        <v>5500</v>
      </c>
      <c r="B33" s="60" t="s">
        <v>1312</v>
      </c>
      <c r="C33" s="13"/>
      <c r="D33" s="13">
        <v>120.28</v>
      </c>
      <c r="E33" s="13">
        <v>12.41</v>
      </c>
      <c r="F33" s="13">
        <v>383.38</v>
      </c>
      <c r="G33" s="13"/>
      <c r="H33" s="13"/>
      <c r="I33" s="128"/>
      <c r="J33" s="128">
        <v>853.32</v>
      </c>
      <c r="K33" s="14"/>
      <c r="L33" s="128">
        <v>1191.97</v>
      </c>
      <c r="M33" s="14">
        <v>2000</v>
      </c>
      <c r="N33" s="128">
        <v>1394.27</v>
      </c>
      <c r="O33" s="14">
        <v>2000</v>
      </c>
      <c r="P33" s="13"/>
      <c r="Q33" s="14">
        <v>2000</v>
      </c>
      <c r="R33" s="14"/>
      <c r="S33" s="14"/>
    </row>
    <row r="34" spans="1:23" x14ac:dyDescent="0.2">
      <c r="A34" s="779">
        <v>5580</v>
      </c>
      <c r="B34" s="12" t="s">
        <v>1169</v>
      </c>
      <c r="C34" s="13"/>
      <c r="D34" s="13"/>
      <c r="E34" s="13"/>
      <c r="F34" s="13"/>
      <c r="G34" s="13"/>
      <c r="H34" s="13"/>
      <c r="I34" s="128"/>
      <c r="J34" s="128"/>
      <c r="K34" s="14"/>
      <c r="L34" s="128"/>
      <c r="M34" s="14"/>
      <c r="N34" s="128">
        <v>2094.96</v>
      </c>
      <c r="O34" s="14"/>
      <c r="P34" s="13"/>
      <c r="Q34" s="14"/>
      <c r="R34" s="14"/>
      <c r="S34" s="14"/>
    </row>
    <row r="35" spans="1:23" x14ac:dyDescent="0.2">
      <c r="A35" s="779">
        <v>5581</v>
      </c>
      <c r="B35" s="12" t="s">
        <v>866</v>
      </c>
      <c r="C35" s="13">
        <v>200</v>
      </c>
      <c r="D35" s="13">
        <v>0</v>
      </c>
      <c r="E35" s="13"/>
      <c r="F35" s="13">
        <v>48.12</v>
      </c>
      <c r="G35" s="13">
        <v>152.79</v>
      </c>
      <c r="H35" s="13">
        <v>164.8</v>
      </c>
      <c r="I35" s="128">
        <v>290.49</v>
      </c>
      <c r="J35" s="128">
        <v>30</v>
      </c>
      <c r="K35" s="14">
        <v>300</v>
      </c>
      <c r="L35" s="128"/>
      <c r="M35" s="14">
        <v>300</v>
      </c>
      <c r="N35" s="112"/>
      <c r="O35" s="14">
        <v>300</v>
      </c>
      <c r="P35" s="13">
        <v>218.71</v>
      </c>
      <c r="Q35" s="14">
        <v>300</v>
      </c>
      <c r="R35" s="14"/>
      <c r="S35" s="14"/>
    </row>
    <row r="36" spans="1:23" x14ac:dyDescent="0.2">
      <c r="A36" s="779">
        <v>5710</v>
      </c>
      <c r="B36" s="12" t="s">
        <v>869</v>
      </c>
      <c r="C36" s="18">
        <v>1714.45</v>
      </c>
      <c r="D36" s="112">
        <v>899.49</v>
      </c>
      <c r="E36" s="112">
        <v>890.73</v>
      </c>
      <c r="F36" s="112">
        <v>2206.71</v>
      </c>
      <c r="G36" s="112">
        <v>1579.11</v>
      </c>
      <c r="H36" s="112">
        <v>1602.4</v>
      </c>
      <c r="I36" s="112">
        <v>1504.18</v>
      </c>
      <c r="J36" s="112">
        <v>1672.64</v>
      </c>
      <c r="K36" s="19">
        <v>2357</v>
      </c>
      <c r="L36" s="112">
        <v>1790.04</v>
      </c>
      <c r="M36" s="19">
        <v>2357</v>
      </c>
      <c r="N36" s="112">
        <v>2540.2800000000002</v>
      </c>
      <c r="O36" s="19">
        <v>2357</v>
      </c>
      <c r="P36" s="18">
        <v>728.31</v>
      </c>
      <c r="Q36" s="19">
        <v>3000</v>
      </c>
      <c r="R36" s="19"/>
      <c r="S36" s="19"/>
    </row>
    <row r="37" spans="1:23" hidden="1" x14ac:dyDescent="0.2">
      <c r="A37" s="779"/>
      <c r="B37" s="12" t="s">
        <v>1172</v>
      </c>
      <c r="C37" s="28"/>
      <c r="D37" s="272"/>
      <c r="E37" s="272"/>
      <c r="F37" s="272"/>
      <c r="G37" s="272"/>
      <c r="H37" s="272"/>
      <c r="I37" s="272"/>
      <c r="J37" s="272"/>
      <c r="K37" s="29"/>
      <c r="L37" s="272">
        <v>2544.12</v>
      </c>
      <c r="M37" s="29"/>
      <c r="N37" s="128"/>
      <c r="O37" s="29"/>
      <c r="P37" s="28"/>
      <c r="Q37" s="29"/>
      <c r="R37" s="29"/>
      <c r="S37" s="29"/>
    </row>
    <row r="38" spans="1:23" ht="13.5" thickBot="1" x14ac:dyDescent="0.25">
      <c r="A38" s="779">
        <v>5730</v>
      </c>
      <c r="B38" s="12" t="s">
        <v>870</v>
      </c>
      <c r="C38" s="15">
        <v>355</v>
      </c>
      <c r="D38" s="15">
        <v>260</v>
      </c>
      <c r="E38" s="15">
        <v>210</v>
      </c>
      <c r="F38" s="15">
        <v>504</v>
      </c>
      <c r="G38" s="15">
        <v>559</v>
      </c>
      <c r="H38" s="15">
        <v>584</v>
      </c>
      <c r="I38" s="270">
        <v>259</v>
      </c>
      <c r="J38" s="270">
        <v>155</v>
      </c>
      <c r="K38" s="16">
        <v>600</v>
      </c>
      <c r="L38" s="270">
        <v>160</v>
      </c>
      <c r="M38" s="16">
        <v>600</v>
      </c>
      <c r="N38" s="271">
        <v>100</v>
      </c>
      <c r="O38" s="16">
        <v>600</v>
      </c>
      <c r="P38" s="15"/>
      <c r="Q38" s="16">
        <v>600</v>
      </c>
      <c r="R38" s="16"/>
      <c r="S38" s="16"/>
    </row>
    <row r="39" spans="1:23" x14ac:dyDescent="0.2">
      <c r="A39" s="779"/>
      <c r="B39" s="17" t="s">
        <v>1433</v>
      </c>
      <c r="C39" s="18">
        <f t="shared" ref="C39:I39" si="3">SUM(C25:C38)</f>
        <v>15951.410000000002</v>
      </c>
      <c r="D39" s="18">
        <f t="shared" si="3"/>
        <v>14118.229999999998</v>
      </c>
      <c r="E39" s="18">
        <f t="shared" si="3"/>
        <v>15527.18</v>
      </c>
      <c r="F39" s="18">
        <f t="shared" si="3"/>
        <v>12563.309999999998</v>
      </c>
      <c r="G39" s="18">
        <f t="shared" si="3"/>
        <v>8008.9</v>
      </c>
      <c r="H39" s="18">
        <f t="shared" si="3"/>
        <v>7792.41</v>
      </c>
      <c r="I39" s="18">
        <f t="shared" si="3"/>
        <v>12824.119999999999</v>
      </c>
      <c r="J39" s="18">
        <f t="shared" ref="J39" si="4">SUM(J25:J38)</f>
        <v>17596.510000000002</v>
      </c>
      <c r="K39" s="19">
        <f>SUM(K25:K38)</f>
        <v>21997</v>
      </c>
      <c r="L39" s="18">
        <f>SUM(L25:L38)</f>
        <v>21843.31</v>
      </c>
      <c r="M39" s="19">
        <f>SUM(M25:M38)</f>
        <v>42797</v>
      </c>
      <c r="N39" s="18">
        <f>SUM(N24:N38)</f>
        <v>43119.359999999993</v>
      </c>
      <c r="O39" s="19">
        <f>SUM(O24:O38)</f>
        <v>44297</v>
      </c>
      <c r="P39" s="19">
        <f t="shared" ref="P39:Q39" si="5">SUM(P24:P38)</f>
        <v>18890.23</v>
      </c>
      <c r="Q39" s="19">
        <f t="shared" si="5"/>
        <v>46990</v>
      </c>
      <c r="R39" s="19">
        <f>SUM(R25:R38)</f>
        <v>0</v>
      </c>
      <c r="S39" s="19">
        <f>SUM(S25:S38)</f>
        <v>0</v>
      </c>
    </row>
    <row r="40" spans="1:23" x14ac:dyDescent="0.2">
      <c r="A40" s="779"/>
      <c r="B40" s="12"/>
      <c r="C40" s="13"/>
      <c r="D40" s="13"/>
      <c r="E40" s="13"/>
      <c r="F40" s="13"/>
      <c r="G40" s="13"/>
      <c r="H40" s="13"/>
      <c r="I40" s="13"/>
      <c r="J40" s="13"/>
      <c r="K40" s="14"/>
      <c r="L40" s="13"/>
      <c r="M40" s="14"/>
      <c r="N40" s="13"/>
      <c r="O40" s="14"/>
      <c r="P40" s="13"/>
      <c r="Q40" s="14"/>
      <c r="R40" s="14"/>
      <c r="S40" s="14"/>
    </row>
    <row r="41" spans="1:23" ht="13.5" thickBot="1" x14ac:dyDescent="0.25">
      <c r="A41" s="780"/>
      <c r="B41" s="20" t="s">
        <v>1434</v>
      </c>
      <c r="C41" s="21">
        <f t="shared" ref="C41:P41" si="6">+C39+C22</f>
        <v>109258.64</v>
      </c>
      <c r="D41" s="21">
        <f t="shared" si="6"/>
        <v>120985.98999999999</v>
      </c>
      <c r="E41" s="21">
        <f t="shared" si="6"/>
        <v>119109.4</v>
      </c>
      <c r="F41" s="21">
        <f>+F39+F22</f>
        <v>131182.04999999999</v>
      </c>
      <c r="G41" s="21">
        <f>+G39+G22</f>
        <v>128828.22999999998</v>
      </c>
      <c r="H41" s="21">
        <f>+H39+H22</f>
        <v>132189.9</v>
      </c>
      <c r="I41" s="21">
        <f t="shared" si="6"/>
        <v>129404.04000000001</v>
      </c>
      <c r="J41" s="21">
        <f t="shared" ref="J41" si="7">+J39+J22</f>
        <v>122512.12</v>
      </c>
      <c r="K41" s="22">
        <f>+K39+K22</f>
        <v>135948</v>
      </c>
      <c r="L41" s="21">
        <f t="shared" ref="L41:O41" si="8">+L39+L22</f>
        <v>135821.25</v>
      </c>
      <c r="M41" s="22">
        <f t="shared" si="8"/>
        <v>160324</v>
      </c>
      <c r="N41" s="21">
        <f t="shared" ref="N41" si="9">+N39+N22</f>
        <v>160829.24</v>
      </c>
      <c r="O41" s="22">
        <f t="shared" si="8"/>
        <v>165193</v>
      </c>
      <c r="P41" s="21">
        <f t="shared" si="6"/>
        <v>65825.69</v>
      </c>
      <c r="Q41" s="22">
        <f>+Q39+Q22</f>
        <v>175444</v>
      </c>
      <c r="R41" s="22">
        <f>+Q41</f>
        <v>175444</v>
      </c>
      <c r="S41" s="22">
        <f>+Q41</f>
        <v>175444</v>
      </c>
    </row>
    <row r="42" spans="1:23" ht="13.5" thickTop="1" x14ac:dyDescent="0.2">
      <c r="A42" s="774"/>
      <c r="B42" s="4"/>
      <c r="C42" s="23"/>
      <c r="D42" s="23"/>
      <c r="E42" s="23"/>
      <c r="F42" s="23"/>
      <c r="G42" s="23"/>
      <c r="H42" s="23"/>
      <c r="I42" s="23"/>
      <c r="J42" s="23"/>
      <c r="K42" s="23"/>
      <c r="L42" s="23"/>
      <c r="M42" s="23"/>
      <c r="N42" s="23"/>
      <c r="O42" s="23"/>
      <c r="P42" s="199" t="s">
        <v>843</v>
      </c>
      <c r="Q42" s="1116">
        <f>+Q41-O41</f>
        <v>10251</v>
      </c>
      <c r="R42" s="1117">
        <f>ROUND((+Q42/O41),4)</f>
        <v>6.2100000000000002E-2</v>
      </c>
      <c r="S42" s="73"/>
      <c r="T42" s="23"/>
      <c r="U42" s="25"/>
      <c r="V42" s="199"/>
      <c r="W42" s="25"/>
    </row>
    <row r="43" spans="1:23" x14ac:dyDescent="0.2">
      <c r="A43" s="63"/>
      <c r="B43" s="4"/>
      <c r="C43" s="23"/>
      <c r="D43" s="23"/>
      <c r="E43" s="23"/>
      <c r="F43" s="23"/>
      <c r="G43" s="23"/>
      <c r="H43" s="23"/>
      <c r="I43" s="23"/>
      <c r="J43" s="23"/>
      <c r="K43" s="23"/>
      <c r="L43" s="23"/>
      <c r="M43" s="23"/>
      <c r="N43" s="23"/>
      <c r="O43" s="23"/>
      <c r="P43" s="25"/>
      <c r="Q43" s="23"/>
      <c r="R43" s="23"/>
      <c r="S43" s="73"/>
      <c r="T43" s="23"/>
      <c r="U43" s="25"/>
      <c r="V43" s="199"/>
      <c r="W43" s="25"/>
    </row>
    <row r="44" spans="1:23" x14ac:dyDescent="0.2">
      <c r="A44" s="63"/>
      <c r="B44" s="4"/>
      <c r="C44" s="23"/>
      <c r="D44" s="23"/>
      <c r="E44" s="23"/>
      <c r="F44" s="23"/>
      <c r="G44" s="23"/>
      <c r="H44" s="23"/>
      <c r="I44" s="23"/>
      <c r="J44" s="23"/>
      <c r="K44" s="23"/>
      <c r="L44" s="23"/>
      <c r="M44" s="23"/>
      <c r="N44" s="23"/>
      <c r="O44" s="23"/>
      <c r="P44" s="25"/>
      <c r="Q44" s="23"/>
      <c r="R44" s="23"/>
      <c r="S44" s="73"/>
      <c r="T44" s="23"/>
      <c r="U44" s="25"/>
      <c r="V44" s="199"/>
      <c r="W44" s="25"/>
    </row>
    <row r="45" spans="1:23" x14ac:dyDescent="0.2">
      <c r="A45" s="774"/>
      <c r="B45" s="4"/>
      <c r="C45" s="23"/>
      <c r="D45" s="23"/>
      <c r="E45" s="23"/>
      <c r="F45" s="23"/>
      <c r="G45" s="23"/>
      <c r="H45" s="23"/>
      <c r="I45" s="23"/>
      <c r="J45" s="23"/>
      <c r="K45" s="23"/>
      <c r="L45" s="23"/>
      <c r="M45" s="23"/>
      <c r="N45" s="23"/>
      <c r="O45" s="23"/>
      <c r="P45" s="25"/>
      <c r="Q45" s="97"/>
      <c r="R45" s="97"/>
      <c r="S45" s="73"/>
      <c r="T45" s="25"/>
      <c r="U45" s="25"/>
      <c r="V45" s="199"/>
      <c r="W45" s="25"/>
    </row>
    <row r="46" spans="1:23" ht="13.5" thickBot="1" x14ac:dyDescent="0.25">
      <c r="A46" s="774" t="s">
        <v>911</v>
      </c>
      <c r="B46" s="4"/>
      <c r="D46" s="212"/>
      <c r="E46" s="212"/>
      <c r="F46" s="212"/>
      <c r="G46" s="212"/>
      <c r="H46" s="212"/>
      <c r="I46" s="212"/>
      <c r="J46" s="212"/>
      <c r="K46" s="212"/>
      <c r="L46" s="212"/>
      <c r="M46" s="212"/>
      <c r="N46" s="212"/>
      <c r="O46" s="212"/>
    </row>
    <row r="47" spans="1:23" ht="13.5" thickTop="1" x14ac:dyDescent="0.2">
      <c r="A47" s="781" t="s">
        <v>872</v>
      </c>
      <c r="B47" s="99"/>
      <c r="D47" s="212"/>
      <c r="E47" s="212"/>
      <c r="F47" s="212"/>
      <c r="G47" s="212"/>
      <c r="H47" s="212"/>
      <c r="I47" s="212"/>
      <c r="J47" s="212"/>
      <c r="K47" s="212"/>
      <c r="L47" s="212"/>
      <c r="M47" s="131" t="s">
        <v>873</v>
      </c>
      <c r="N47" s="138" t="s">
        <v>874</v>
      </c>
      <c r="O47" s="150"/>
      <c r="P47" s="140" t="s">
        <v>875</v>
      </c>
      <c r="Q47"/>
      <c r="R47"/>
      <c r="S47" s="205" t="s">
        <v>876</v>
      </c>
      <c r="T47"/>
      <c r="U47" s="1"/>
    </row>
    <row r="48" spans="1:23" ht="13.5" thickBot="1" x14ac:dyDescent="0.25">
      <c r="A48" s="782" t="s">
        <v>877</v>
      </c>
      <c r="B48" s="101" t="s">
        <v>878</v>
      </c>
      <c r="D48" s="212"/>
      <c r="E48" s="212"/>
      <c r="F48" s="212"/>
      <c r="G48" s="212"/>
      <c r="H48" s="212"/>
      <c r="I48" s="212"/>
      <c r="J48" s="212"/>
      <c r="K48" s="212"/>
      <c r="L48" s="212"/>
      <c r="M48" s="287">
        <v>45108</v>
      </c>
      <c r="N48" s="141" t="s">
        <v>879</v>
      </c>
      <c r="O48" s="142" t="s">
        <v>954</v>
      </c>
      <c r="P48" s="142" t="s">
        <v>881</v>
      </c>
      <c r="Q48" s="107" t="s">
        <v>882</v>
      </c>
      <c r="R48" s="107"/>
      <c r="S48" s="107" t="s">
        <v>571</v>
      </c>
      <c r="T48" s="107" t="s">
        <v>883</v>
      </c>
      <c r="U48" s="1"/>
    </row>
    <row r="49" spans="1:23" ht="13.5" thickTop="1" x14ac:dyDescent="0.2">
      <c r="A49" s="153"/>
      <c r="B49" s="102" t="s">
        <v>1435</v>
      </c>
      <c r="D49" s="212"/>
      <c r="E49" s="212"/>
      <c r="F49" s="212"/>
      <c r="G49" s="212"/>
      <c r="H49" s="212"/>
      <c r="I49" s="212"/>
      <c r="J49" s="212"/>
      <c r="K49" s="212"/>
      <c r="L49" s="212"/>
      <c r="M49" s="1063" t="s">
        <v>1436</v>
      </c>
      <c r="N49" s="137"/>
      <c r="O49" s="18"/>
      <c r="P49" s="137">
        <f>+'NAGE &amp; Non-Union Wages'!J10</f>
        <v>76884</v>
      </c>
      <c r="Q49" s="153"/>
      <c r="R49" s="153"/>
      <c r="S49" s="783"/>
      <c r="T49" s="2"/>
      <c r="U49" s="1"/>
    </row>
    <row r="50" spans="1:23" x14ac:dyDescent="0.2">
      <c r="A50" s="153">
        <v>40546</v>
      </c>
      <c r="B50" s="60" t="s">
        <v>1437</v>
      </c>
      <c r="D50" s="212"/>
      <c r="E50" s="212"/>
      <c r="F50" s="212"/>
      <c r="G50" s="212"/>
      <c r="H50" s="212"/>
      <c r="I50" s="212"/>
      <c r="J50" s="212"/>
      <c r="K50" s="212"/>
      <c r="L50" s="212"/>
      <c r="M50" s="14" t="s">
        <v>990</v>
      </c>
      <c r="N50" s="148">
        <f>+'NAGE &amp; Non-Union Wages'!L5</f>
        <v>23.72</v>
      </c>
      <c r="O50" s="18">
        <f>+'To Do and Changes'!E22</f>
        <v>1820</v>
      </c>
      <c r="P50" s="137">
        <f>ROUND((+N50*O50),2)</f>
        <v>43170.400000000001</v>
      </c>
      <c r="Q50" s="153">
        <v>40546</v>
      </c>
      <c r="R50" s="153"/>
      <c r="S50" s="783">
        <v>12</v>
      </c>
      <c r="T50" s="2">
        <v>500</v>
      </c>
      <c r="U50" s="212"/>
    </row>
    <row r="51" spans="1:23" x14ac:dyDescent="0.2">
      <c r="A51" s="774"/>
      <c r="B51" s="489"/>
      <c r="D51" s="212"/>
      <c r="E51" s="212"/>
      <c r="F51" s="212"/>
      <c r="G51" s="212"/>
      <c r="H51" s="212"/>
      <c r="I51" s="212"/>
      <c r="J51" s="212"/>
      <c r="K51" s="212"/>
      <c r="L51" s="212"/>
      <c r="M51" s="218"/>
      <c r="N51" s="35"/>
      <c r="O51" s="18"/>
      <c r="P51" s="137"/>
      <c r="Q51" s="54"/>
      <c r="R51" s="54"/>
      <c r="S51" s="25"/>
      <c r="T51" s="2"/>
      <c r="U51" s="1"/>
    </row>
    <row r="52" spans="1:23" x14ac:dyDescent="0.2">
      <c r="A52" s="774"/>
      <c r="B52" s="4"/>
      <c r="C52" s="23"/>
      <c r="D52" s="23"/>
      <c r="E52" s="23"/>
      <c r="F52" s="212"/>
      <c r="G52" s="212"/>
      <c r="H52" s="212"/>
      <c r="I52" s="23"/>
      <c r="J52" s="23"/>
      <c r="K52" s="212"/>
      <c r="L52" s="212"/>
      <c r="M52" s="23"/>
      <c r="N52" s="23"/>
      <c r="O52" s="23"/>
      <c r="P52" s="25"/>
      <c r="Q52" s="23"/>
      <c r="R52" s="23"/>
      <c r="S52" s="23"/>
      <c r="T52" s="23"/>
      <c r="U52" s="25"/>
      <c r="V52" s="25"/>
      <c r="W52" s="25"/>
    </row>
    <row r="53" spans="1:23" x14ac:dyDescent="0.2">
      <c r="A53" s="774"/>
      <c r="B53" s="4"/>
      <c r="C53" s="23"/>
      <c r="D53" s="23"/>
      <c r="E53" s="23"/>
      <c r="F53" s="212"/>
      <c r="G53" s="212"/>
      <c r="H53" s="212"/>
      <c r="I53" s="23"/>
      <c r="J53" s="23"/>
      <c r="K53" s="212"/>
      <c r="L53" s="212"/>
      <c r="M53" s="23"/>
      <c r="N53" s="23"/>
      <c r="O53" s="23"/>
      <c r="P53" s="25"/>
      <c r="Q53" s="23"/>
      <c r="R53" s="23"/>
      <c r="S53" s="23"/>
      <c r="T53" s="23"/>
      <c r="U53" s="25"/>
      <c r="V53" s="25"/>
      <c r="W53" s="25"/>
    </row>
    <row r="54" spans="1:23" ht="13.5" thickBot="1" x14ac:dyDescent="0.25">
      <c r="A54" s="774"/>
      <c r="B54" s="4"/>
      <c r="C54" s="23"/>
      <c r="D54" s="23"/>
      <c r="E54" s="23"/>
      <c r="F54" s="212"/>
      <c r="G54" s="212"/>
      <c r="H54" s="212"/>
      <c r="I54" s="23"/>
      <c r="J54" s="23"/>
      <c r="K54" s="212"/>
      <c r="L54" s="212"/>
      <c r="M54" s="23"/>
      <c r="N54" s="23"/>
      <c r="O54" s="23"/>
      <c r="P54" s="25"/>
      <c r="Q54" s="23"/>
      <c r="R54" s="23"/>
      <c r="S54" s="23"/>
      <c r="T54" s="23"/>
      <c r="U54" s="25"/>
      <c r="V54" s="25"/>
      <c r="W54" s="25"/>
    </row>
    <row r="55" spans="1:23" ht="13.5" thickTop="1" x14ac:dyDescent="0.2">
      <c r="A55" s="789"/>
      <c r="B55" s="367"/>
      <c r="C55" s="368" t="s">
        <v>280</v>
      </c>
      <c r="D55" s="369" t="s">
        <v>280</v>
      </c>
      <c r="E55" s="369" t="s">
        <v>280</v>
      </c>
      <c r="F55" s="212"/>
      <c r="G55" s="212"/>
      <c r="H55" s="212"/>
      <c r="I55" s="212"/>
      <c r="J55" s="212"/>
      <c r="K55" s="212"/>
      <c r="L55" s="212"/>
      <c r="M55" s="370" t="s">
        <v>279</v>
      </c>
      <c r="N55" s="371" t="s">
        <v>826</v>
      </c>
      <c r="O55" s="372" t="s">
        <v>840</v>
      </c>
      <c r="P55" s="371" t="s">
        <v>841</v>
      </c>
      <c r="Q55" s="373"/>
      <c r="R55" s="569"/>
      <c r="S55" s="372"/>
      <c r="T55" s="23"/>
      <c r="U55" s="25"/>
      <c r="V55" s="25"/>
      <c r="W55" s="25"/>
    </row>
    <row r="56" spans="1:23" ht="13.5" thickBot="1" x14ac:dyDescent="0.25">
      <c r="A56" s="790" t="s">
        <v>825</v>
      </c>
      <c r="B56" s="374"/>
      <c r="C56" s="375" t="s">
        <v>267</v>
      </c>
      <c r="D56" s="375" t="s">
        <v>268</v>
      </c>
      <c r="E56" s="376" t="s">
        <v>269</v>
      </c>
      <c r="F56" s="212"/>
      <c r="G56" s="212"/>
      <c r="H56" s="212"/>
      <c r="I56" s="212"/>
      <c r="J56" s="212"/>
      <c r="K56" s="212"/>
      <c r="L56" s="212"/>
      <c r="M56" s="377" t="s">
        <v>277</v>
      </c>
      <c r="N56" s="377" t="s">
        <v>571</v>
      </c>
      <c r="O56" s="376" t="s">
        <v>843</v>
      </c>
      <c r="P56" s="378" t="s">
        <v>843</v>
      </c>
      <c r="Q56" s="379" t="s">
        <v>844</v>
      </c>
      <c r="R56" s="570"/>
      <c r="S56" s="377"/>
      <c r="T56" s="23"/>
      <c r="U56" s="25"/>
      <c r="V56" s="25"/>
      <c r="W56" s="25"/>
    </row>
    <row r="57" spans="1:23" ht="13.5" thickTop="1" x14ac:dyDescent="0.2">
      <c r="A57" s="794"/>
      <c r="B57" s="401"/>
      <c r="C57" s="402"/>
      <c r="D57" s="403"/>
      <c r="E57" s="403"/>
      <c r="F57" s="212"/>
      <c r="G57" s="212"/>
      <c r="H57" s="212"/>
      <c r="I57" s="212"/>
      <c r="J57" s="212"/>
      <c r="K57" s="212"/>
      <c r="L57" s="212"/>
      <c r="M57" s="404"/>
      <c r="N57" s="383"/>
      <c r="O57" s="414"/>
      <c r="P57" s="392"/>
      <c r="Q57" s="385"/>
      <c r="R57" s="572"/>
      <c r="S57" s="386"/>
      <c r="T57" s="23"/>
      <c r="U57" s="25"/>
      <c r="V57" s="25"/>
      <c r="W57" s="25"/>
    </row>
    <row r="58" spans="1:23" x14ac:dyDescent="0.2">
      <c r="A58" s="795">
        <v>5111</v>
      </c>
      <c r="B58" s="387" t="s">
        <v>1422</v>
      </c>
      <c r="C58" s="391">
        <v>62644</v>
      </c>
      <c r="D58" s="391">
        <f>129+62937</f>
        <v>63066</v>
      </c>
      <c r="E58" s="391">
        <v>64970</v>
      </c>
      <c r="F58" s="212"/>
      <c r="G58" s="212"/>
      <c r="H58" s="212"/>
      <c r="I58" s="212"/>
      <c r="J58" s="212"/>
      <c r="K58" s="212"/>
      <c r="L58" s="212"/>
      <c r="M58" s="390">
        <f>+O9</f>
        <v>112496</v>
      </c>
      <c r="N58" s="411">
        <f>+Q9</f>
        <v>120054</v>
      </c>
      <c r="O58" s="414">
        <f t="shared" ref="O58:O68" si="10">+N58-M58</f>
        <v>7558</v>
      </c>
      <c r="P58" s="392">
        <f t="shared" ref="P58:P69" si="11">IF(M58+N58&lt;&gt;0,IF(M58&lt;&gt;0,IF(O58&lt;&gt;0,ROUND((+O58/M58),4),""),1),"")</f>
        <v>6.7199999999999996E-2</v>
      </c>
      <c r="Q58" s="385"/>
      <c r="R58" s="572"/>
      <c r="S58" s="386"/>
      <c r="T58" s="23"/>
      <c r="U58" s="4"/>
      <c r="V58" s="4"/>
      <c r="W58" s="4"/>
    </row>
    <row r="59" spans="1:23" x14ac:dyDescent="0.2">
      <c r="A59" s="795">
        <v>5113</v>
      </c>
      <c r="B59" s="387" t="s">
        <v>1423</v>
      </c>
      <c r="C59" s="391">
        <v>11965.6</v>
      </c>
      <c r="D59" s="391">
        <v>22300.3</v>
      </c>
      <c r="E59" s="391">
        <v>16105.72</v>
      </c>
      <c r="F59" s="212"/>
      <c r="G59" s="212"/>
      <c r="H59" s="212"/>
      <c r="I59" s="212"/>
      <c r="J59" s="212"/>
      <c r="K59" s="212"/>
      <c r="L59" s="212"/>
      <c r="M59" s="390">
        <f>+O10</f>
        <v>0</v>
      </c>
      <c r="N59" s="411">
        <f>+Q10</f>
        <v>0</v>
      </c>
      <c r="O59" s="414">
        <f t="shared" si="10"/>
        <v>0</v>
      </c>
      <c r="P59" s="392" t="str">
        <f t="shared" si="11"/>
        <v/>
      </c>
      <c r="Q59" s="385"/>
      <c r="R59" s="572"/>
      <c r="S59" s="386"/>
      <c r="T59" s="23"/>
      <c r="U59" s="4"/>
      <c r="V59" s="4"/>
      <c r="W59" s="4"/>
    </row>
    <row r="60" spans="1:23" x14ac:dyDescent="0.2">
      <c r="A60" s="795">
        <v>5114</v>
      </c>
      <c r="B60" s="387" t="s">
        <v>1438</v>
      </c>
      <c r="C60" s="391">
        <v>12727.84</v>
      </c>
      <c r="D60" s="391">
        <v>14529.42</v>
      </c>
      <c r="E60" s="391">
        <v>15036.46</v>
      </c>
      <c r="F60" s="212"/>
      <c r="G60" s="212"/>
      <c r="H60" s="212"/>
      <c r="I60" s="212"/>
      <c r="J60" s="212"/>
      <c r="K60" s="212"/>
      <c r="L60" s="212"/>
      <c r="M60" s="390">
        <f>+O11</f>
        <v>0</v>
      </c>
      <c r="N60" s="411">
        <f>+Q11</f>
        <v>0</v>
      </c>
      <c r="O60" s="414">
        <f t="shared" si="10"/>
        <v>0</v>
      </c>
      <c r="P60" s="392" t="str">
        <f t="shared" si="11"/>
        <v/>
      </c>
      <c r="Q60" s="385"/>
      <c r="R60" s="572"/>
      <c r="S60" s="386"/>
      <c r="T60" s="23"/>
      <c r="U60" s="4"/>
      <c r="V60" s="4"/>
      <c r="W60" s="4"/>
    </row>
    <row r="61" spans="1:23" x14ac:dyDescent="0.2">
      <c r="A61" s="795">
        <v>5116</v>
      </c>
      <c r="B61" s="387" t="s">
        <v>1425</v>
      </c>
      <c r="C61" s="391">
        <v>1500</v>
      </c>
      <c r="D61" s="391">
        <v>1500</v>
      </c>
      <c r="E61" s="391">
        <v>1500</v>
      </c>
      <c r="F61" s="212"/>
      <c r="G61" s="212"/>
      <c r="H61" s="212"/>
      <c r="I61" s="212"/>
      <c r="J61" s="212"/>
      <c r="K61" s="212"/>
      <c r="L61" s="212"/>
      <c r="M61" s="390">
        <f>+O12</f>
        <v>1575</v>
      </c>
      <c r="N61" s="411">
        <f>+Q12</f>
        <v>1575</v>
      </c>
      <c r="O61" s="414">
        <f t="shared" si="10"/>
        <v>0</v>
      </c>
      <c r="P61" s="392" t="str">
        <f t="shared" si="11"/>
        <v/>
      </c>
      <c r="Q61" s="385"/>
      <c r="R61" s="572"/>
      <c r="S61" s="386"/>
      <c r="T61" s="23"/>
      <c r="U61" s="4"/>
      <c r="V61" s="4"/>
      <c r="W61" s="4"/>
    </row>
    <row r="62" spans="1:23" x14ac:dyDescent="0.2">
      <c r="A62" s="795">
        <v>5117</v>
      </c>
      <c r="B62" s="387" t="s">
        <v>1426</v>
      </c>
      <c r="C62" s="393">
        <v>500</v>
      </c>
      <c r="D62" s="393">
        <v>0</v>
      </c>
      <c r="E62" s="393">
        <v>500</v>
      </c>
      <c r="F62" s="212"/>
      <c r="G62" s="212"/>
      <c r="H62" s="212"/>
      <c r="I62" s="212"/>
      <c r="J62" s="212"/>
      <c r="K62" s="212"/>
      <c r="L62" s="212"/>
      <c r="M62" s="390">
        <f>+O13</f>
        <v>1050</v>
      </c>
      <c r="N62" s="411">
        <f>+Q13</f>
        <v>1050</v>
      </c>
      <c r="O62" s="414">
        <f t="shared" si="10"/>
        <v>0</v>
      </c>
      <c r="P62" s="392" t="str">
        <f t="shared" si="11"/>
        <v/>
      </c>
      <c r="Q62" s="385"/>
      <c r="R62" s="1018"/>
      <c r="S62" s="392"/>
      <c r="T62" s="23"/>
      <c r="U62" s="4"/>
      <c r="V62" s="4"/>
      <c r="W62" s="4"/>
    </row>
    <row r="63" spans="1:23" x14ac:dyDescent="0.2">
      <c r="A63" s="795"/>
      <c r="B63" s="387" t="s">
        <v>939</v>
      </c>
      <c r="C63" s="393">
        <v>1000</v>
      </c>
      <c r="D63" s="393">
        <v>1500</v>
      </c>
      <c r="E63" s="393">
        <v>1500</v>
      </c>
      <c r="F63" s="212"/>
      <c r="G63" s="212"/>
      <c r="H63" s="212"/>
      <c r="I63" s="212"/>
      <c r="J63" s="212"/>
      <c r="K63" s="212"/>
      <c r="L63" s="212"/>
      <c r="M63" s="390">
        <f t="shared" ref="M63:M69" si="12">+O15</f>
        <v>1765</v>
      </c>
      <c r="N63" s="411">
        <f t="shared" ref="N63:N69" si="13">+Q15</f>
        <v>1765</v>
      </c>
      <c r="O63" s="414">
        <f t="shared" si="10"/>
        <v>0</v>
      </c>
      <c r="P63" s="392" t="str">
        <f t="shared" si="11"/>
        <v/>
      </c>
      <c r="Q63" s="385"/>
      <c r="R63" s="1018"/>
      <c r="S63" s="392"/>
      <c r="T63" s="23"/>
      <c r="U63" s="4"/>
      <c r="V63" s="4"/>
      <c r="W63" s="4"/>
    </row>
    <row r="64" spans="1:23" x14ac:dyDescent="0.2">
      <c r="A64" s="795"/>
      <c r="B64" s="387" t="s">
        <v>852</v>
      </c>
      <c r="C64" s="393">
        <v>1000</v>
      </c>
      <c r="D64" s="393">
        <v>1500</v>
      </c>
      <c r="E64" s="393">
        <v>1500</v>
      </c>
      <c r="F64" s="212"/>
      <c r="G64" s="212"/>
      <c r="H64" s="212"/>
      <c r="I64" s="212"/>
      <c r="J64" s="212"/>
      <c r="K64" s="212"/>
      <c r="L64" s="212"/>
      <c r="M64" s="390">
        <f t="shared" si="12"/>
        <v>1605</v>
      </c>
      <c r="N64" s="411">
        <f t="shared" si="13"/>
        <v>1605</v>
      </c>
      <c r="O64" s="414">
        <f t="shared" si="10"/>
        <v>0</v>
      </c>
      <c r="P64" s="392" t="str">
        <f t="shared" si="11"/>
        <v/>
      </c>
      <c r="Q64" s="385"/>
      <c r="R64" s="1018"/>
      <c r="S64" s="392"/>
      <c r="T64" s="23"/>
      <c r="U64" s="4"/>
      <c r="V64" s="4"/>
      <c r="W64" s="4"/>
    </row>
    <row r="65" spans="1:23" x14ac:dyDescent="0.2">
      <c r="A65" s="795">
        <v>5115</v>
      </c>
      <c r="B65" s="387" t="s">
        <v>853</v>
      </c>
      <c r="C65" s="391">
        <v>1000</v>
      </c>
      <c r="D65" s="391">
        <v>1500</v>
      </c>
      <c r="E65" s="391">
        <v>1500</v>
      </c>
      <c r="F65" s="212"/>
      <c r="G65" s="212"/>
      <c r="H65" s="212"/>
      <c r="I65" s="212"/>
      <c r="J65" s="212"/>
      <c r="K65" s="212"/>
      <c r="L65" s="212"/>
      <c r="M65" s="390">
        <f t="shared" si="12"/>
        <v>1605</v>
      </c>
      <c r="N65" s="411">
        <f t="shared" si="13"/>
        <v>1605</v>
      </c>
      <c r="O65" s="414">
        <f t="shared" si="10"/>
        <v>0</v>
      </c>
      <c r="P65" s="392" t="str">
        <f t="shared" si="11"/>
        <v/>
      </c>
      <c r="Q65" s="385"/>
      <c r="R65" s="1018"/>
      <c r="S65" s="392"/>
      <c r="T65" s="23"/>
      <c r="U65" s="4"/>
      <c r="V65" s="4"/>
      <c r="W65" s="4"/>
    </row>
    <row r="66" spans="1:23" x14ac:dyDescent="0.2">
      <c r="A66" s="795">
        <v>5144</v>
      </c>
      <c r="B66" s="387" t="s">
        <v>27</v>
      </c>
      <c r="C66" s="393"/>
      <c r="D66" s="393"/>
      <c r="E66" s="393"/>
      <c r="F66" s="212"/>
      <c r="G66" s="212"/>
      <c r="H66" s="212"/>
      <c r="I66" s="212"/>
      <c r="J66" s="212"/>
      <c r="K66" s="212"/>
      <c r="L66" s="212"/>
      <c r="M66" s="390">
        <f t="shared" si="12"/>
        <v>500</v>
      </c>
      <c r="N66" s="411">
        <f t="shared" si="13"/>
        <v>500</v>
      </c>
      <c r="O66" s="414">
        <f t="shared" si="10"/>
        <v>0</v>
      </c>
      <c r="P66" s="392" t="str">
        <f t="shared" si="11"/>
        <v/>
      </c>
      <c r="Q66" s="385"/>
      <c r="R66" s="572"/>
      <c r="S66" s="386"/>
      <c r="T66" s="23"/>
      <c r="U66" s="4"/>
      <c r="V66" s="4"/>
      <c r="W66" s="4"/>
    </row>
    <row r="67" spans="1:23" ht="13.5" thickBot="1" x14ac:dyDescent="0.25">
      <c r="A67" s="795">
        <v>5145</v>
      </c>
      <c r="B67" s="387" t="s">
        <v>855</v>
      </c>
      <c r="C67" s="389">
        <v>300.04000000000002</v>
      </c>
      <c r="D67" s="389">
        <v>300.04000000000002</v>
      </c>
      <c r="E67" s="389">
        <v>300.04000000000002</v>
      </c>
      <c r="F67" s="212"/>
      <c r="G67" s="212"/>
      <c r="H67" s="212"/>
      <c r="I67" s="212"/>
      <c r="J67" s="212"/>
      <c r="K67" s="212"/>
      <c r="L67" s="212"/>
      <c r="M67" s="390">
        <f t="shared" si="12"/>
        <v>300</v>
      </c>
      <c r="N67" s="411">
        <f t="shared" si="13"/>
        <v>300</v>
      </c>
      <c r="O67" s="414">
        <f t="shared" si="10"/>
        <v>0</v>
      </c>
      <c r="P67" s="392" t="str">
        <f t="shared" si="11"/>
        <v/>
      </c>
      <c r="Q67" s="385"/>
      <c r="R67" s="572"/>
      <c r="S67" s="386"/>
      <c r="T67" s="23"/>
      <c r="U67" s="4"/>
      <c r="V67" s="4"/>
      <c r="W67" s="4"/>
    </row>
    <row r="68" spans="1:23" x14ac:dyDescent="0.2">
      <c r="A68" s="795">
        <v>5193</v>
      </c>
      <c r="B68" s="387" t="s">
        <v>1046</v>
      </c>
      <c r="C68" s="393"/>
      <c r="D68" s="393"/>
      <c r="E68" s="393"/>
      <c r="F68" s="212"/>
      <c r="G68" s="212"/>
      <c r="H68" s="212"/>
      <c r="I68" s="212"/>
      <c r="J68" s="212"/>
      <c r="K68" s="212"/>
      <c r="L68" s="212"/>
      <c r="M68" s="390">
        <f t="shared" si="12"/>
        <v>0</v>
      </c>
      <c r="N68" s="411">
        <f t="shared" si="13"/>
        <v>0</v>
      </c>
      <c r="O68" s="414">
        <f t="shared" si="10"/>
        <v>0</v>
      </c>
      <c r="P68" s="392" t="str">
        <f t="shared" si="11"/>
        <v/>
      </c>
      <c r="Q68" s="385"/>
      <c r="R68" s="572"/>
      <c r="S68" s="386"/>
      <c r="T68" s="23"/>
      <c r="U68" s="4"/>
      <c r="V68" s="4"/>
      <c r="W68" s="4"/>
    </row>
    <row r="69" spans="1:23" x14ac:dyDescent="0.2">
      <c r="A69" s="795">
        <v>5194</v>
      </c>
      <c r="B69" s="387" t="s">
        <v>1045</v>
      </c>
      <c r="C69" s="393"/>
      <c r="D69" s="393"/>
      <c r="E69" s="393"/>
      <c r="F69" s="212"/>
      <c r="G69" s="212"/>
      <c r="H69" s="212"/>
      <c r="I69" s="212"/>
      <c r="J69" s="212"/>
      <c r="K69" s="212"/>
      <c r="L69" s="212"/>
      <c r="M69" s="390">
        <f t="shared" si="12"/>
        <v>0</v>
      </c>
      <c r="N69" s="411">
        <f t="shared" si="13"/>
        <v>0</v>
      </c>
      <c r="O69" s="414">
        <f>+N69-M68</f>
        <v>0</v>
      </c>
      <c r="P69" s="392" t="str">
        <f t="shared" si="11"/>
        <v/>
      </c>
      <c r="Q69" s="385"/>
      <c r="R69" s="572"/>
      <c r="S69" s="386"/>
      <c r="T69" s="23"/>
      <c r="U69" s="4"/>
      <c r="V69" s="4"/>
      <c r="W69" s="4"/>
    </row>
    <row r="70" spans="1:23" x14ac:dyDescent="0.2">
      <c r="A70" s="795">
        <v>5310</v>
      </c>
      <c r="B70" s="387" t="s">
        <v>1428</v>
      </c>
      <c r="C70" s="393"/>
      <c r="D70" s="393"/>
      <c r="E70" s="393"/>
      <c r="F70" s="212"/>
      <c r="G70" s="212"/>
      <c r="H70" s="212"/>
      <c r="I70" s="212"/>
      <c r="J70" s="212"/>
      <c r="K70" s="212"/>
      <c r="L70" s="212"/>
      <c r="M70" s="384">
        <f t="shared" ref="M70:M82" si="14">+O24</f>
        <v>0</v>
      </c>
      <c r="N70" s="411">
        <f t="shared" ref="N70:N82" si="15">+Q24</f>
        <v>0</v>
      </c>
      <c r="O70" s="414"/>
      <c r="P70" s="392"/>
      <c r="Q70" s="385"/>
      <c r="R70" s="572"/>
      <c r="S70" s="386"/>
      <c r="T70" s="23"/>
      <c r="U70" s="4"/>
      <c r="V70" s="4"/>
      <c r="W70" s="4"/>
    </row>
    <row r="71" spans="1:23" x14ac:dyDescent="0.2">
      <c r="A71" s="795">
        <v>5314</v>
      </c>
      <c r="B71" s="387" t="s">
        <v>860</v>
      </c>
      <c r="C71" s="391">
        <v>844</v>
      </c>
      <c r="D71" s="391">
        <v>760</v>
      </c>
      <c r="E71" s="391">
        <v>560</v>
      </c>
      <c r="F71" s="212"/>
      <c r="G71" s="212"/>
      <c r="H71" s="212"/>
      <c r="I71" s="212"/>
      <c r="J71" s="212"/>
      <c r="K71" s="212"/>
      <c r="L71" s="212"/>
      <c r="M71" s="384">
        <f t="shared" si="14"/>
        <v>1500</v>
      </c>
      <c r="N71" s="411">
        <f t="shared" si="15"/>
        <v>1500</v>
      </c>
      <c r="O71" s="414">
        <f t="shared" ref="O71:O79" si="16">+N71-M71</f>
        <v>0</v>
      </c>
      <c r="P71" s="392" t="str">
        <f t="shared" ref="P71:P79" si="17">IF(M71+N71&lt;&gt;0,IF(M71&lt;&gt;0,IF(O71&lt;&gt;0,ROUND((+O71/M71),4),""),1),"")</f>
        <v/>
      </c>
      <c r="Q71" s="385"/>
      <c r="R71" s="572"/>
      <c r="S71" s="386"/>
      <c r="T71" s="23"/>
      <c r="U71" s="4"/>
      <c r="V71" s="4"/>
      <c r="W71" s="4"/>
    </row>
    <row r="72" spans="1:23" x14ac:dyDescent="0.2">
      <c r="A72" s="795">
        <v>5315</v>
      </c>
      <c r="B72" s="387" t="s">
        <v>1429</v>
      </c>
      <c r="C72" s="391">
        <v>8934.75</v>
      </c>
      <c r="D72" s="391">
        <v>7969.5</v>
      </c>
      <c r="E72" s="391">
        <v>3688.75</v>
      </c>
      <c r="F72" s="212"/>
      <c r="G72" s="212"/>
      <c r="H72" s="212"/>
      <c r="I72" s="212"/>
      <c r="J72" s="212"/>
      <c r="K72" s="212"/>
      <c r="L72" s="212"/>
      <c r="M72" s="384">
        <f t="shared" si="14"/>
        <v>28600</v>
      </c>
      <c r="N72" s="411">
        <f t="shared" si="15"/>
        <v>28600</v>
      </c>
      <c r="O72" s="414">
        <f t="shared" si="16"/>
        <v>0</v>
      </c>
      <c r="P72" s="392" t="str">
        <f t="shared" si="17"/>
        <v/>
      </c>
      <c r="Q72" s="385"/>
      <c r="R72" s="572"/>
      <c r="S72" s="386"/>
      <c r="T72" s="23"/>
      <c r="U72" s="4"/>
      <c r="V72" s="4"/>
      <c r="W72" s="4"/>
    </row>
    <row r="73" spans="1:23" x14ac:dyDescent="0.2">
      <c r="A73" s="795">
        <v>5341</v>
      </c>
      <c r="B73" s="387" t="s">
        <v>862</v>
      </c>
      <c r="C73" s="391">
        <v>618.01</v>
      </c>
      <c r="D73" s="391">
        <v>604.71</v>
      </c>
      <c r="E73" s="391">
        <v>786.39</v>
      </c>
      <c r="F73" s="212"/>
      <c r="G73" s="212"/>
      <c r="H73" s="212"/>
      <c r="I73" s="212"/>
      <c r="J73" s="212"/>
      <c r="K73" s="212"/>
      <c r="L73" s="212"/>
      <c r="M73" s="384">
        <f t="shared" si="14"/>
        <v>1440</v>
      </c>
      <c r="N73" s="411">
        <f t="shared" si="15"/>
        <v>1440</v>
      </c>
      <c r="O73" s="414">
        <f t="shared" si="16"/>
        <v>0</v>
      </c>
      <c r="P73" s="392" t="str">
        <f t="shared" si="17"/>
        <v/>
      </c>
      <c r="Q73" s="385"/>
      <c r="R73" s="572"/>
      <c r="S73" s="386"/>
      <c r="T73" s="23"/>
      <c r="U73" s="4"/>
      <c r="V73" s="4"/>
      <c r="W73" s="4"/>
    </row>
    <row r="74" spans="1:23" x14ac:dyDescent="0.2">
      <c r="A74" s="795">
        <v>5344</v>
      </c>
      <c r="B74" s="387" t="s">
        <v>832</v>
      </c>
      <c r="C74" s="391">
        <v>372.41</v>
      </c>
      <c r="D74" s="391">
        <v>723.38</v>
      </c>
      <c r="E74" s="391">
        <v>1380.06</v>
      </c>
      <c r="F74" s="212"/>
      <c r="G74" s="212"/>
      <c r="H74" s="212"/>
      <c r="I74" s="212"/>
      <c r="J74" s="212"/>
      <c r="K74" s="212"/>
      <c r="L74" s="212"/>
      <c r="M74" s="384">
        <f t="shared" si="14"/>
        <v>800</v>
      </c>
      <c r="N74" s="411">
        <f t="shared" si="15"/>
        <v>1250</v>
      </c>
      <c r="O74" s="414">
        <f t="shared" si="16"/>
        <v>450</v>
      </c>
      <c r="P74" s="392">
        <f t="shared" si="17"/>
        <v>0.5625</v>
      </c>
      <c r="Q74" s="385"/>
      <c r="R74" s="572"/>
      <c r="S74" s="386"/>
      <c r="T74" s="23"/>
      <c r="U74" s="4"/>
      <c r="V74" s="4"/>
      <c r="W74" s="4"/>
    </row>
    <row r="75" spans="1:23" x14ac:dyDescent="0.2">
      <c r="A75" s="795">
        <v>5345</v>
      </c>
      <c r="B75" s="387" t="s">
        <v>863</v>
      </c>
      <c r="C75" s="391">
        <v>377.02</v>
      </c>
      <c r="D75" s="391">
        <v>0</v>
      </c>
      <c r="E75" s="391">
        <v>843.5</v>
      </c>
      <c r="F75" s="212"/>
      <c r="G75" s="212"/>
      <c r="H75" s="212"/>
      <c r="I75" s="212"/>
      <c r="J75" s="212"/>
      <c r="K75" s="212"/>
      <c r="L75" s="212"/>
      <c r="M75" s="384">
        <f t="shared" si="14"/>
        <v>200</v>
      </c>
      <c r="N75" s="411">
        <f t="shared" si="15"/>
        <v>300</v>
      </c>
      <c r="O75" s="414">
        <f t="shared" si="16"/>
        <v>100</v>
      </c>
      <c r="P75" s="392">
        <f t="shared" si="17"/>
        <v>0.5</v>
      </c>
      <c r="Q75" s="385"/>
      <c r="R75" s="572"/>
      <c r="S75" s="386"/>
      <c r="T75" s="23"/>
      <c r="U75" s="4"/>
      <c r="V75" s="4"/>
      <c r="W75" s="4"/>
    </row>
    <row r="76" spans="1:23" x14ac:dyDescent="0.2">
      <c r="A76" s="795">
        <v>5350</v>
      </c>
      <c r="B76" s="387" t="s">
        <v>1439</v>
      </c>
      <c r="C76" s="391"/>
      <c r="D76" s="391"/>
      <c r="E76" s="391"/>
      <c r="F76" s="212"/>
      <c r="G76" s="212"/>
      <c r="H76" s="212"/>
      <c r="I76" s="212"/>
      <c r="J76" s="212"/>
      <c r="K76" s="212"/>
      <c r="L76" s="212"/>
      <c r="M76" s="384">
        <f t="shared" si="14"/>
        <v>3000</v>
      </c>
      <c r="N76" s="411">
        <f t="shared" si="15"/>
        <v>3000</v>
      </c>
      <c r="O76" s="414">
        <f t="shared" si="16"/>
        <v>0</v>
      </c>
      <c r="P76" s="392" t="str">
        <f t="shared" si="17"/>
        <v/>
      </c>
      <c r="Q76" s="385"/>
      <c r="R76" s="572"/>
      <c r="S76" s="386"/>
      <c r="T76" s="23"/>
      <c r="U76" s="4"/>
      <c r="V76" s="4"/>
      <c r="W76" s="4"/>
    </row>
    <row r="77" spans="1:23" x14ac:dyDescent="0.2">
      <c r="A77" s="795">
        <v>5380</v>
      </c>
      <c r="B77" s="387" t="s">
        <v>1440</v>
      </c>
      <c r="C77" s="391">
        <v>614.07000000000005</v>
      </c>
      <c r="D77" s="391">
        <v>674.22</v>
      </c>
      <c r="E77" s="391">
        <v>1414.08</v>
      </c>
      <c r="F77" s="212"/>
      <c r="G77" s="212"/>
      <c r="H77" s="212"/>
      <c r="I77" s="212"/>
      <c r="J77" s="212"/>
      <c r="K77" s="212"/>
      <c r="L77" s="212"/>
      <c r="M77" s="384">
        <f t="shared" si="14"/>
        <v>500</v>
      </c>
      <c r="N77" s="411">
        <f t="shared" si="15"/>
        <v>500</v>
      </c>
      <c r="O77" s="414">
        <f t="shared" si="16"/>
        <v>0</v>
      </c>
      <c r="P77" s="392" t="str">
        <f t="shared" si="17"/>
        <v/>
      </c>
      <c r="Q77" s="385"/>
      <c r="R77" s="572"/>
      <c r="S77" s="386"/>
      <c r="T77" s="23"/>
      <c r="U77" s="4"/>
      <c r="V77" s="4"/>
      <c r="W77" s="4"/>
    </row>
    <row r="78" spans="1:23" x14ac:dyDescent="0.2">
      <c r="A78" s="795">
        <v>5420</v>
      </c>
      <c r="B78" s="387" t="s">
        <v>864</v>
      </c>
      <c r="C78" s="383">
        <v>1921.7</v>
      </c>
      <c r="D78" s="383">
        <v>2106.65</v>
      </c>
      <c r="E78" s="383">
        <v>5741.26</v>
      </c>
      <c r="F78" s="212"/>
      <c r="G78" s="212"/>
      <c r="H78" s="212"/>
      <c r="I78" s="212"/>
      <c r="J78" s="212"/>
      <c r="K78" s="212"/>
      <c r="L78" s="212"/>
      <c r="M78" s="384">
        <f t="shared" si="14"/>
        <v>3000</v>
      </c>
      <c r="N78" s="411">
        <f t="shared" si="15"/>
        <v>4500</v>
      </c>
      <c r="O78" s="414">
        <f t="shared" si="16"/>
        <v>1500</v>
      </c>
      <c r="P78" s="392">
        <f t="shared" si="17"/>
        <v>0.5</v>
      </c>
      <c r="Q78" s="385"/>
      <c r="R78" s="572"/>
      <c r="S78" s="386"/>
      <c r="T78" s="23"/>
      <c r="U78" s="4"/>
      <c r="V78" s="4"/>
      <c r="W78" s="4"/>
    </row>
    <row r="79" spans="1:23" hidden="1" x14ac:dyDescent="0.2">
      <c r="A79" s="795">
        <v>5500</v>
      </c>
      <c r="B79" s="415" t="s">
        <v>1312</v>
      </c>
      <c r="C79" s="391"/>
      <c r="D79" s="391">
        <v>120.28</v>
      </c>
      <c r="E79" s="391">
        <v>12.41</v>
      </c>
      <c r="F79" s="212"/>
      <c r="G79" s="212"/>
      <c r="H79" s="212"/>
      <c r="I79" s="212"/>
      <c r="J79" s="212"/>
      <c r="K79" s="212"/>
      <c r="L79" s="212"/>
      <c r="M79" s="384">
        <f t="shared" si="14"/>
        <v>2000</v>
      </c>
      <c r="N79" s="411">
        <f t="shared" si="15"/>
        <v>2000</v>
      </c>
      <c r="O79" s="414">
        <f t="shared" si="16"/>
        <v>0</v>
      </c>
      <c r="P79" s="392" t="str">
        <f t="shared" si="17"/>
        <v/>
      </c>
      <c r="Q79" s="385"/>
      <c r="R79" s="572"/>
      <c r="S79" s="386"/>
      <c r="T79" s="23"/>
      <c r="U79" s="4"/>
      <c r="V79" s="4"/>
      <c r="W79" s="4"/>
    </row>
    <row r="80" spans="1:23" x14ac:dyDescent="0.2">
      <c r="A80" s="795">
        <v>5580</v>
      </c>
      <c r="B80" s="387" t="s">
        <v>1169</v>
      </c>
      <c r="C80" s="391"/>
      <c r="D80" s="391"/>
      <c r="E80" s="391"/>
      <c r="F80" s="212"/>
      <c r="G80" s="212"/>
      <c r="H80" s="212"/>
      <c r="I80" s="212"/>
      <c r="J80" s="212"/>
      <c r="K80" s="212"/>
      <c r="L80" s="212"/>
      <c r="M80" s="384">
        <f t="shared" si="14"/>
        <v>0</v>
      </c>
      <c r="N80" s="411">
        <f t="shared" si="15"/>
        <v>0</v>
      </c>
      <c r="O80" s="414"/>
      <c r="P80" s="392"/>
      <c r="Q80" s="385"/>
      <c r="R80" s="572"/>
      <c r="S80" s="386"/>
      <c r="T80" s="23"/>
      <c r="U80" s="4"/>
      <c r="V80" s="4"/>
      <c r="W80" s="4"/>
    </row>
    <row r="81" spans="1:23" x14ac:dyDescent="0.2">
      <c r="A81" s="795">
        <v>5581</v>
      </c>
      <c r="B81" s="387" t="s">
        <v>866</v>
      </c>
      <c r="C81" s="391">
        <v>200</v>
      </c>
      <c r="D81" s="391">
        <v>0</v>
      </c>
      <c r="E81" s="391"/>
      <c r="F81" s="212"/>
      <c r="G81" s="212"/>
      <c r="H81" s="212"/>
      <c r="I81" s="212"/>
      <c r="J81" s="212"/>
      <c r="K81" s="212"/>
      <c r="L81" s="212"/>
      <c r="M81" s="384">
        <f t="shared" si="14"/>
        <v>300</v>
      </c>
      <c r="N81" s="411">
        <f t="shared" si="15"/>
        <v>300</v>
      </c>
      <c r="O81" s="414">
        <f>+N81-M81</f>
        <v>0</v>
      </c>
      <c r="P81" s="392" t="str">
        <f>IF(M81+N81&lt;&gt;0,IF(M81&lt;&gt;0,IF(O81&lt;&gt;0,ROUND((+O81/M81),4),""),1),"")</f>
        <v/>
      </c>
      <c r="Q81" s="385"/>
      <c r="R81" s="572"/>
      <c r="S81" s="386"/>
      <c r="T81" s="23"/>
      <c r="U81" s="4"/>
      <c r="V81" s="4"/>
      <c r="W81" s="4"/>
    </row>
    <row r="82" spans="1:23" x14ac:dyDescent="0.2">
      <c r="A82" s="795">
        <v>5710</v>
      </c>
      <c r="B82" s="387" t="s">
        <v>869</v>
      </c>
      <c r="C82" s="383">
        <v>1714.45</v>
      </c>
      <c r="D82" s="383">
        <v>899.49</v>
      </c>
      <c r="E82" s="383">
        <v>890.73</v>
      </c>
      <c r="F82" s="212"/>
      <c r="G82" s="212"/>
      <c r="H82" s="212"/>
      <c r="I82" s="212"/>
      <c r="J82" s="212"/>
      <c r="K82" s="212"/>
      <c r="L82" s="212"/>
      <c r="M82" s="384">
        <f t="shared" si="14"/>
        <v>2357</v>
      </c>
      <c r="N82" s="411">
        <f t="shared" si="15"/>
        <v>3000</v>
      </c>
      <c r="O82" s="414">
        <f>+N82-M82</f>
        <v>643</v>
      </c>
      <c r="P82" s="392">
        <f>IF(M82+N82&lt;&gt;0,IF(M82&lt;&gt;0,IF(O82&lt;&gt;0,ROUND((+O82/M82),4),""),1),"")</f>
        <v>0.27279999999999999</v>
      </c>
      <c r="Q82" s="385"/>
      <c r="R82" s="572"/>
      <c r="S82" s="386"/>
      <c r="T82" s="23"/>
      <c r="U82" s="4"/>
      <c r="V82" s="4"/>
      <c r="W82" s="4"/>
    </row>
    <row r="83" spans="1:23" ht="13.5" thickBot="1" x14ac:dyDescent="0.25">
      <c r="A83" s="795">
        <v>5730</v>
      </c>
      <c r="B83" s="387" t="s">
        <v>870</v>
      </c>
      <c r="C83" s="389">
        <v>355</v>
      </c>
      <c r="D83" s="389">
        <v>260</v>
      </c>
      <c r="E83" s="389">
        <v>210</v>
      </c>
      <c r="F83" s="212"/>
      <c r="G83" s="212"/>
      <c r="H83" s="212"/>
      <c r="I83" s="212"/>
      <c r="J83" s="212"/>
      <c r="K83" s="212"/>
      <c r="L83" s="212"/>
      <c r="M83" s="384">
        <f>+O38</f>
        <v>600</v>
      </c>
      <c r="N83" s="411">
        <f>+Q38</f>
        <v>600</v>
      </c>
      <c r="O83" s="414">
        <f>+N83-M83</f>
        <v>0</v>
      </c>
      <c r="P83" s="392" t="str">
        <f>IF(M83+N83&lt;&gt;0,IF(M83&lt;&gt;0,IF(O83&lt;&gt;0,ROUND((+O83/M83),4),""),1),"")</f>
        <v/>
      </c>
      <c r="Q83" s="385"/>
      <c r="R83" s="572"/>
      <c r="S83" s="386"/>
      <c r="T83" s="23"/>
      <c r="U83" s="4"/>
      <c r="V83" s="4"/>
      <c r="W83" s="4"/>
    </row>
    <row r="84" spans="1:23" x14ac:dyDescent="0.2">
      <c r="A84" s="774"/>
      <c r="B84" s="4"/>
      <c r="C84" s="23"/>
      <c r="D84" s="23"/>
      <c r="E84" s="23"/>
      <c r="F84" s="23"/>
      <c r="G84" s="23"/>
      <c r="H84" s="212"/>
      <c r="I84" s="212"/>
      <c r="J84" s="212"/>
      <c r="K84" s="212"/>
      <c r="L84" s="212"/>
      <c r="M84" s="23"/>
      <c r="N84" s="23"/>
      <c r="O84" s="23"/>
      <c r="P84" s="4"/>
      <c r="Q84" s="23"/>
      <c r="R84" s="23"/>
      <c r="S84" s="23"/>
      <c r="T84" s="23"/>
      <c r="U84" s="4"/>
      <c r="V84" s="4"/>
      <c r="W84" s="4"/>
    </row>
    <row r="85" spans="1:23" x14ac:dyDescent="0.2">
      <c r="B85" s="4" t="s">
        <v>846</v>
      </c>
      <c r="C85" s="23"/>
      <c r="D85" s="23"/>
      <c r="E85" s="23"/>
      <c r="F85" s="23"/>
      <c r="G85" s="23"/>
      <c r="H85" s="212"/>
      <c r="I85" s="212"/>
      <c r="J85" s="212"/>
      <c r="K85" s="212"/>
      <c r="L85" s="212"/>
      <c r="M85" s="616">
        <f>SUM(M58:M83)</f>
        <v>165193</v>
      </c>
      <c r="N85" s="616">
        <f>SUM(N58:N83)</f>
        <v>175444</v>
      </c>
      <c r="O85" s="25">
        <f>+N85-M85</f>
        <v>10251</v>
      </c>
      <c r="P85" s="617">
        <f>IF(M85+N85&lt;&gt;0,IF(M85&lt;&gt;0,IF(O85&lt;&gt;0,ROUND((+O85/M85),4),""),1),"")</f>
        <v>6.2100000000000002E-2</v>
      </c>
    </row>
    <row r="86" spans="1:23" x14ac:dyDescent="0.2">
      <c r="C86" s="212"/>
      <c r="D86" s="212"/>
      <c r="E86" s="212"/>
      <c r="F86" s="212"/>
      <c r="G86" s="212"/>
      <c r="H86" s="212"/>
      <c r="I86" s="212"/>
      <c r="J86" s="212"/>
      <c r="K86" s="212"/>
      <c r="L86" s="212"/>
      <c r="M86" s="212"/>
      <c r="N86" s="212"/>
      <c r="O86" s="212"/>
    </row>
    <row r="87" spans="1:23" x14ac:dyDescent="0.2">
      <c r="C87" s="212"/>
      <c r="D87" s="212"/>
      <c r="E87" s="212"/>
      <c r="F87" s="212"/>
      <c r="G87" s="212"/>
      <c r="H87" s="212"/>
      <c r="I87" s="212"/>
      <c r="J87" s="212"/>
      <c r="K87" s="212"/>
      <c r="L87" s="212"/>
      <c r="M87" s="212"/>
      <c r="N87" s="212"/>
      <c r="O87" s="212"/>
    </row>
    <row r="88" spans="1:23" x14ac:dyDescent="0.2">
      <c r="C88" s="212"/>
      <c r="D88" s="212"/>
      <c r="E88" s="212"/>
      <c r="F88" s="212"/>
      <c r="G88" s="212"/>
      <c r="H88" s="212"/>
      <c r="I88" s="212"/>
      <c r="J88" s="212"/>
      <c r="K88" s="212"/>
      <c r="L88" s="212"/>
      <c r="M88" s="212"/>
      <c r="N88" s="212"/>
      <c r="O88" s="212"/>
    </row>
    <row r="89" spans="1:23" x14ac:dyDescent="0.2">
      <c r="C89" s="212"/>
      <c r="D89" s="212"/>
      <c r="E89" s="212"/>
      <c r="F89" s="212"/>
      <c r="G89" s="212"/>
      <c r="H89" s="212"/>
      <c r="I89" s="212"/>
      <c r="J89" s="212"/>
      <c r="K89" s="212"/>
      <c r="L89" s="212"/>
      <c r="M89" s="212"/>
      <c r="N89" s="212"/>
      <c r="O89" s="212"/>
    </row>
    <row r="90" spans="1:23" x14ac:dyDescent="0.2">
      <c r="C90" s="212"/>
      <c r="D90" s="212"/>
      <c r="E90" s="212"/>
      <c r="F90" s="212"/>
      <c r="G90" s="212"/>
      <c r="H90" s="212"/>
      <c r="I90" s="212"/>
      <c r="J90" s="212"/>
      <c r="K90" s="212"/>
      <c r="L90" s="212"/>
      <c r="M90" s="212"/>
      <c r="N90" s="212"/>
      <c r="O90" s="212"/>
    </row>
    <row r="91" spans="1:23" x14ac:dyDescent="0.2">
      <c r="C91" s="212"/>
      <c r="D91" s="212"/>
      <c r="E91" s="212"/>
      <c r="F91" s="212"/>
      <c r="G91" s="212"/>
      <c r="H91" s="212"/>
      <c r="I91" s="212"/>
      <c r="J91" s="212"/>
      <c r="K91" s="212"/>
      <c r="L91" s="212"/>
      <c r="M91" s="212"/>
      <c r="N91" s="212"/>
      <c r="O91" s="212"/>
    </row>
    <row r="92" spans="1:23" x14ac:dyDescent="0.2">
      <c r="C92" s="212"/>
      <c r="D92" s="212"/>
      <c r="E92" s="212"/>
      <c r="F92" s="212"/>
      <c r="G92" s="212"/>
      <c r="H92" s="212"/>
      <c r="I92" s="212"/>
      <c r="J92" s="212"/>
      <c r="K92" s="212"/>
      <c r="L92" s="212"/>
      <c r="M92" s="212"/>
      <c r="N92" s="212"/>
      <c r="O92" s="212"/>
    </row>
    <row r="93" spans="1:23" x14ac:dyDescent="0.2">
      <c r="C93" s="212"/>
      <c r="D93" s="212"/>
      <c r="E93" s="212"/>
      <c r="F93" s="212"/>
      <c r="G93" s="212"/>
      <c r="H93" s="212"/>
      <c r="I93" s="212"/>
      <c r="J93" s="212"/>
      <c r="K93" s="212"/>
      <c r="L93" s="212"/>
      <c r="M93" s="212"/>
      <c r="N93" s="212"/>
      <c r="O93" s="212"/>
    </row>
    <row r="94" spans="1:23" x14ac:dyDescent="0.2">
      <c r="C94" s="212"/>
      <c r="D94" s="212"/>
      <c r="E94" s="212"/>
      <c r="F94" s="212"/>
      <c r="G94" s="212"/>
      <c r="H94" s="212"/>
      <c r="I94" s="212"/>
      <c r="J94" s="212"/>
      <c r="K94" s="212"/>
      <c r="L94" s="212"/>
      <c r="M94" s="212"/>
      <c r="N94" s="212"/>
      <c r="O94" s="212"/>
    </row>
    <row r="95" spans="1:23" x14ac:dyDescent="0.2">
      <c r="C95" s="212"/>
      <c r="D95" s="212"/>
      <c r="E95" s="212"/>
      <c r="F95" s="212"/>
      <c r="G95" s="212"/>
      <c r="H95" s="212"/>
      <c r="I95" s="212"/>
      <c r="J95" s="212"/>
      <c r="K95" s="212"/>
      <c r="L95" s="212"/>
      <c r="M95" s="212"/>
      <c r="N95" s="212"/>
      <c r="O95" s="212"/>
    </row>
    <row r="96" spans="1:23" x14ac:dyDescent="0.2">
      <c r="C96" s="212"/>
      <c r="D96" s="212"/>
      <c r="E96" s="212"/>
      <c r="F96" s="212"/>
      <c r="G96" s="212"/>
      <c r="H96" s="212"/>
      <c r="I96" s="212"/>
      <c r="J96" s="212"/>
      <c r="K96" s="212"/>
      <c r="L96" s="212"/>
      <c r="M96" s="212"/>
      <c r="N96" s="212"/>
      <c r="O96" s="212"/>
    </row>
    <row r="97" spans="3:3" x14ac:dyDescent="0.2">
      <c r="C97" s="212"/>
    </row>
    <row r="98" spans="3:3" x14ac:dyDescent="0.2">
      <c r="C98" s="212"/>
    </row>
    <row r="99" spans="3:3" x14ac:dyDescent="0.2">
      <c r="C99" s="212"/>
    </row>
    <row r="100" spans="3:3" x14ac:dyDescent="0.2">
      <c r="C100" s="212"/>
    </row>
    <row r="101" spans="3:3" x14ac:dyDescent="0.2">
      <c r="C101" s="212"/>
    </row>
    <row r="102" spans="3:3" x14ac:dyDescent="0.2">
      <c r="C102" s="212"/>
    </row>
    <row r="103" spans="3:3" x14ac:dyDescent="0.2">
      <c r="C103" s="212"/>
    </row>
    <row r="104" spans="3:3" x14ac:dyDescent="0.2">
      <c r="C104" s="212"/>
    </row>
    <row r="105" spans="3:3" x14ac:dyDescent="0.2">
      <c r="C105" s="212"/>
    </row>
    <row r="106" spans="3:3" x14ac:dyDescent="0.2">
      <c r="C106" s="212"/>
    </row>
    <row r="107" spans="3:3" x14ac:dyDescent="0.2">
      <c r="C107" s="212"/>
    </row>
    <row r="108" spans="3:3" x14ac:dyDescent="0.2">
      <c r="C108" s="212"/>
    </row>
    <row r="109" spans="3:3" x14ac:dyDescent="0.2">
      <c r="C109" s="212"/>
    </row>
    <row r="110" spans="3:3" x14ac:dyDescent="0.2">
      <c r="C110" s="212"/>
    </row>
    <row r="111" spans="3:3" x14ac:dyDescent="0.2">
      <c r="C111" s="212"/>
    </row>
  </sheetData>
  <phoneticPr fontId="0" type="noConversion"/>
  <hyperlinks>
    <hyperlink ref="A1" location="'Working Budget with funding det'!A1" display="Main " xr:uid="{00000000-0004-0000-2A00-000000000000}"/>
    <hyperlink ref="B1" location="'Table of Contents'!A1" display="TOC" xr:uid="{00000000-0004-0000-2A00-000001000000}"/>
  </hyperlinks>
  <pageMargins left="0.75" right="0.75" top="1" bottom="1" header="0.5" footer="0.5"/>
  <pageSetup scale="91" fitToHeight="2" orientation="landscape" r:id="rId1"/>
  <headerFooter alignWithMargins="0">
    <oddFooter>&amp;L&amp;D     &amp;T&amp;C&amp;F&amp;R&amp;A   &amp;P</oddFooter>
  </headerFooter>
  <rowBreaks count="1" manualBreakCount="1">
    <brk id="45" max="1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50"/>
    <pageSetUpPr fitToPage="1"/>
  </sheetPr>
  <dimension ref="A1:X162"/>
  <sheetViews>
    <sheetView workbookViewId="0">
      <selection activeCell="P15" sqref="P15"/>
    </sheetView>
  </sheetViews>
  <sheetFormatPr defaultRowHeight="12.75" x14ac:dyDescent="0.2"/>
  <cols>
    <col min="1" max="1" width="10.6640625" style="783" customWidth="1"/>
    <col min="2" max="2" width="36.6640625" customWidth="1"/>
    <col min="3" max="3" width="14.5" style="1" hidden="1" customWidth="1"/>
    <col min="4" max="12" width="14.5" style="106" hidden="1" customWidth="1"/>
    <col min="13" max="15" width="14.5" style="106" customWidth="1"/>
    <col min="16" max="16" width="14.5" customWidth="1"/>
    <col min="17" max="20" width="14.5" style="1" customWidth="1"/>
    <col min="21" max="23" width="14.5" customWidth="1"/>
    <col min="24" max="24" width="14.6640625" style="2" customWidth="1"/>
  </cols>
  <sheetData>
    <row r="1" spans="1:23" x14ac:dyDescent="0.2">
      <c r="A1" s="772" t="s">
        <v>847</v>
      </c>
      <c r="B1" s="308" t="s">
        <v>197</v>
      </c>
      <c r="D1" s="212"/>
      <c r="E1" s="212"/>
      <c r="F1" s="212"/>
      <c r="G1" s="212"/>
      <c r="H1" s="212"/>
      <c r="I1" s="212"/>
      <c r="J1" s="212"/>
      <c r="K1" s="212"/>
      <c r="L1" s="212"/>
      <c r="M1" s="212"/>
      <c r="N1" s="212"/>
      <c r="O1" s="212"/>
      <c r="T1"/>
    </row>
    <row r="2" spans="1:23" ht="15" x14ac:dyDescent="0.25">
      <c r="A2" s="773" t="s">
        <v>1420</v>
      </c>
      <c r="B2" s="43"/>
      <c r="D2" s="212"/>
      <c r="E2" s="126"/>
      <c r="F2" s="212"/>
      <c r="G2" s="212"/>
      <c r="H2" s="212"/>
      <c r="I2" s="126" t="s">
        <v>816</v>
      </c>
      <c r="J2" s="126"/>
      <c r="K2" s="126"/>
      <c r="L2" s="126"/>
      <c r="M2" s="126"/>
      <c r="N2" s="126"/>
      <c r="O2" s="126"/>
      <c r="P2" s="58" t="s">
        <v>657</v>
      </c>
      <c r="S2" s="44" t="s">
        <v>1441</v>
      </c>
    </row>
    <row r="3" spans="1:23" ht="13.5" thickBot="1" x14ac:dyDescent="0.25">
      <c r="A3" s="774"/>
      <c r="B3" s="4"/>
      <c r="C3" s="23"/>
      <c r="D3" s="23"/>
      <c r="E3" s="23"/>
      <c r="F3" s="23"/>
      <c r="G3" s="23"/>
      <c r="H3" s="23"/>
      <c r="I3" s="23"/>
      <c r="J3" s="23"/>
      <c r="K3" s="23"/>
      <c r="L3" s="23"/>
      <c r="M3" s="23"/>
      <c r="N3" s="23"/>
      <c r="O3" s="23"/>
      <c r="P3" s="4"/>
      <c r="Q3" s="23"/>
      <c r="R3" s="23"/>
      <c r="S3" s="4"/>
      <c r="T3" s="4"/>
      <c r="W3" s="4"/>
    </row>
    <row r="4" spans="1:23"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3"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3" x14ac:dyDescent="0.2">
      <c r="A6" s="776"/>
      <c r="B6" s="202"/>
      <c r="C6" s="113"/>
      <c r="D6" s="113"/>
      <c r="E6" s="113"/>
      <c r="F6" s="113"/>
      <c r="G6" s="113"/>
      <c r="H6" s="113"/>
      <c r="I6" s="83"/>
      <c r="J6" s="83"/>
      <c r="K6" s="83"/>
      <c r="L6" s="83"/>
      <c r="M6" s="83"/>
      <c r="N6" s="83"/>
      <c r="O6" s="83"/>
      <c r="P6" s="113"/>
      <c r="Q6" s="83" t="s">
        <v>823</v>
      </c>
      <c r="R6" s="83" t="s">
        <v>585</v>
      </c>
      <c r="S6" s="45" t="s">
        <v>824</v>
      </c>
    </row>
    <row r="7" spans="1:23"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3" ht="13.5" thickTop="1" x14ac:dyDescent="0.2">
      <c r="A8" s="796"/>
      <c r="B8" s="203"/>
      <c r="C8" s="118"/>
      <c r="D8" s="18"/>
      <c r="E8" s="18"/>
      <c r="F8" s="18"/>
      <c r="G8" s="18"/>
      <c r="H8" s="18"/>
      <c r="I8" s="19"/>
      <c r="J8" s="19"/>
      <c r="K8" s="19"/>
      <c r="L8" s="19"/>
      <c r="M8" s="19"/>
      <c r="N8" s="19"/>
      <c r="O8" s="19"/>
      <c r="P8" s="18"/>
      <c r="Q8" s="19"/>
      <c r="R8" s="19"/>
      <c r="S8" s="19"/>
    </row>
    <row r="9" spans="1:23" x14ac:dyDescent="0.2">
      <c r="A9" s="779">
        <v>5113</v>
      </c>
      <c r="B9" s="102" t="s">
        <v>1442</v>
      </c>
      <c r="C9" s="116">
        <v>16942.54</v>
      </c>
      <c r="D9" s="13">
        <v>25004.240000000002</v>
      </c>
      <c r="E9" s="13">
        <v>25781.62</v>
      </c>
      <c r="F9" s="13">
        <v>26924.799999999999</v>
      </c>
      <c r="G9" s="13">
        <v>27587.43</v>
      </c>
      <c r="H9" s="13">
        <v>28836.080000000002</v>
      </c>
      <c r="I9" s="13">
        <v>30144.400000000001</v>
      </c>
      <c r="J9" s="13">
        <v>31112.55</v>
      </c>
      <c r="K9" s="14">
        <v>32335</v>
      </c>
      <c r="L9" s="13">
        <v>32181.3</v>
      </c>
      <c r="M9" s="14">
        <v>33496</v>
      </c>
      <c r="N9" s="13">
        <v>33318.26</v>
      </c>
      <c r="O9" s="14">
        <f>1254+41780</f>
        <v>43034</v>
      </c>
      <c r="P9" s="13">
        <v>20897.45</v>
      </c>
      <c r="Q9" s="14">
        <f>ROUND((+P32),0)</f>
        <v>45384</v>
      </c>
      <c r="R9" s="14"/>
      <c r="S9" s="14"/>
    </row>
    <row r="10" spans="1:23" ht="13.5" thickBot="1" x14ac:dyDescent="0.25">
      <c r="A10" s="779">
        <v>5144</v>
      </c>
      <c r="B10" s="102" t="s">
        <v>27</v>
      </c>
      <c r="C10" s="117"/>
      <c r="D10" s="15"/>
      <c r="E10" s="15"/>
      <c r="F10" s="15"/>
      <c r="G10" s="15">
        <v>300</v>
      </c>
      <c r="H10" s="15">
        <v>300</v>
      </c>
      <c r="I10" s="15">
        <v>300</v>
      </c>
      <c r="J10" s="15">
        <v>500</v>
      </c>
      <c r="K10" s="16">
        <v>500</v>
      </c>
      <c r="L10" s="15">
        <v>500</v>
      </c>
      <c r="M10" s="16">
        <v>500</v>
      </c>
      <c r="N10" s="15">
        <v>500</v>
      </c>
      <c r="O10" s="16">
        <v>500</v>
      </c>
      <c r="P10" s="15">
        <v>500</v>
      </c>
      <c r="Q10" s="16">
        <v>500</v>
      </c>
      <c r="R10" s="16"/>
      <c r="S10" s="16"/>
    </row>
    <row r="11" spans="1:23" x14ac:dyDescent="0.2">
      <c r="A11" s="779"/>
      <c r="B11" s="61" t="s">
        <v>828</v>
      </c>
      <c r="C11" s="118">
        <f>SUM(C9:C9)</f>
        <v>16942.54</v>
      </c>
      <c r="D11" s="18">
        <f>SUM(D9:D9)</f>
        <v>25004.240000000002</v>
      </c>
      <c r="E11" s="18">
        <f>SUM(E9:E9)</f>
        <v>25781.62</v>
      </c>
      <c r="F11" s="18">
        <f>+F9</f>
        <v>26924.799999999999</v>
      </c>
      <c r="G11" s="18">
        <f t="shared" ref="G11:Q11" si="0">SUM(G9:G10)</f>
        <v>27887.43</v>
      </c>
      <c r="H11" s="18">
        <f t="shared" si="0"/>
        <v>29136.080000000002</v>
      </c>
      <c r="I11" s="18">
        <f t="shared" si="0"/>
        <v>30444.400000000001</v>
      </c>
      <c r="J11" s="18">
        <f t="shared" si="0"/>
        <v>31612.55</v>
      </c>
      <c r="K11" s="34">
        <f t="shared" si="0"/>
        <v>32835</v>
      </c>
      <c r="L11" s="18">
        <f t="shared" si="0"/>
        <v>32681.3</v>
      </c>
      <c r="M11" s="34">
        <f t="shared" si="0"/>
        <v>33996</v>
      </c>
      <c r="N11" s="18">
        <f t="shared" si="0"/>
        <v>33818.26</v>
      </c>
      <c r="O11" s="34">
        <f t="shared" si="0"/>
        <v>43534</v>
      </c>
      <c r="P11" s="18">
        <f t="shared" si="0"/>
        <v>21397.45</v>
      </c>
      <c r="Q11" s="34">
        <f t="shared" si="0"/>
        <v>45884</v>
      </c>
      <c r="R11" s="34"/>
      <c r="S11" s="34">
        <f>SUM(S9:S9)</f>
        <v>0</v>
      </c>
    </row>
    <row r="12" spans="1:23" x14ac:dyDescent="0.2">
      <c r="A12" s="779"/>
      <c r="B12" s="60"/>
      <c r="C12" s="116"/>
      <c r="D12" s="13"/>
      <c r="E12" s="13"/>
      <c r="F12" s="13"/>
      <c r="G12" s="13"/>
      <c r="H12" s="13"/>
      <c r="I12" s="13"/>
      <c r="J12" s="13"/>
      <c r="K12" s="14"/>
      <c r="L12" s="128"/>
      <c r="M12" s="14"/>
      <c r="N12" s="128"/>
      <c r="O12" s="14"/>
      <c r="P12" s="13"/>
      <c r="Q12" s="14"/>
      <c r="R12" s="14"/>
      <c r="S12" s="14"/>
      <c r="T12" s="212"/>
    </row>
    <row r="13" spans="1:23" x14ac:dyDescent="0.2">
      <c r="A13" s="779">
        <v>5211</v>
      </c>
      <c r="B13" s="60" t="s">
        <v>1410</v>
      </c>
      <c r="C13" s="116">
        <v>3508.51</v>
      </c>
      <c r="D13" s="13">
        <v>3502.18</v>
      </c>
      <c r="E13" s="13">
        <v>3083.86</v>
      </c>
      <c r="F13" s="13">
        <v>3317.15</v>
      </c>
      <c r="G13" s="13">
        <v>3337.49</v>
      </c>
      <c r="H13" s="13">
        <v>3800.35</v>
      </c>
      <c r="I13" s="13">
        <v>3907.67</v>
      </c>
      <c r="J13" s="13">
        <v>3193.71</v>
      </c>
      <c r="K13" s="14">
        <v>3600</v>
      </c>
      <c r="L13" s="13">
        <v>2104.21</v>
      </c>
      <c r="M13" s="14">
        <v>3850</v>
      </c>
      <c r="N13" s="13">
        <v>2129.86</v>
      </c>
      <c r="O13" s="14">
        <v>4235</v>
      </c>
      <c r="P13" s="13">
        <v>790.75</v>
      </c>
      <c r="Q13" s="14">
        <v>3732</v>
      </c>
      <c r="R13" s="14"/>
      <c r="S13" s="14"/>
    </row>
    <row r="14" spans="1:23" x14ac:dyDescent="0.2">
      <c r="A14" s="779">
        <v>5214</v>
      </c>
      <c r="B14" s="60" t="s">
        <v>1443</v>
      </c>
      <c r="C14" s="116">
        <v>1669.01</v>
      </c>
      <c r="D14" s="13">
        <v>1925.82</v>
      </c>
      <c r="E14" s="13">
        <v>1944.03</v>
      </c>
      <c r="F14" s="13">
        <v>1383.3</v>
      </c>
      <c r="G14" s="13">
        <v>1632</v>
      </c>
      <c r="H14" s="13">
        <v>1728.79</v>
      </c>
      <c r="I14" s="13">
        <v>1865.25</v>
      </c>
      <c r="J14" s="13">
        <v>1523.32</v>
      </c>
      <c r="K14" s="14">
        <v>1500</v>
      </c>
      <c r="L14" s="13">
        <v>1208.83</v>
      </c>
      <c r="M14" s="14">
        <v>1500</v>
      </c>
      <c r="N14" s="13">
        <v>1820.96</v>
      </c>
      <c r="O14" s="14">
        <v>1650</v>
      </c>
      <c r="P14" s="13">
        <v>266.36</v>
      </c>
      <c r="Q14" s="14">
        <v>1952</v>
      </c>
      <c r="R14" s="14"/>
      <c r="S14" s="14"/>
    </row>
    <row r="15" spans="1:23" x14ac:dyDescent="0.2">
      <c r="A15" s="779">
        <v>5231</v>
      </c>
      <c r="B15" s="60" t="s">
        <v>1444</v>
      </c>
      <c r="C15" s="116"/>
      <c r="D15" s="13"/>
      <c r="E15" s="13"/>
      <c r="F15" s="13"/>
      <c r="G15" s="13">
        <v>91.8</v>
      </c>
      <c r="H15" s="13">
        <v>67.2</v>
      </c>
      <c r="I15" s="13">
        <v>79.599999999999994</v>
      </c>
      <c r="J15" s="13">
        <v>96</v>
      </c>
      <c r="K15" s="14">
        <v>120</v>
      </c>
      <c r="L15" s="13">
        <v>66</v>
      </c>
      <c r="M15" s="14">
        <v>120</v>
      </c>
      <c r="N15" s="13">
        <v>70</v>
      </c>
      <c r="O15" s="14">
        <v>120</v>
      </c>
      <c r="P15" s="13">
        <v>35</v>
      </c>
      <c r="Q15" s="14">
        <v>75</v>
      </c>
      <c r="R15" s="14"/>
      <c r="S15" s="14"/>
    </row>
    <row r="16" spans="1:23" x14ac:dyDescent="0.2">
      <c r="A16" s="779">
        <v>5232</v>
      </c>
      <c r="B16" s="60" t="s">
        <v>581</v>
      </c>
      <c r="C16" s="116"/>
      <c r="D16" s="13"/>
      <c r="E16" s="13"/>
      <c r="F16" s="13"/>
      <c r="G16" s="13"/>
      <c r="H16" s="13">
        <v>563.04</v>
      </c>
      <c r="I16" s="13">
        <v>367.88</v>
      </c>
      <c r="J16" s="13">
        <v>457.28</v>
      </c>
      <c r="K16" s="14">
        <v>455</v>
      </c>
      <c r="L16" s="13">
        <v>407.68</v>
      </c>
      <c r="M16" s="14">
        <v>455</v>
      </c>
      <c r="N16" s="13">
        <v>132.46</v>
      </c>
      <c r="O16" s="14">
        <v>455</v>
      </c>
      <c r="P16" s="13">
        <v>118.58</v>
      </c>
      <c r="Q16" s="14">
        <v>250</v>
      </c>
      <c r="R16" s="14"/>
      <c r="S16" s="14"/>
    </row>
    <row r="17" spans="1:24" x14ac:dyDescent="0.2">
      <c r="A17" s="779">
        <v>5242</v>
      </c>
      <c r="B17" s="60" t="s">
        <v>1293</v>
      </c>
      <c r="C17" s="116">
        <v>545.99</v>
      </c>
      <c r="D17" s="13">
        <v>2105</v>
      </c>
      <c r="E17" s="13">
        <v>2382</v>
      </c>
      <c r="F17" s="13">
        <v>988.18</v>
      </c>
      <c r="G17" s="13">
        <v>7888.47</v>
      </c>
      <c r="H17" s="13">
        <v>2341.9899999999998</v>
      </c>
      <c r="I17" s="13">
        <v>1901</v>
      </c>
      <c r="J17" s="13">
        <v>1086.27</v>
      </c>
      <c r="K17" s="14">
        <v>2000</v>
      </c>
      <c r="L17" s="13">
        <v>2161</v>
      </c>
      <c r="M17" s="14">
        <v>2000</v>
      </c>
      <c r="N17" s="13">
        <v>707</v>
      </c>
      <c r="O17" s="14">
        <v>2000</v>
      </c>
      <c r="P17" s="13"/>
      <c r="Q17" s="14">
        <v>2500</v>
      </c>
      <c r="R17" s="14"/>
      <c r="S17" s="14"/>
    </row>
    <row r="18" spans="1:24" x14ac:dyDescent="0.2">
      <c r="A18" s="779">
        <v>5251</v>
      </c>
      <c r="B18" s="60" t="s">
        <v>1297</v>
      </c>
      <c r="C18" s="116">
        <v>149</v>
      </c>
      <c r="D18" s="13">
        <v>156.53</v>
      </c>
      <c r="E18" s="13">
        <v>244.8</v>
      </c>
      <c r="F18" s="13">
        <v>1950.99</v>
      </c>
      <c r="G18" s="13">
        <v>86.97</v>
      </c>
      <c r="H18" s="13">
        <v>842</v>
      </c>
      <c r="I18" s="13">
        <v>89.99</v>
      </c>
      <c r="J18" s="13">
        <v>479.98</v>
      </c>
      <c r="K18" s="14">
        <v>850</v>
      </c>
      <c r="L18" s="13"/>
      <c r="M18" s="14">
        <v>400</v>
      </c>
      <c r="N18" s="13"/>
      <c r="O18" s="14">
        <v>400</v>
      </c>
      <c r="P18" s="13">
        <v>329.99</v>
      </c>
      <c r="Q18" s="14"/>
      <c r="R18" s="14"/>
      <c r="S18" s="14"/>
    </row>
    <row r="19" spans="1:24" x14ac:dyDescent="0.2">
      <c r="A19" s="779">
        <v>5279</v>
      </c>
      <c r="B19" s="12" t="s">
        <v>1445</v>
      </c>
      <c r="C19" s="13">
        <v>3920</v>
      </c>
      <c r="D19" s="13">
        <v>3690</v>
      </c>
      <c r="E19" s="13">
        <v>2650</v>
      </c>
      <c r="F19" s="13">
        <v>2640</v>
      </c>
      <c r="G19" s="13">
        <v>913.5</v>
      </c>
      <c r="H19" s="13">
        <v>3436.5</v>
      </c>
      <c r="I19" s="13">
        <v>4705.25</v>
      </c>
      <c r="J19" s="13">
        <v>3538</v>
      </c>
      <c r="K19" s="14">
        <v>4770</v>
      </c>
      <c r="L19" s="13">
        <v>145</v>
      </c>
      <c r="M19" s="14">
        <v>4000</v>
      </c>
      <c r="N19" s="13">
        <v>101.5</v>
      </c>
      <c r="O19" s="14">
        <v>4000</v>
      </c>
      <c r="P19" s="13"/>
      <c r="Q19" s="14">
        <v>4000</v>
      </c>
      <c r="R19" s="14"/>
      <c r="S19" s="14"/>
    </row>
    <row r="20" spans="1:24" hidden="1" x14ac:dyDescent="0.2">
      <c r="A20" s="779">
        <v>5344</v>
      </c>
      <c r="B20" s="12" t="s">
        <v>832</v>
      </c>
      <c r="C20" s="13">
        <v>272.74</v>
      </c>
      <c r="D20" s="13"/>
      <c r="E20" s="13">
        <v>386.06</v>
      </c>
      <c r="F20" s="13"/>
      <c r="G20" s="13"/>
      <c r="H20" s="13">
        <v>50</v>
      </c>
      <c r="I20" s="13"/>
      <c r="J20" s="13"/>
      <c r="K20" s="14"/>
      <c r="L20" s="13"/>
      <c r="M20" s="14"/>
      <c r="N20" s="13"/>
      <c r="O20" s="14"/>
      <c r="P20" s="13"/>
      <c r="Q20" s="14"/>
      <c r="R20" s="14"/>
      <c r="S20" s="14"/>
    </row>
    <row r="21" spans="1:24" x14ac:dyDescent="0.2">
      <c r="A21" s="779">
        <v>5451</v>
      </c>
      <c r="B21" s="12" t="s">
        <v>1165</v>
      </c>
      <c r="C21" s="13"/>
      <c r="D21" s="13"/>
      <c r="E21" s="13"/>
      <c r="F21" s="13"/>
      <c r="G21" s="13"/>
      <c r="H21" s="13">
        <v>198.99</v>
      </c>
      <c r="I21" s="13">
        <v>0</v>
      </c>
      <c r="J21" s="13"/>
      <c r="K21" s="14">
        <v>200</v>
      </c>
      <c r="L21" s="13"/>
      <c r="M21" s="14">
        <v>200</v>
      </c>
      <c r="N21" s="13"/>
      <c r="O21" s="14">
        <v>200</v>
      </c>
      <c r="P21" s="13"/>
      <c r="Q21" s="14">
        <v>200</v>
      </c>
      <c r="R21" s="14"/>
      <c r="S21" s="14"/>
    </row>
    <row r="22" spans="1:24" x14ac:dyDescent="0.2">
      <c r="A22" s="779">
        <v>5586</v>
      </c>
      <c r="B22" s="12" t="s">
        <v>1440</v>
      </c>
      <c r="C22" s="13"/>
      <c r="D22" s="13">
        <v>314.31</v>
      </c>
      <c r="E22" s="13">
        <v>1371.15</v>
      </c>
      <c r="F22" s="13">
        <v>930.03</v>
      </c>
      <c r="G22" s="13">
        <v>590.49</v>
      </c>
      <c r="H22" s="13">
        <v>684.99</v>
      </c>
      <c r="I22" s="13">
        <v>527.96</v>
      </c>
      <c r="J22" s="13"/>
      <c r="K22" s="14">
        <v>500</v>
      </c>
      <c r="L22" s="13"/>
      <c r="M22" s="14">
        <v>0</v>
      </c>
      <c r="N22" s="13"/>
      <c r="O22" s="14">
        <v>0</v>
      </c>
      <c r="P22" s="13"/>
      <c r="Q22" s="14">
        <v>0</v>
      </c>
      <c r="R22" s="14"/>
      <c r="S22" s="14"/>
    </row>
    <row r="23" spans="1:24" ht="13.5" thickBot="1" x14ac:dyDescent="0.25">
      <c r="A23" s="779">
        <v>5710</v>
      </c>
      <c r="B23" s="12" t="s">
        <v>869</v>
      </c>
      <c r="C23" s="15">
        <v>205</v>
      </c>
      <c r="D23" s="15">
        <v>46.92</v>
      </c>
      <c r="E23" s="15"/>
      <c r="F23" s="15">
        <v>111.22</v>
      </c>
      <c r="G23" s="15">
        <v>29.16</v>
      </c>
      <c r="H23" s="15">
        <v>28.89</v>
      </c>
      <c r="I23" s="15">
        <v>0</v>
      </c>
      <c r="J23" s="15">
        <v>144.09</v>
      </c>
      <c r="K23" s="16">
        <v>150</v>
      </c>
      <c r="L23" s="15"/>
      <c r="M23" s="16">
        <v>0</v>
      </c>
      <c r="N23" s="15"/>
      <c r="O23" s="16">
        <v>0</v>
      </c>
      <c r="P23" s="15"/>
      <c r="Q23" s="16">
        <v>0</v>
      </c>
      <c r="R23" s="16"/>
      <c r="S23" s="16"/>
    </row>
    <row r="24" spans="1:24" x14ac:dyDescent="0.2">
      <c r="A24" s="779"/>
      <c r="B24" s="17" t="s">
        <v>838</v>
      </c>
      <c r="C24" s="13">
        <f t="shared" ref="C24:P24" si="1">SUM(C13:C23)</f>
        <v>10270.25</v>
      </c>
      <c r="D24" s="13">
        <f t="shared" si="1"/>
        <v>11740.759999999998</v>
      </c>
      <c r="E24" s="13">
        <f t="shared" si="1"/>
        <v>12061.9</v>
      </c>
      <c r="F24" s="13">
        <f>SUM(F13:F23)</f>
        <v>11320.869999999999</v>
      </c>
      <c r="G24" s="13">
        <f>SUM(G13:G23)</f>
        <v>14569.88</v>
      </c>
      <c r="H24" s="13">
        <f>SUM(H13:H23)</f>
        <v>13742.739999999998</v>
      </c>
      <c r="I24" s="13">
        <f t="shared" si="1"/>
        <v>13444.600000000002</v>
      </c>
      <c r="J24" s="13">
        <f t="shared" ref="J24" si="2">SUM(J13:J23)</f>
        <v>10518.65</v>
      </c>
      <c r="K24" s="14">
        <f>SUM(K13:K23)</f>
        <v>14145</v>
      </c>
      <c r="L24" s="13">
        <f t="shared" ref="L24:O24" si="3">SUM(L13:L23)</f>
        <v>6092.7199999999993</v>
      </c>
      <c r="M24" s="14">
        <f t="shared" si="3"/>
        <v>12525</v>
      </c>
      <c r="N24" s="13">
        <f t="shared" ref="N24" si="4">SUM(N13:N23)</f>
        <v>4961.78</v>
      </c>
      <c r="O24" s="14">
        <f t="shared" si="3"/>
        <v>13060</v>
      </c>
      <c r="P24" s="13">
        <f t="shared" si="1"/>
        <v>1540.68</v>
      </c>
      <c r="Q24" s="14">
        <f>SUM(Q13:Q23)</f>
        <v>12709</v>
      </c>
      <c r="R24" s="14"/>
      <c r="S24" s="14">
        <f>SUM(S13:S23)</f>
        <v>0</v>
      </c>
    </row>
    <row r="25" spans="1:24" x14ac:dyDescent="0.2">
      <c r="A25" s="779"/>
      <c r="B25" s="12"/>
      <c r="C25" s="13"/>
      <c r="D25" s="13"/>
      <c r="E25" s="13"/>
      <c r="F25" s="13"/>
      <c r="G25" s="13"/>
      <c r="H25" s="13"/>
      <c r="I25" s="13"/>
      <c r="J25" s="13"/>
      <c r="K25" s="14"/>
      <c r="L25" s="13"/>
      <c r="M25" s="14"/>
      <c r="N25" s="13"/>
      <c r="O25" s="14"/>
      <c r="P25" s="13"/>
      <c r="Q25" s="14"/>
      <c r="R25" s="14"/>
      <c r="S25" s="14"/>
    </row>
    <row r="26" spans="1:24" ht="13.5" thickBot="1" x14ac:dyDescent="0.25">
      <c r="A26" s="780"/>
      <c r="B26" s="20" t="s">
        <v>1446</v>
      </c>
      <c r="C26" s="21">
        <f t="shared" ref="C26:P26" si="5">+C24+C11</f>
        <v>27212.79</v>
      </c>
      <c r="D26" s="21">
        <f t="shared" si="5"/>
        <v>36745</v>
      </c>
      <c r="E26" s="21">
        <f t="shared" si="5"/>
        <v>37843.519999999997</v>
      </c>
      <c r="F26" s="21">
        <f>+F24+F11</f>
        <v>38245.67</v>
      </c>
      <c r="G26" s="21">
        <f>+G24+G11</f>
        <v>42457.31</v>
      </c>
      <c r="H26" s="21">
        <f>+H24+H11</f>
        <v>42878.82</v>
      </c>
      <c r="I26" s="21">
        <f t="shared" si="5"/>
        <v>43889</v>
      </c>
      <c r="J26" s="21">
        <f t="shared" ref="J26" si="6">+J24+J11</f>
        <v>42131.199999999997</v>
      </c>
      <c r="K26" s="22">
        <f>+K24+K11</f>
        <v>46980</v>
      </c>
      <c r="L26" s="21">
        <f t="shared" ref="L26:O26" si="7">+L24+L11</f>
        <v>38774.019999999997</v>
      </c>
      <c r="M26" s="22">
        <f t="shared" si="7"/>
        <v>46521</v>
      </c>
      <c r="N26" s="21">
        <f t="shared" ref="N26" si="8">+N24+N11</f>
        <v>38780.04</v>
      </c>
      <c r="O26" s="22">
        <f t="shared" si="7"/>
        <v>56594</v>
      </c>
      <c r="P26" s="21">
        <f t="shared" si="5"/>
        <v>22938.13</v>
      </c>
      <c r="Q26" s="22">
        <f>+Q24+Q11</f>
        <v>58593</v>
      </c>
      <c r="R26" s="22">
        <f>+Q26</f>
        <v>58593</v>
      </c>
      <c r="S26" s="22">
        <f>+Q26</f>
        <v>58593</v>
      </c>
    </row>
    <row r="27" spans="1:24" ht="16.5" thickTop="1" x14ac:dyDescent="0.25">
      <c r="A27" s="774"/>
      <c r="B27" s="4"/>
      <c r="C27" s="23"/>
      <c r="D27" s="23"/>
      <c r="E27" s="23"/>
      <c r="F27" s="23"/>
      <c r="G27" s="23"/>
      <c r="H27" s="23"/>
      <c r="I27" s="23"/>
      <c r="J27" s="23"/>
      <c r="K27" s="23"/>
      <c r="L27" s="23"/>
      <c r="M27" s="23"/>
      <c r="N27" s="23"/>
      <c r="O27" s="23"/>
      <c r="P27" s="199" t="s">
        <v>843</v>
      </c>
      <c r="Q27" s="1116">
        <f>+Q26-O26</f>
        <v>1999</v>
      </c>
      <c r="R27" s="1117">
        <f>ROUND((+Q27/O26),4)</f>
        <v>3.5299999999999998E-2</v>
      </c>
      <c r="S27" s="73"/>
      <c r="T27" s="23"/>
      <c r="U27" s="25"/>
      <c r="V27" s="201"/>
      <c r="W27" s="25"/>
    </row>
    <row r="28" spans="1:24" x14ac:dyDescent="0.2">
      <c r="A28" s="774"/>
      <c r="B28" s="4" t="s">
        <v>911</v>
      </c>
      <c r="C28" s="23"/>
      <c r="D28" s="212"/>
      <c r="E28" s="212"/>
      <c r="F28" s="212"/>
      <c r="G28" s="212"/>
      <c r="H28" s="212"/>
      <c r="I28" s="212"/>
      <c r="J28" s="212"/>
      <c r="K28" s="212"/>
      <c r="L28" s="212"/>
      <c r="M28" s="212"/>
      <c r="N28" s="212"/>
      <c r="O28" s="212"/>
      <c r="P28" s="1"/>
      <c r="Q28"/>
      <c r="R28"/>
      <c r="S28" s="73"/>
      <c r="T28" s="25"/>
      <c r="U28" s="1"/>
      <c r="X28"/>
    </row>
    <row r="29" spans="1:24" ht="13.5" thickBot="1" x14ac:dyDescent="0.25">
      <c r="A29" s="774"/>
      <c r="B29" s="4"/>
      <c r="C29" s="23"/>
      <c r="D29" s="212"/>
      <c r="E29" s="212"/>
      <c r="F29" s="212"/>
      <c r="G29" s="212"/>
      <c r="H29" s="212"/>
      <c r="I29" s="212"/>
      <c r="J29" s="212"/>
      <c r="K29" s="212"/>
      <c r="L29" s="212"/>
      <c r="M29" s="212"/>
      <c r="N29" s="212"/>
      <c r="O29" s="212"/>
      <c r="P29" s="1"/>
      <c r="Q29"/>
      <c r="R29"/>
      <c r="S29"/>
      <c r="T29"/>
      <c r="U29" s="1"/>
      <c r="X29"/>
    </row>
    <row r="30" spans="1:24" ht="13.5" thickTop="1" x14ac:dyDescent="0.2">
      <c r="A30" s="781" t="s">
        <v>872</v>
      </c>
      <c r="B30" s="99"/>
      <c r="D30" s="212"/>
      <c r="E30" s="212"/>
      <c r="F30" s="212"/>
      <c r="G30" s="212"/>
      <c r="H30" s="131" t="s">
        <v>873</v>
      </c>
      <c r="I30" s="212"/>
      <c r="J30" s="212"/>
      <c r="K30" s="212"/>
      <c r="L30" s="212"/>
      <c r="M30" s="269" t="s">
        <v>873</v>
      </c>
      <c r="N30" s="138" t="s">
        <v>1214</v>
      </c>
      <c r="O30" s="150" t="s">
        <v>1243</v>
      </c>
      <c r="P30" s="140" t="s">
        <v>875</v>
      </c>
      <c r="Q30"/>
      <c r="R30"/>
      <c r="S30" s="205" t="s">
        <v>876</v>
      </c>
      <c r="T30"/>
    </row>
    <row r="31" spans="1:24" ht="13.5" thickBot="1" x14ac:dyDescent="0.25">
      <c r="A31" s="782" t="s">
        <v>877</v>
      </c>
      <c r="B31" s="101" t="s">
        <v>878</v>
      </c>
      <c r="D31" s="212"/>
      <c r="E31" s="212"/>
      <c r="F31" s="212"/>
      <c r="G31" s="212"/>
      <c r="H31" s="142" t="s">
        <v>912</v>
      </c>
      <c r="I31" s="212"/>
      <c r="J31" s="212"/>
      <c r="K31" s="212"/>
      <c r="L31" s="212"/>
      <c r="M31" s="287">
        <v>45108</v>
      </c>
      <c r="N31" s="141" t="s">
        <v>879</v>
      </c>
      <c r="O31" s="142" t="s">
        <v>880</v>
      </c>
      <c r="P31" s="142" t="s">
        <v>881</v>
      </c>
      <c r="Q31" s="107" t="s">
        <v>882</v>
      </c>
      <c r="R31" s="107"/>
      <c r="S31" s="107" t="s">
        <v>571</v>
      </c>
      <c r="T31" s="107" t="s">
        <v>883</v>
      </c>
    </row>
    <row r="32" spans="1:24" ht="13.5" thickTop="1" x14ac:dyDescent="0.2">
      <c r="A32" s="153">
        <v>40009</v>
      </c>
      <c r="B32" s="60" t="s">
        <v>1447</v>
      </c>
      <c r="D32" s="212"/>
      <c r="E32" s="212"/>
      <c r="F32" s="212"/>
      <c r="G32" s="212"/>
      <c r="H32" s="13" t="s">
        <v>1448</v>
      </c>
      <c r="I32" s="212"/>
      <c r="J32" s="212"/>
      <c r="K32" s="212"/>
      <c r="L32" s="212"/>
      <c r="M32" s="13" t="s">
        <v>1449</v>
      </c>
      <c r="N32" s="13">
        <f>+'NAGE &amp; Non-Union Wages'!L18</f>
        <v>41.56</v>
      </c>
      <c r="O32" s="14">
        <v>1092</v>
      </c>
      <c r="P32" s="148">
        <f>ROUND((+N32*O32),2)</f>
        <v>45383.519999999997</v>
      </c>
      <c r="Q32" s="153">
        <v>40009</v>
      </c>
      <c r="R32" s="153"/>
      <c r="S32" s="783">
        <v>14</v>
      </c>
      <c r="T32" s="2">
        <v>500</v>
      </c>
    </row>
    <row r="33" spans="1:24" x14ac:dyDescent="0.2">
      <c r="A33" s="774"/>
      <c r="B33" s="4" t="s">
        <v>1450</v>
      </c>
      <c r="C33" s="23"/>
      <c r="D33" s="23"/>
      <c r="E33" s="23"/>
      <c r="F33" s="212"/>
      <c r="G33" s="23"/>
      <c r="H33" s="23"/>
      <c r="I33" s="23"/>
      <c r="J33" s="23"/>
      <c r="K33" s="23"/>
      <c r="L33" s="23"/>
      <c r="M33" s="23"/>
      <c r="N33" s="23"/>
      <c r="O33" s="23"/>
      <c r="P33" s="25"/>
      <c r="Q33" s="23"/>
      <c r="R33" s="23"/>
      <c r="S33" s="23"/>
      <c r="T33" s="23"/>
      <c r="U33" s="25"/>
      <c r="V33" s="25"/>
      <c r="W33" s="25"/>
    </row>
    <row r="34" spans="1:24" ht="13.5" thickBot="1" x14ac:dyDescent="0.25">
      <c r="A34" s="774"/>
      <c r="B34" s="4"/>
      <c r="C34" s="23"/>
      <c r="D34" s="23"/>
      <c r="E34" s="23"/>
      <c r="F34" s="212"/>
      <c r="G34" s="23"/>
      <c r="H34" s="23"/>
      <c r="I34" s="23"/>
      <c r="J34" s="23"/>
      <c r="K34" s="23"/>
      <c r="L34" s="23"/>
      <c r="M34" s="23"/>
      <c r="N34" s="23"/>
      <c r="O34" s="23"/>
      <c r="P34" s="25"/>
      <c r="Q34" s="23"/>
      <c r="R34" s="23"/>
      <c r="S34" s="23"/>
      <c r="T34" s="23"/>
      <c r="U34" s="25"/>
      <c r="V34" s="25"/>
      <c r="W34" s="25"/>
    </row>
    <row r="35" spans="1:24" ht="13.5" thickTop="1" x14ac:dyDescent="0.2">
      <c r="A35" s="789"/>
      <c r="B35" s="367"/>
      <c r="C35" s="368" t="s">
        <v>280</v>
      </c>
      <c r="D35" s="369" t="s">
        <v>280</v>
      </c>
      <c r="E35" s="369" t="s">
        <v>280</v>
      </c>
      <c r="F35" s="212"/>
      <c r="G35" s="212"/>
      <c r="H35" s="212"/>
      <c r="I35" s="212"/>
      <c r="J35" s="212"/>
      <c r="K35" s="212"/>
      <c r="L35" s="212"/>
      <c r="M35" s="370" t="s">
        <v>279</v>
      </c>
      <c r="N35" s="371" t="s">
        <v>826</v>
      </c>
      <c r="O35" s="372" t="s">
        <v>840</v>
      </c>
      <c r="P35" s="371" t="s">
        <v>841</v>
      </c>
      <c r="Q35" s="373"/>
      <c r="R35" s="569"/>
      <c r="S35" s="372"/>
      <c r="T35" s="23"/>
      <c r="U35" s="25"/>
      <c r="V35" s="25"/>
      <c r="W35" s="25"/>
      <c r="X35"/>
    </row>
    <row r="36" spans="1:24" ht="13.5" thickBot="1" x14ac:dyDescent="0.25">
      <c r="A36" s="790" t="s">
        <v>825</v>
      </c>
      <c r="B36" s="374"/>
      <c r="C36" s="375" t="s">
        <v>267</v>
      </c>
      <c r="D36" s="375" t="s">
        <v>268</v>
      </c>
      <c r="E36" s="376" t="s">
        <v>269</v>
      </c>
      <c r="F36" s="212"/>
      <c r="G36" s="212"/>
      <c r="H36" s="212"/>
      <c r="I36" s="212"/>
      <c r="J36" s="212"/>
      <c r="K36" s="212"/>
      <c r="L36" s="212"/>
      <c r="M36" s="377" t="s">
        <v>277</v>
      </c>
      <c r="N36" s="377" t="s">
        <v>571</v>
      </c>
      <c r="O36" s="376" t="s">
        <v>843</v>
      </c>
      <c r="P36" s="378" t="s">
        <v>843</v>
      </c>
      <c r="Q36" s="379" t="s">
        <v>844</v>
      </c>
      <c r="R36" s="570"/>
      <c r="S36" s="377"/>
      <c r="T36" s="23"/>
      <c r="U36" s="25"/>
      <c r="V36" s="25"/>
      <c r="W36" s="25"/>
      <c r="X36"/>
    </row>
    <row r="37" spans="1:24" ht="13.5" thickTop="1" x14ac:dyDescent="0.2">
      <c r="A37" s="797"/>
      <c r="B37" s="394"/>
      <c r="C37" s="383"/>
      <c r="D37" s="383"/>
      <c r="E37" s="383"/>
      <c r="F37" s="212"/>
      <c r="G37" s="212"/>
      <c r="H37" s="212"/>
      <c r="I37" s="212"/>
      <c r="J37" s="212"/>
      <c r="K37" s="212"/>
      <c r="L37" s="212"/>
      <c r="M37" s="384"/>
      <c r="N37" s="383"/>
      <c r="O37" s="414"/>
      <c r="P37" s="392"/>
      <c r="Q37" s="385"/>
      <c r="R37" s="572"/>
      <c r="S37" s="386"/>
      <c r="T37" s="23"/>
      <c r="U37" s="25"/>
      <c r="V37" s="25"/>
      <c r="W37" s="25"/>
      <c r="X37"/>
    </row>
    <row r="38" spans="1:24" x14ac:dyDescent="0.2">
      <c r="A38" s="795">
        <v>5113</v>
      </c>
      <c r="B38" s="418" t="s">
        <v>1442</v>
      </c>
      <c r="C38" s="391">
        <v>16942.54</v>
      </c>
      <c r="D38" s="391">
        <v>25004.240000000002</v>
      </c>
      <c r="E38" s="391">
        <v>25781.62</v>
      </c>
      <c r="F38" s="212"/>
      <c r="G38" s="212"/>
      <c r="H38" s="212"/>
      <c r="I38" s="212"/>
      <c r="J38" s="212"/>
      <c r="K38" s="212"/>
      <c r="L38" s="212"/>
      <c r="M38" s="557">
        <f>+O9</f>
        <v>43034</v>
      </c>
      <c r="N38" s="411">
        <f>+Q9</f>
        <v>45384</v>
      </c>
      <c r="O38" s="414">
        <f t="shared" ref="O38:O50" si="9">+N38-M38</f>
        <v>2350</v>
      </c>
      <c r="P38" s="392">
        <f t="shared" ref="P38:P50" si="10">IF(M38+N38&lt;&gt;0,IF(M38&lt;&gt;0,IF(O38&lt;&gt;0,ROUND((+O38/M38),4),""),1),"")</f>
        <v>5.4600000000000003E-2</v>
      </c>
      <c r="Q38" s="385"/>
      <c r="R38" s="572"/>
      <c r="S38" s="386"/>
      <c r="T38" s="23"/>
      <c r="U38" s="25"/>
      <c r="V38" s="25"/>
      <c r="W38" s="25"/>
      <c r="X38"/>
    </row>
    <row r="39" spans="1:24" ht="13.5" thickBot="1" x14ac:dyDescent="0.25">
      <c r="A39" s="795">
        <v>5144</v>
      </c>
      <c r="B39" s="394" t="s">
        <v>27</v>
      </c>
      <c r="C39" s="389"/>
      <c r="D39" s="389"/>
      <c r="E39" s="389"/>
      <c r="F39" s="212"/>
      <c r="G39" s="212"/>
      <c r="H39" s="212"/>
      <c r="I39" s="212"/>
      <c r="J39" s="212"/>
      <c r="K39" s="212"/>
      <c r="L39" s="212"/>
      <c r="M39" s="557">
        <f>+O10</f>
        <v>500</v>
      </c>
      <c r="N39" s="411">
        <f>+Q10</f>
        <v>500</v>
      </c>
      <c r="O39" s="414">
        <f t="shared" si="9"/>
        <v>0</v>
      </c>
      <c r="P39" s="392" t="str">
        <f t="shared" si="10"/>
        <v/>
      </c>
      <c r="Q39" s="385"/>
      <c r="R39" s="572"/>
      <c r="S39" s="386"/>
      <c r="T39" s="23"/>
      <c r="U39" s="25"/>
      <c r="V39" s="25"/>
      <c r="W39" s="25"/>
      <c r="X39"/>
    </row>
    <row r="40" spans="1:24" x14ac:dyDescent="0.2">
      <c r="A40" s="795">
        <v>5211</v>
      </c>
      <c r="B40" s="387" t="s">
        <v>1410</v>
      </c>
      <c r="C40" s="391">
        <v>3508.51</v>
      </c>
      <c r="D40" s="391">
        <v>3502.18</v>
      </c>
      <c r="E40" s="391">
        <v>3083.86</v>
      </c>
      <c r="F40" s="212"/>
      <c r="G40" s="212"/>
      <c r="H40" s="212"/>
      <c r="I40" s="212"/>
      <c r="J40" s="212"/>
      <c r="K40" s="212"/>
      <c r="L40" s="212"/>
      <c r="M40" s="384">
        <f t="shared" ref="M40:M50" si="11">+O13</f>
        <v>4235</v>
      </c>
      <c r="N40" s="411">
        <f t="shared" ref="N40:N50" si="12">+Q13</f>
        <v>3732</v>
      </c>
      <c r="O40" s="414">
        <f t="shared" si="9"/>
        <v>-503</v>
      </c>
      <c r="P40" s="392">
        <f t="shared" si="10"/>
        <v>-0.1188</v>
      </c>
      <c r="Q40" s="385" t="s">
        <v>2232</v>
      </c>
      <c r="R40" s="572"/>
      <c r="S40" s="386"/>
      <c r="T40" s="23"/>
      <c r="U40" s="25"/>
      <c r="V40" s="25"/>
      <c r="W40" s="25"/>
      <c r="X40"/>
    </row>
    <row r="41" spans="1:24" x14ac:dyDescent="0.2">
      <c r="A41" s="795">
        <v>5214</v>
      </c>
      <c r="B41" s="387" t="s">
        <v>1443</v>
      </c>
      <c r="C41" s="391">
        <v>1669.01</v>
      </c>
      <c r="D41" s="391">
        <v>1925.82</v>
      </c>
      <c r="E41" s="391">
        <v>1944.03</v>
      </c>
      <c r="F41" s="212"/>
      <c r="G41" s="212"/>
      <c r="H41" s="212"/>
      <c r="I41" s="212"/>
      <c r="J41" s="212"/>
      <c r="K41" s="212"/>
      <c r="L41" s="212"/>
      <c r="M41" s="384">
        <f t="shared" si="11"/>
        <v>1650</v>
      </c>
      <c r="N41" s="411">
        <f t="shared" si="12"/>
        <v>1952</v>
      </c>
      <c r="O41" s="414">
        <f t="shared" si="9"/>
        <v>302</v>
      </c>
      <c r="P41" s="392">
        <f t="shared" si="10"/>
        <v>0.183</v>
      </c>
      <c r="Q41" s="385" t="s">
        <v>2233</v>
      </c>
      <c r="R41" s="572"/>
      <c r="S41" s="386"/>
      <c r="T41" s="23"/>
      <c r="U41" s="25"/>
      <c r="V41" s="25"/>
      <c r="W41" s="25"/>
      <c r="X41"/>
    </row>
    <row r="42" spans="1:24" x14ac:dyDescent="0.2">
      <c r="A42" s="795">
        <v>5231</v>
      </c>
      <c r="B42" s="387" t="s">
        <v>1444</v>
      </c>
      <c r="C42" s="391"/>
      <c r="D42" s="391"/>
      <c r="E42" s="391"/>
      <c r="F42" s="212"/>
      <c r="G42" s="212"/>
      <c r="H42" s="212"/>
      <c r="I42" s="212"/>
      <c r="J42" s="212"/>
      <c r="K42" s="212"/>
      <c r="L42" s="212"/>
      <c r="M42" s="384">
        <f t="shared" si="11"/>
        <v>120</v>
      </c>
      <c r="N42" s="411">
        <f t="shared" si="12"/>
        <v>75</v>
      </c>
      <c r="O42" s="414">
        <f t="shared" si="9"/>
        <v>-45</v>
      </c>
      <c r="P42" s="392">
        <f t="shared" si="10"/>
        <v>-0.375</v>
      </c>
      <c r="Q42" s="385" t="s">
        <v>2234</v>
      </c>
      <c r="R42" s="572"/>
      <c r="S42" s="386"/>
      <c r="T42" s="23"/>
      <c r="U42" s="25"/>
      <c r="V42" s="25"/>
      <c r="W42" s="25"/>
      <c r="X42"/>
    </row>
    <row r="43" spans="1:24" x14ac:dyDescent="0.2">
      <c r="A43" s="795">
        <v>5232</v>
      </c>
      <c r="B43" s="387" t="s">
        <v>581</v>
      </c>
      <c r="C43" s="391"/>
      <c r="D43" s="391"/>
      <c r="E43" s="391"/>
      <c r="F43" s="212"/>
      <c r="G43" s="212"/>
      <c r="H43" s="212"/>
      <c r="I43" s="212"/>
      <c r="J43" s="212"/>
      <c r="K43" s="212"/>
      <c r="L43" s="212"/>
      <c r="M43" s="384">
        <f t="shared" si="11"/>
        <v>455</v>
      </c>
      <c r="N43" s="411">
        <f t="shared" si="12"/>
        <v>250</v>
      </c>
      <c r="O43" s="414">
        <f t="shared" si="9"/>
        <v>-205</v>
      </c>
      <c r="P43" s="392">
        <f t="shared" si="10"/>
        <v>-0.45050000000000001</v>
      </c>
      <c r="Q43" s="385" t="s">
        <v>2235</v>
      </c>
      <c r="R43" s="572"/>
      <c r="S43" s="386"/>
      <c r="T43" s="23"/>
      <c r="U43" s="25"/>
      <c r="V43" s="25"/>
      <c r="W43" s="25"/>
      <c r="X43"/>
    </row>
    <row r="44" spans="1:24" x14ac:dyDescent="0.2">
      <c r="A44" s="795">
        <v>5242</v>
      </c>
      <c r="B44" s="387" t="s">
        <v>1293</v>
      </c>
      <c r="C44" s="391">
        <v>545.99</v>
      </c>
      <c r="D44" s="391">
        <v>2105</v>
      </c>
      <c r="E44" s="391">
        <v>2382</v>
      </c>
      <c r="F44" s="212"/>
      <c r="G44" s="212"/>
      <c r="H44" s="212"/>
      <c r="I44" s="212"/>
      <c r="J44" s="212"/>
      <c r="K44" s="212"/>
      <c r="L44" s="212"/>
      <c r="M44" s="384">
        <f t="shared" si="11"/>
        <v>2000</v>
      </c>
      <c r="N44" s="411">
        <f t="shared" si="12"/>
        <v>2500</v>
      </c>
      <c r="O44" s="414">
        <f t="shared" si="9"/>
        <v>500</v>
      </c>
      <c r="P44" s="392">
        <f t="shared" si="10"/>
        <v>0.25</v>
      </c>
      <c r="Q44" s="385" t="s">
        <v>2236</v>
      </c>
      <c r="R44" s="572"/>
      <c r="S44" s="386"/>
      <c r="T44" s="23"/>
      <c r="U44" s="25"/>
      <c r="V44" s="25"/>
      <c r="W44" s="25"/>
      <c r="X44"/>
    </row>
    <row r="45" spans="1:24" x14ac:dyDescent="0.2">
      <c r="A45" s="795">
        <v>5251</v>
      </c>
      <c r="B45" s="387" t="s">
        <v>1297</v>
      </c>
      <c r="C45" s="391">
        <v>149</v>
      </c>
      <c r="D45" s="391">
        <v>156.53</v>
      </c>
      <c r="E45" s="391">
        <v>244.8</v>
      </c>
      <c r="F45" s="212"/>
      <c r="G45" s="212"/>
      <c r="H45" s="212"/>
      <c r="I45" s="212"/>
      <c r="J45" s="212"/>
      <c r="K45" s="212"/>
      <c r="L45" s="212"/>
      <c r="M45" s="384">
        <f t="shared" si="11"/>
        <v>400</v>
      </c>
      <c r="N45" s="411">
        <f t="shared" si="12"/>
        <v>0</v>
      </c>
      <c r="O45" s="414">
        <f t="shared" si="9"/>
        <v>-400</v>
      </c>
      <c r="P45" s="392">
        <f t="shared" si="10"/>
        <v>-1</v>
      </c>
      <c r="Q45" s="385" t="s">
        <v>2237</v>
      </c>
      <c r="R45" s="572"/>
      <c r="S45" s="386"/>
      <c r="T45" s="23"/>
      <c r="U45" s="25"/>
      <c r="V45" s="25"/>
      <c r="W45" s="25"/>
      <c r="X45"/>
    </row>
    <row r="46" spans="1:24" x14ac:dyDescent="0.2">
      <c r="A46" s="795">
        <v>5279</v>
      </c>
      <c r="B46" s="387" t="s">
        <v>1451</v>
      </c>
      <c r="C46" s="391">
        <v>3920</v>
      </c>
      <c r="D46" s="391">
        <v>3690</v>
      </c>
      <c r="E46" s="391">
        <v>2650</v>
      </c>
      <c r="F46" s="212"/>
      <c r="G46" s="212"/>
      <c r="H46" s="212"/>
      <c r="I46" s="212"/>
      <c r="J46" s="212"/>
      <c r="K46" s="212"/>
      <c r="L46" s="212"/>
      <c r="M46" s="384">
        <f t="shared" si="11"/>
        <v>4000</v>
      </c>
      <c r="N46" s="411">
        <f t="shared" si="12"/>
        <v>4000</v>
      </c>
      <c r="O46" s="414">
        <f t="shared" si="9"/>
        <v>0</v>
      </c>
      <c r="P46" s="392" t="str">
        <f t="shared" si="10"/>
        <v/>
      </c>
      <c r="Q46" s="385"/>
      <c r="R46" s="572"/>
      <c r="S46" s="386"/>
      <c r="T46" s="23"/>
      <c r="U46" s="25"/>
      <c r="V46" s="25"/>
      <c r="W46" s="25"/>
      <c r="X46"/>
    </row>
    <row r="47" spans="1:24" x14ac:dyDescent="0.2">
      <c r="A47" s="795">
        <v>5344</v>
      </c>
      <c r="B47" s="387" t="s">
        <v>832</v>
      </c>
      <c r="C47" s="391">
        <v>272.74</v>
      </c>
      <c r="D47" s="391"/>
      <c r="E47" s="391">
        <v>386.06</v>
      </c>
      <c r="F47" s="212"/>
      <c r="G47" s="212"/>
      <c r="H47" s="212"/>
      <c r="I47" s="212"/>
      <c r="J47" s="212"/>
      <c r="K47" s="212"/>
      <c r="L47" s="212"/>
      <c r="M47" s="384">
        <f t="shared" si="11"/>
        <v>0</v>
      </c>
      <c r="N47" s="411">
        <f t="shared" si="12"/>
        <v>0</v>
      </c>
      <c r="O47" s="414">
        <f t="shared" si="9"/>
        <v>0</v>
      </c>
      <c r="P47" s="392" t="str">
        <f t="shared" si="10"/>
        <v/>
      </c>
      <c r="Q47" s="385"/>
      <c r="R47" s="572"/>
      <c r="S47" s="386"/>
      <c r="T47" s="23"/>
      <c r="U47" s="25"/>
      <c r="V47" s="25"/>
      <c r="W47" s="25"/>
      <c r="X47"/>
    </row>
    <row r="48" spans="1:24" x14ac:dyDescent="0.2">
      <c r="A48" s="795">
        <v>5451</v>
      </c>
      <c r="B48" s="387" t="s">
        <v>1165</v>
      </c>
      <c r="C48" s="391"/>
      <c r="D48" s="391"/>
      <c r="E48" s="391"/>
      <c r="F48" s="212"/>
      <c r="G48" s="212"/>
      <c r="H48" s="212"/>
      <c r="I48" s="212"/>
      <c r="J48" s="212"/>
      <c r="K48" s="212"/>
      <c r="L48" s="212"/>
      <c r="M48" s="384">
        <f t="shared" si="11"/>
        <v>200</v>
      </c>
      <c r="N48" s="411">
        <f t="shared" si="12"/>
        <v>200</v>
      </c>
      <c r="O48" s="414">
        <f t="shared" si="9"/>
        <v>0</v>
      </c>
      <c r="P48" s="392" t="str">
        <f t="shared" si="10"/>
        <v/>
      </c>
      <c r="Q48" s="385"/>
      <c r="R48" s="572"/>
      <c r="S48" s="386"/>
      <c r="T48" s="23"/>
      <c r="U48" s="4"/>
      <c r="V48" s="4" t="s">
        <v>1452</v>
      </c>
      <c r="W48" s="4"/>
      <c r="X48"/>
    </row>
    <row r="49" spans="1:24" x14ac:dyDescent="0.2">
      <c r="A49" s="795">
        <v>5586</v>
      </c>
      <c r="B49" s="387" t="s">
        <v>1440</v>
      </c>
      <c r="C49" s="391"/>
      <c r="D49" s="391">
        <v>314.31</v>
      </c>
      <c r="E49" s="391">
        <v>1371.15</v>
      </c>
      <c r="F49" s="212"/>
      <c r="G49" s="212"/>
      <c r="H49" s="212"/>
      <c r="I49" s="212"/>
      <c r="J49" s="212"/>
      <c r="K49" s="212"/>
      <c r="L49" s="212"/>
      <c r="M49" s="384">
        <f t="shared" si="11"/>
        <v>0</v>
      </c>
      <c r="N49" s="411">
        <f t="shared" si="12"/>
        <v>0</v>
      </c>
      <c r="O49" s="414">
        <f t="shared" si="9"/>
        <v>0</v>
      </c>
      <c r="P49" s="392" t="str">
        <f t="shared" si="10"/>
        <v/>
      </c>
      <c r="Q49" s="385"/>
      <c r="R49" s="572"/>
      <c r="S49" s="386"/>
      <c r="T49" s="23"/>
      <c r="U49" s="4"/>
      <c r="V49" s="4"/>
      <c r="W49" s="4"/>
      <c r="X49"/>
    </row>
    <row r="50" spans="1:24" ht="13.5" thickBot="1" x14ac:dyDescent="0.25">
      <c r="A50" s="795">
        <v>5710</v>
      </c>
      <c r="B50" s="387" t="s">
        <v>869</v>
      </c>
      <c r="C50" s="389">
        <v>205</v>
      </c>
      <c r="D50" s="389">
        <v>46.92</v>
      </c>
      <c r="E50" s="389"/>
      <c r="F50" s="212"/>
      <c r="G50" s="212"/>
      <c r="H50" s="212"/>
      <c r="I50" s="212"/>
      <c r="J50" s="212"/>
      <c r="K50" s="212"/>
      <c r="L50" s="212"/>
      <c r="M50" s="384">
        <f t="shared" si="11"/>
        <v>0</v>
      </c>
      <c r="N50" s="411">
        <f t="shared" si="12"/>
        <v>0</v>
      </c>
      <c r="O50" s="414">
        <f t="shared" si="9"/>
        <v>0</v>
      </c>
      <c r="P50" s="392" t="str">
        <f t="shared" si="10"/>
        <v/>
      </c>
      <c r="Q50" s="385"/>
      <c r="R50" s="572"/>
      <c r="S50" s="386"/>
      <c r="T50" s="23"/>
      <c r="U50" s="4"/>
      <c r="V50" s="4"/>
      <c r="W50" s="4"/>
      <c r="X50"/>
    </row>
    <row r="51" spans="1:24" x14ac:dyDescent="0.2">
      <c r="A51" s="774"/>
      <c r="B51" s="4"/>
      <c r="C51" s="23"/>
      <c r="D51" s="23"/>
      <c r="E51" s="23"/>
      <c r="F51" s="23"/>
      <c r="G51" s="23"/>
      <c r="H51" s="212"/>
      <c r="I51" s="212"/>
      <c r="J51" s="212"/>
      <c r="K51" s="212"/>
      <c r="L51" s="212"/>
      <c r="M51" s="23"/>
      <c r="N51" s="23"/>
      <c r="O51" s="23"/>
      <c r="P51" s="4"/>
      <c r="Q51" s="23"/>
      <c r="R51" s="23"/>
      <c r="S51" s="23"/>
      <c r="T51" s="23"/>
      <c r="U51" s="4"/>
      <c r="V51" s="4"/>
      <c r="W51" s="4"/>
      <c r="X51"/>
    </row>
    <row r="52" spans="1:24" x14ac:dyDescent="0.2">
      <c r="A52" s="774"/>
      <c r="B52" s="4" t="s">
        <v>846</v>
      </c>
      <c r="C52" s="23"/>
      <c r="D52" s="23"/>
      <c r="E52" s="23"/>
      <c r="F52" s="23"/>
      <c r="G52" s="23"/>
      <c r="H52" s="212"/>
      <c r="I52" s="212"/>
      <c r="J52" s="212"/>
      <c r="K52" s="212"/>
      <c r="L52" s="212"/>
      <c r="M52" s="616">
        <f>SUM(M38:M51)</f>
        <v>56594</v>
      </c>
      <c r="N52" s="616">
        <f>SUM(N38:N51)</f>
        <v>58593</v>
      </c>
      <c r="O52" s="25">
        <f>+N52-M52</f>
        <v>1999</v>
      </c>
      <c r="P52" s="617">
        <f>IF(M52+N52&lt;&gt;0,IF(M52&lt;&gt;0,IF(O52&lt;&gt;0,ROUND((+O52/M52),4),""),1),"")</f>
        <v>3.5299999999999998E-2</v>
      </c>
      <c r="Q52" s="23"/>
      <c r="R52" s="23"/>
      <c r="S52" s="23"/>
      <c r="T52" s="23"/>
      <c r="U52" s="4"/>
      <c r="V52" s="4"/>
      <c r="W52" s="4"/>
      <c r="X52"/>
    </row>
    <row r="53" spans="1:24" x14ac:dyDescent="0.2">
      <c r="A53" s="774"/>
      <c r="B53" s="4"/>
      <c r="C53" s="23"/>
      <c r="D53" s="23"/>
      <c r="E53" s="23"/>
      <c r="F53" s="23"/>
      <c r="G53" s="23"/>
      <c r="H53" s="23"/>
      <c r="I53" s="23"/>
      <c r="J53" s="23"/>
      <c r="K53" s="23"/>
      <c r="L53" s="23"/>
      <c r="M53" s="23"/>
      <c r="N53" s="23"/>
      <c r="O53" s="23"/>
      <c r="P53" s="4"/>
      <c r="Q53" s="23"/>
      <c r="R53" s="23"/>
      <c r="S53" s="23"/>
      <c r="T53" s="23"/>
      <c r="U53" s="4"/>
      <c r="V53" s="4"/>
      <c r="W53" s="4"/>
      <c r="X53"/>
    </row>
    <row r="54" spans="1:24" x14ac:dyDescent="0.2">
      <c r="A54" s="774"/>
      <c r="B54" s="4"/>
      <c r="C54" s="23"/>
      <c r="D54" s="23"/>
      <c r="E54" s="23"/>
      <c r="F54" s="23"/>
      <c r="G54" s="23"/>
      <c r="H54" s="23"/>
      <c r="I54" s="23"/>
      <c r="J54" s="23"/>
      <c r="K54" s="23"/>
      <c r="L54" s="23"/>
      <c r="M54" s="23"/>
      <c r="N54" s="23"/>
      <c r="O54" s="23"/>
      <c r="P54" s="4"/>
      <c r="Q54" s="23"/>
      <c r="R54" s="23"/>
      <c r="S54" s="23"/>
      <c r="T54" s="23"/>
      <c r="U54" s="4"/>
      <c r="V54" s="4"/>
      <c r="W54" s="4"/>
      <c r="X54"/>
    </row>
    <row r="55" spans="1:24" x14ac:dyDescent="0.2">
      <c r="A55" s="774"/>
      <c r="B55" s="4"/>
      <c r="C55" s="23"/>
      <c r="D55" s="23"/>
      <c r="E55" s="23"/>
      <c r="F55" s="23"/>
      <c r="G55" s="23"/>
      <c r="H55" s="23"/>
      <c r="I55" s="23"/>
      <c r="J55" s="23"/>
      <c r="K55" s="23"/>
      <c r="L55" s="23"/>
      <c r="M55" s="23"/>
      <c r="N55" s="23"/>
      <c r="O55" s="23"/>
      <c r="P55" s="4"/>
      <c r="Q55" s="23"/>
      <c r="R55" s="23"/>
      <c r="S55" s="23"/>
      <c r="T55" s="23"/>
      <c r="U55" s="4"/>
      <c r="V55" s="4"/>
      <c r="W55" s="4"/>
      <c r="X55"/>
    </row>
    <row r="56" spans="1:24" x14ac:dyDescent="0.2">
      <c r="A56" s="774"/>
      <c r="B56" s="4"/>
      <c r="C56" s="23"/>
      <c r="D56" s="23"/>
      <c r="E56" s="23"/>
      <c r="F56" s="23"/>
      <c r="G56" s="23"/>
      <c r="H56" s="23"/>
      <c r="I56" s="23"/>
      <c r="J56" s="23"/>
      <c r="K56" s="23"/>
      <c r="L56" s="23"/>
      <c r="M56" s="23"/>
      <c r="N56" s="23"/>
      <c r="O56" s="23"/>
      <c r="P56" s="4"/>
      <c r="Q56" s="23"/>
      <c r="R56" s="23"/>
      <c r="S56" s="23"/>
      <c r="T56" s="23"/>
      <c r="U56" s="4"/>
      <c r="V56" s="4"/>
      <c r="W56" s="4"/>
      <c r="X56"/>
    </row>
    <row r="57" spans="1:24" x14ac:dyDescent="0.2">
      <c r="A57" s="774"/>
      <c r="B57" s="4"/>
      <c r="C57" s="23"/>
      <c r="D57" s="23"/>
      <c r="E57" s="23"/>
      <c r="F57" s="23"/>
      <c r="G57" s="23"/>
      <c r="H57" s="23"/>
      <c r="I57" s="23"/>
      <c r="J57" s="23"/>
      <c r="K57" s="23"/>
      <c r="L57" s="23"/>
      <c r="M57" s="23"/>
      <c r="N57" s="23"/>
      <c r="O57" s="23"/>
      <c r="P57" s="4"/>
      <c r="Q57" s="23"/>
      <c r="R57" s="23"/>
      <c r="S57" s="23"/>
      <c r="T57" s="23"/>
      <c r="U57" s="4"/>
      <c r="V57" s="4"/>
      <c r="W57" s="4"/>
      <c r="X57"/>
    </row>
    <row r="58" spans="1:24" x14ac:dyDescent="0.2">
      <c r="A58" s="774"/>
      <c r="B58" s="4"/>
      <c r="C58" s="23"/>
      <c r="D58" s="23"/>
      <c r="E58" s="23"/>
      <c r="F58" s="23"/>
      <c r="G58" s="23"/>
      <c r="H58" s="23"/>
      <c r="I58" s="23"/>
      <c r="J58" s="23"/>
      <c r="K58" s="23"/>
      <c r="L58" s="23"/>
      <c r="M58" s="23"/>
      <c r="N58" s="23"/>
      <c r="O58" s="23"/>
      <c r="P58" s="4"/>
      <c r="Q58" s="23"/>
      <c r="R58" s="23"/>
      <c r="S58" s="23"/>
      <c r="T58" s="23"/>
      <c r="U58" s="4"/>
      <c r="V58" s="4"/>
      <c r="W58" s="4"/>
      <c r="X58"/>
    </row>
    <row r="59" spans="1:24" x14ac:dyDescent="0.2">
      <c r="A59" s="774"/>
      <c r="B59" s="4"/>
      <c r="C59" s="23"/>
      <c r="D59" s="23"/>
      <c r="E59" s="23"/>
      <c r="F59" s="23"/>
      <c r="G59" s="23"/>
      <c r="H59" s="23"/>
      <c r="I59" s="23"/>
      <c r="J59" s="23"/>
      <c r="K59" s="23"/>
      <c r="L59" s="23"/>
      <c r="M59" s="23"/>
      <c r="N59" s="23"/>
      <c r="O59" s="23"/>
      <c r="P59" s="4"/>
      <c r="Q59" s="23"/>
      <c r="R59" s="23"/>
      <c r="S59" s="23"/>
      <c r="T59" s="23"/>
      <c r="U59" s="4"/>
      <c r="V59" s="4"/>
      <c r="W59" s="4"/>
      <c r="X59"/>
    </row>
    <row r="60" spans="1:24" x14ac:dyDescent="0.2">
      <c r="A60" s="774"/>
      <c r="B60" s="4"/>
      <c r="C60" s="23"/>
      <c r="D60" s="23"/>
      <c r="E60" s="23"/>
      <c r="F60" s="23"/>
      <c r="G60" s="23"/>
      <c r="H60" s="23"/>
      <c r="I60" s="23"/>
      <c r="J60" s="23"/>
      <c r="K60" s="23"/>
      <c r="L60" s="23"/>
      <c r="M60" s="23"/>
      <c r="N60" s="23"/>
      <c r="O60" s="23"/>
      <c r="P60" s="4"/>
      <c r="Q60" s="23"/>
      <c r="R60" s="23"/>
      <c r="S60" s="23"/>
      <c r="T60" s="23"/>
      <c r="U60" s="4"/>
      <c r="V60" s="4"/>
      <c r="W60" s="4"/>
      <c r="X60"/>
    </row>
    <row r="61" spans="1:24" x14ac:dyDescent="0.2">
      <c r="A61" s="774"/>
      <c r="B61" s="4"/>
      <c r="C61" s="23"/>
      <c r="D61" s="23"/>
      <c r="E61" s="23"/>
      <c r="F61" s="23"/>
      <c r="G61" s="23"/>
      <c r="H61" s="23"/>
      <c r="I61" s="23"/>
      <c r="J61" s="23"/>
      <c r="K61" s="23"/>
      <c r="L61" s="23"/>
      <c r="M61" s="23"/>
      <c r="N61" s="23"/>
      <c r="O61" s="23"/>
      <c r="P61" s="4"/>
      <c r="Q61" s="23"/>
      <c r="R61" s="23"/>
      <c r="S61" s="23"/>
      <c r="T61" s="23"/>
      <c r="U61" s="4"/>
      <c r="V61" s="4"/>
      <c r="W61" s="4"/>
      <c r="X61"/>
    </row>
    <row r="62" spans="1:24" x14ac:dyDescent="0.2">
      <c r="A62" s="774"/>
      <c r="B62" s="4"/>
      <c r="C62" s="23"/>
      <c r="D62" s="23"/>
      <c r="E62" s="23"/>
      <c r="F62" s="23"/>
      <c r="G62" s="23"/>
      <c r="H62" s="23"/>
      <c r="I62" s="23"/>
      <c r="J62" s="23"/>
      <c r="K62" s="23"/>
      <c r="L62" s="23"/>
      <c r="M62" s="23"/>
      <c r="N62" s="23"/>
      <c r="O62" s="23"/>
      <c r="P62" s="4"/>
      <c r="Q62" s="23"/>
      <c r="R62" s="23"/>
      <c r="S62" s="23"/>
      <c r="T62" s="23"/>
      <c r="U62" s="4"/>
      <c r="V62" s="4"/>
      <c r="W62" s="4"/>
      <c r="X62"/>
    </row>
    <row r="63" spans="1:24" x14ac:dyDescent="0.2">
      <c r="A63" s="774"/>
      <c r="B63" s="4"/>
      <c r="C63" s="23"/>
      <c r="D63" s="23"/>
      <c r="E63" s="23"/>
      <c r="F63" s="23"/>
      <c r="G63" s="23"/>
      <c r="H63" s="23"/>
      <c r="I63" s="23"/>
      <c r="J63" s="23"/>
      <c r="K63" s="23"/>
      <c r="L63" s="23"/>
      <c r="M63" s="23"/>
      <c r="N63" s="23"/>
      <c r="O63" s="23"/>
      <c r="P63" s="4"/>
      <c r="Q63" s="23"/>
      <c r="R63" s="23"/>
      <c r="S63" s="23"/>
      <c r="T63" s="23"/>
      <c r="U63" s="4"/>
      <c r="V63" s="4"/>
      <c r="W63" s="4"/>
      <c r="X63"/>
    </row>
    <row r="64" spans="1:24" x14ac:dyDescent="0.2">
      <c r="A64" s="774"/>
      <c r="B64" s="4"/>
      <c r="C64" s="23"/>
      <c r="D64" s="23"/>
      <c r="E64" s="23"/>
      <c r="F64" s="23"/>
      <c r="G64" s="23"/>
      <c r="H64" s="23"/>
      <c r="I64" s="23"/>
      <c r="J64" s="23"/>
      <c r="K64" s="23"/>
      <c r="L64" s="23"/>
      <c r="M64" s="23"/>
      <c r="N64" s="23"/>
      <c r="O64" s="23"/>
      <c r="P64" s="4"/>
      <c r="Q64" s="23"/>
      <c r="R64" s="23"/>
      <c r="S64" s="23"/>
      <c r="T64" s="23"/>
      <c r="U64" s="4"/>
      <c r="V64" s="4"/>
      <c r="W64" s="4"/>
      <c r="X64"/>
    </row>
    <row r="65" spans="1:24" x14ac:dyDescent="0.2">
      <c r="A65" s="774"/>
      <c r="B65" s="4"/>
      <c r="C65" s="23"/>
      <c r="D65" s="23"/>
      <c r="E65" s="23"/>
      <c r="F65" s="23"/>
      <c r="G65" s="23"/>
      <c r="H65" s="23"/>
      <c r="I65" s="23"/>
      <c r="J65" s="23"/>
      <c r="K65" s="23"/>
      <c r="L65" s="23"/>
      <c r="M65" s="23"/>
      <c r="N65" s="23"/>
      <c r="O65" s="23"/>
      <c r="P65" s="4"/>
      <c r="Q65" s="23"/>
      <c r="R65" s="23"/>
      <c r="S65" s="23"/>
      <c r="T65" s="23"/>
      <c r="U65" s="4"/>
      <c r="V65" s="4"/>
      <c r="W65" s="4"/>
      <c r="X65"/>
    </row>
    <row r="66" spans="1:24" x14ac:dyDescent="0.2">
      <c r="A66" s="774"/>
      <c r="B66" s="4"/>
      <c r="C66" s="23"/>
      <c r="D66" s="23"/>
      <c r="E66" s="23"/>
      <c r="F66" s="23"/>
      <c r="G66" s="23"/>
      <c r="H66" s="23"/>
      <c r="I66" s="23"/>
      <c r="J66" s="23"/>
      <c r="K66" s="23"/>
      <c r="L66" s="23"/>
      <c r="M66" s="23"/>
      <c r="N66" s="23"/>
      <c r="O66" s="23"/>
      <c r="P66" s="4"/>
      <c r="Q66" s="23"/>
      <c r="R66" s="23"/>
      <c r="S66" s="23"/>
      <c r="T66" s="23"/>
      <c r="U66" s="4"/>
      <c r="V66" s="4"/>
      <c r="W66" s="4"/>
      <c r="X66"/>
    </row>
    <row r="67" spans="1:24" x14ac:dyDescent="0.2">
      <c r="A67" s="774"/>
      <c r="B67" s="4"/>
      <c r="C67" s="23"/>
      <c r="D67" s="23"/>
      <c r="E67" s="23"/>
      <c r="F67" s="23"/>
      <c r="G67" s="23"/>
      <c r="H67" s="23"/>
      <c r="I67" s="23"/>
      <c r="J67" s="23"/>
      <c r="K67" s="23"/>
      <c r="L67" s="23"/>
      <c r="M67" s="23"/>
      <c r="N67" s="23"/>
      <c r="O67" s="23"/>
      <c r="P67" s="4"/>
      <c r="Q67" s="23"/>
      <c r="R67" s="23"/>
      <c r="S67" s="23"/>
      <c r="T67" s="23"/>
      <c r="U67" s="4"/>
      <c r="V67" s="4"/>
      <c r="W67" s="4"/>
      <c r="X67"/>
    </row>
    <row r="68" spans="1:24" x14ac:dyDescent="0.2">
      <c r="A68" s="774"/>
      <c r="B68" s="4"/>
      <c r="C68" s="23"/>
      <c r="D68" s="23"/>
      <c r="E68" s="23"/>
      <c r="F68" s="23"/>
      <c r="G68" s="23"/>
      <c r="H68" s="23"/>
      <c r="I68" s="23"/>
      <c r="J68" s="23"/>
      <c r="K68" s="23"/>
      <c r="L68" s="23"/>
      <c r="M68" s="23"/>
      <c r="N68" s="23"/>
      <c r="O68" s="23"/>
      <c r="P68" s="4"/>
      <c r="Q68" s="23"/>
      <c r="R68" s="23"/>
      <c r="S68" s="23"/>
      <c r="T68" s="23"/>
      <c r="U68" s="4"/>
      <c r="V68" s="4"/>
      <c r="W68" s="4"/>
      <c r="X68"/>
    </row>
    <row r="69" spans="1:24" x14ac:dyDescent="0.2">
      <c r="A69" s="774"/>
      <c r="B69" s="4"/>
      <c r="C69" s="23"/>
      <c r="D69" s="23"/>
      <c r="E69" s="23"/>
      <c r="F69" s="23"/>
      <c r="G69" s="23"/>
      <c r="H69" s="23"/>
      <c r="I69" s="23"/>
      <c r="J69" s="23"/>
      <c r="K69" s="23"/>
      <c r="L69" s="23"/>
      <c r="M69" s="23"/>
      <c r="N69" s="23"/>
      <c r="O69" s="23"/>
      <c r="P69" s="4"/>
      <c r="Q69" s="23"/>
      <c r="R69" s="23"/>
      <c r="S69" s="23"/>
      <c r="T69" s="23"/>
      <c r="U69" s="4"/>
      <c r="V69" s="4"/>
      <c r="W69" s="4"/>
      <c r="X69"/>
    </row>
    <row r="70" spans="1:24" x14ac:dyDescent="0.2">
      <c r="A70" s="774"/>
      <c r="B70" s="4"/>
      <c r="C70" s="23"/>
      <c r="D70" s="23"/>
      <c r="E70" s="23"/>
      <c r="F70" s="23"/>
      <c r="G70" s="23"/>
      <c r="H70" s="23"/>
      <c r="I70" s="23"/>
      <c r="J70" s="23"/>
      <c r="K70" s="23"/>
      <c r="L70" s="23"/>
      <c r="M70" s="23"/>
      <c r="N70" s="23"/>
      <c r="O70" s="23"/>
      <c r="P70" s="4"/>
      <c r="Q70" s="23"/>
      <c r="R70" s="23"/>
      <c r="S70" s="23"/>
      <c r="T70" s="23"/>
      <c r="U70" s="4"/>
      <c r="V70" s="4"/>
      <c r="W70" s="4"/>
      <c r="X70"/>
    </row>
    <row r="71" spans="1:24" x14ac:dyDescent="0.2">
      <c r="A71" s="774"/>
      <c r="B71" s="4"/>
      <c r="C71" s="23"/>
      <c r="D71" s="23"/>
      <c r="E71" s="23"/>
      <c r="F71" s="23"/>
      <c r="G71" s="23"/>
      <c r="H71" s="23"/>
      <c r="I71" s="23"/>
      <c r="J71" s="23"/>
      <c r="K71" s="23"/>
      <c r="L71" s="23"/>
      <c r="M71" s="23"/>
      <c r="N71" s="23"/>
      <c r="O71" s="23"/>
      <c r="P71" s="4"/>
      <c r="Q71" s="23"/>
      <c r="R71" s="23"/>
      <c r="S71" s="23"/>
      <c r="T71" s="23"/>
      <c r="U71" s="4"/>
      <c r="V71" s="4"/>
      <c r="W71" s="4"/>
      <c r="X71"/>
    </row>
    <row r="72" spans="1:24" x14ac:dyDescent="0.2">
      <c r="A72" s="774"/>
      <c r="B72" s="4"/>
      <c r="C72" s="23"/>
      <c r="D72" s="23"/>
      <c r="E72" s="23"/>
      <c r="F72" s="23"/>
      <c r="G72" s="23"/>
      <c r="H72" s="23"/>
      <c r="I72" s="23"/>
      <c r="J72" s="23"/>
      <c r="K72" s="23"/>
      <c r="L72" s="23"/>
      <c r="M72" s="23"/>
      <c r="N72" s="23"/>
      <c r="O72" s="23"/>
      <c r="P72" s="4"/>
      <c r="Q72" s="23"/>
      <c r="R72" s="23"/>
      <c r="S72" s="23"/>
      <c r="T72" s="23"/>
      <c r="U72" s="4"/>
      <c r="V72" s="4"/>
      <c r="W72" s="4"/>
      <c r="X72"/>
    </row>
    <row r="73" spans="1:24" x14ac:dyDescent="0.2">
      <c r="A73" s="774"/>
      <c r="B73" s="4"/>
      <c r="C73" s="23"/>
      <c r="D73" s="23"/>
      <c r="E73" s="23"/>
      <c r="F73" s="23"/>
      <c r="G73" s="23"/>
      <c r="H73" s="23"/>
      <c r="I73" s="23"/>
      <c r="J73" s="23"/>
      <c r="K73" s="23"/>
      <c r="L73" s="23"/>
      <c r="M73" s="23"/>
      <c r="N73" s="23"/>
      <c r="O73" s="23"/>
      <c r="P73" s="4"/>
      <c r="Q73" s="23"/>
      <c r="R73" s="23"/>
      <c r="S73" s="23"/>
      <c r="T73" s="23"/>
      <c r="U73" s="4"/>
      <c r="V73" s="4"/>
      <c r="W73" s="4"/>
      <c r="X73"/>
    </row>
    <row r="74" spans="1:24" x14ac:dyDescent="0.2">
      <c r="A74" s="774"/>
      <c r="B74" s="4"/>
      <c r="C74" s="23"/>
      <c r="D74" s="23"/>
      <c r="E74" s="23"/>
      <c r="F74" s="23"/>
      <c r="G74" s="23"/>
      <c r="H74" s="23"/>
      <c r="I74" s="23"/>
      <c r="J74" s="23"/>
      <c r="K74" s="23"/>
      <c r="L74" s="23"/>
      <c r="M74" s="23"/>
      <c r="N74" s="23"/>
      <c r="O74" s="23"/>
      <c r="P74" s="4"/>
      <c r="Q74" s="23"/>
      <c r="R74" s="23"/>
      <c r="S74" s="23"/>
      <c r="T74" s="23"/>
      <c r="U74" s="4"/>
      <c r="V74" s="4"/>
      <c r="W74" s="4"/>
      <c r="X74"/>
    </row>
    <row r="75" spans="1:24" x14ac:dyDescent="0.2">
      <c r="A75" s="774"/>
      <c r="B75" s="4"/>
      <c r="C75" s="23"/>
      <c r="D75" s="23"/>
      <c r="E75" s="23"/>
      <c r="F75" s="23"/>
      <c r="G75" s="23"/>
      <c r="H75" s="23"/>
      <c r="I75" s="23"/>
      <c r="J75" s="23"/>
      <c r="K75" s="23"/>
      <c r="L75" s="23"/>
      <c r="M75" s="23"/>
      <c r="N75" s="23"/>
      <c r="O75" s="23"/>
      <c r="P75" s="4"/>
      <c r="Q75" s="23"/>
      <c r="R75" s="23"/>
      <c r="S75" s="23"/>
      <c r="T75" s="23"/>
      <c r="U75" s="4"/>
      <c r="V75" s="4"/>
      <c r="W75" s="4"/>
      <c r="X75"/>
    </row>
    <row r="76" spans="1:24" x14ac:dyDescent="0.2">
      <c r="A76" s="774"/>
      <c r="B76" s="4"/>
      <c r="C76" s="23"/>
      <c r="D76" s="23"/>
      <c r="E76" s="23"/>
      <c r="F76" s="23"/>
      <c r="G76" s="23"/>
      <c r="H76" s="23"/>
      <c r="I76" s="23"/>
      <c r="J76" s="23"/>
      <c r="K76" s="23"/>
      <c r="L76" s="23"/>
      <c r="M76" s="23"/>
      <c r="N76" s="23"/>
      <c r="O76" s="23"/>
      <c r="P76" s="4"/>
      <c r="Q76" s="23"/>
      <c r="R76" s="23"/>
      <c r="S76" s="23"/>
      <c r="T76" s="23"/>
      <c r="U76" s="4"/>
      <c r="V76" s="4"/>
      <c r="W76" s="4"/>
      <c r="X76"/>
    </row>
    <row r="77" spans="1:24" x14ac:dyDescent="0.2">
      <c r="A77" s="774"/>
      <c r="B77" s="4"/>
      <c r="C77" s="23"/>
      <c r="D77" s="23"/>
      <c r="E77" s="23"/>
      <c r="F77" s="23"/>
      <c r="G77" s="23"/>
      <c r="H77" s="23"/>
      <c r="I77" s="23"/>
      <c r="J77" s="23"/>
      <c r="K77" s="23"/>
      <c r="L77" s="23"/>
      <c r="M77" s="23"/>
      <c r="N77" s="23"/>
      <c r="O77" s="23"/>
      <c r="P77" s="4"/>
      <c r="Q77" s="23"/>
      <c r="R77" s="23"/>
      <c r="S77" s="23"/>
      <c r="T77" s="23"/>
      <c r="U77" s="4"/>
      <c r="V77" s="4"/>
      <c r="W77" s="4"/>
      <c r="X77"/>
    </row>
    <row r="78" spans="1:24" x14ac:dyDescent="0.2">
      <c r="A78" s="774"/>
      <c r="B78" s="4"/>
      <c r="C78" s="23"/>
      <c r="D78" s="23"/>
      <c r="E78" s="23"/>
      <c r="F78" s="23"/>
      <c r="G78" s="23"/>
      <c r="H78" s="23"/>
      <c r="I78" s="23"/>
      <c r="J78" s="23"/>
      <c r="K78" s="23"/>
      <c r="L78" s="23"/>
      <c r="M78" s="23"/>
      <c r="N78" s="23"/>
      <c r="O78" s="23"/>
      <c r="P78" s="4"/>
      <c r="Q78" s="23"/>
      <c r="R78" s="23"/>
      <c r="S78" s="23"/>
      <c r="T78" s="23"/>
      <c r="U78" s="4"/>
      <c r="V78" s="4"/>
      <c r="W78" s="4"/>
      <c r="X78"/>
    </row>
    <row r="79" spans="1:24" x14ac:dyDescent="0.2">
      <c r="A79" s="774"/>
      <c r="B79" s="4"/>
      <c r="C79" s="23"/>
      <c r="D79" s="23"/>
      <c r="E79" s="23"/>
      <c r="F79" s="23"/>
      <c r="G79" s="23"/>
      <c r="H79" s="23"/>
      <c r="I79" s="23"/>
      <c r="J79" s="23"/>
      <c r="K79" s="23"/>
      <c r="L79" s="23"/>
      <c r="M79" s="23"/>
      <c r="N79" s="23"/>
      <c r="O79" s="23"/>
      <c r="P79" s="4"/>
      <c r="Q79" s="23"/>
      <c r="R79" s="23"/>
      <c r="S79" s="23"/>
      <c r="T79" s="23"/>
      <c r="U79" s="4"/>
      <c r="V79" s="4"/>
      <c r="W79" s="4"/>
      <c r="X79"/>
    </row>
    <row r="80" spans="1:24" x14ac:dyDescent="0.2">
      <c r="A80" s="774"/>
      <c r="B80" s="4"/>
      <c r="C80" s="23"/>
      <c r="D80" s="23"/>
      <c r="E80" s="23"/>
      <c r="F80" s="23"/>
      <c r="G80" s="23"/>
      <c r="H80" s="23"/>
      <c r="I80" s="23"/>
      <c r="J80" s="23"/>
      <c r="K80" s="23"/>
      <c r="L80" s="23"/>
      <c r="M80" s="23"/>
      <c r="N80" s="23"/>
      <c r="O80" s="23"/>
      <c r="P80" s="4"/>
      <c r="Q80" s="23"/>
      <c r="R80" s="23"/>
      <c r="S80" s="23"/>
      <c r="T80" s="23"/>
      <c r="U80" s="4"/>
      <c r="V80" s="4"/>
      <c r="W80" s="4"/>
      <c r="X80"/>
    </row>
    <row r="81" spans="1:24" x14ac:dyDescent="0.2">
      <c r="A81" s="774"/>
      <c r="B81" s="4"/>
      <c r="C81" s="23"/>
      <c r="D81" s="23"/>
      <c r="E81" s="23"/>
      <c r="F81" s="23"/>
      <c r="G81" s="23"/>
      <c r="H81" s="23"/>
      <c r="I81" s="23"/>
      <c r="J81" s="23"/>
      <c r="K81" s="23"/>
      <c r="L81" s="23"/>
      <c r="M81" s="23"/>
      <c r="N81" s="23"/>
      <c r="O81" s="23"/>
      <c r="P81" s="4"/>
      <c r="Q81" s="23"/>
      <c r="R81" s="23"/>
      <c r="S81" s="23"/>
      <c r="T81" s="23"/>
      <c r="U81" s="4"/>
      <c r="V81" s="4"/>
      <c r="W81" s="4"/>
      <c r="X81"/>
    </row>
    <row r="82" spans="1:24" x14ac:dyDescent="0.2">
      <c r="A82" s="774"/>
      <c r="B82" s="4"/>
      <c r="C82" s="23"/>
      <c r="D82" s="23"/>
      <c r="E82" s="23"/>
      <c r="F82" s="23"/>
      <c r="G82" s="23"/>
      <c r="H82" s="23"/>
      <c r="I82" s="23"/>
      <c r="J82" s="23"/>
      <c r="K82" s="23"/>
      <c r="L82" s="23"/>
      <c r="M82" s="23"/>
      <c r="N82" s="23"/>
      <c r="O82" s="23"/>
      <c r="P82" s="4"/>
      <c r="Q82" s="23"/>
      <c r="R82" s="23"/>
      <c r="S82" s="23"/>
      <c r="T82" s="23"/>
      <c r="U82" s="4"/>
      <c r="V82" s="4"/>
      <c r="W82" s="4"/>
      <c r="X82"/>
    </row>
    <row r="83" spans="1:24" x14ac:dyDescent="0.2">
      <c r="A83" s="774"/>
      <c r="B83" s="4"/>
      <c r="C83" s="23"/>
      <c r="D83" s="23"/>
      <c r="E83" s="23"/>
      <c r="F83" s="23"/>
      <c r="G83" s="23"/>
      <c r="H83" s="23"/>
      <c r="I83" s="23"/>
      <c r="J83" s="23"/>
      <c r="K83" s="23"/>
      <c r="L83" s="23"/>
      <c r="M83" s="23"/>
      <c r="N83" s="23"/>
      <c r="O83" s="23"/>
      <c r="P83" s="4"/>
      <c r="Q83" s="23"/>
      <c r="R83" s="23"/>
      <c r="S83" s="23"/>
      <c r="T83" s="23"/>
      <c r="U83" s="4"/>
      <c r="V83" s="4"/>
      <c r="W83" s="4"/>
      <c r="X83"/>
    </row>
    <row r="84" spans="1:24" x14ac:dyDescent="0.2">
      <c r="A84" s="774"/>
      <c r="B84" s="4"/>
      <c r="C84" s="23"/>
      <c r="D84" s="23"/>
      <c r="E84" s="23"/>
      <c r="F84" s="23"/>
      <c r="G84" s="23"/>
      <c r="H84" s="23"/>
      <c r="I84" s="23"/>
      <c r="J84" s="23"/>
      <c r="K84" s="23"/>
      <c r="L84" s="23"/>
      <c r="M84" s="23"/>
      <c r="N84" s="23"/>
      <c r="O84" s="23"/>
      <c r="P84" s="4"/>
      <c r="Q84" s="23"/>
      <c r="R84" s="23"/>
      <c r="S84" s="23"/>
      <c r="T84" s="23"/>
      <c r="U84" s="4"/>
      <c r="V84" s="4"/>
      <c r="W84" s="4"/>
      <c r="X84"/>
    </row>
    <row r="85" spans="1:24" x14ac:dyDescent="0.2">
      <c r="A85" s="774"/>
      <c r="B85" s="4"/>
      <c r="C85" s="23"/>
      <c r="D85" s="23"/>
      <c r="E85" s="23"/>
      <c r="F85" s="23"/>
      <c r="G85" s="23"/>
      <c r="H85" s="23"/>
      <c r="I85" s="23"/>
      <c r="J85" s="23"/>
      <c r="K85" s="23"/>
      <c r="L85" s="23"/>
      <c r="M85" s="23"/>
      <c r="N85" s="23"/>
      <c r="O85" s="23"/>
      <c r="P85" s="4"/>
      <c r="Q85" s="23"/>
      <c r="R85" s="23"/>
      <c r="S85" s="23"/>
      <c r="T85" s="23"/>
      <c r="U85" s="4"/>
      <c r="V85" s="4"/>
      <c r="W85" s="4"/>
      <c r="X85"/>
    </row>
    <row r="86" spans="1:24" x14ac:dyDescent="0.2">
      <c r="A86" s="774"/>
      <c r="B86" s="4"/>
      <c r="C86" s="23"/>
      <c r="D86" s="23"/>
      <c r="E86" s="23"/>
      <c r="F86" s="23"/>
      <c r="G86" s="23"/>
      <c r="H86" s="23"/>
      <c r="I86" s="23"/>
      <c r="J86" s="23"/>
      <c r="K86" s="23"/>
      <c r="L86" s="23"/>
      <c r="M86" s="23"/>
      <c r="N86" s="23"/>
      <c r="O86" s="23"/>
      <c r="P86" s="4"/>
      <c r="Q86" s="23"/>
      <c r="R86" s="23"/>
      <c r="S86" s="23"/>
      <c r="T86" s="23"/>
      <c r="U86" s="4"/>
      <c r="V86" s="4"/>
      <c r="W86" s="4"/>
      <c r="X86"/>
    </row>
    <row r="87" spans="1:24" x14ac:dyDescent="0.2">
      <c r="A87" s="774"/>
      <c r="B87" s="4"/>
      <c r="C87" s="23"/>
      <c r="D87" s="23"/>
      <c r="E87" s="23"/>
      <c r="F87" s="23"/>
      <c r="G87" s="23"/>
      <c r="H87" s="23"/>
      <c r="I87" s="23"/>
      <c r="J87" s="23"/>
      <c r="K87" s="23"/>
      <c r="L87" s="23"/>
      <c r="M87" s="23"/>
      <c r="N87" s="23"/>
      <c r="O87" s="23"/>
      <c r="P87" s="4"/>
      <c r="Q87" s="23"/>
      <c r="R87" s="23"/>
      <c r="S87" s="23"/>
      <c r="T87" s="23"/>
      <c r="U87" s="4"/>
      <c r="V87" s="4"/>
      <c r="W87" s="4"/>
      <c r="X87"/>
    </row>
    <row r="88" spans="1:24" x14ac:dyDescent="0.2">
      <c r="A88" s="774"/>
      <c r="B88" s="4"/>
      <c r="C88" s="23"/>
      <c r="D88" s="23"/>
      <c r="E88" s="23"/>
      <c r="F88" s="23"/>
      <c r="G88" s="23"/>
      <c r="H88" s="23"/>
      <c r="I88" s="23"/>
      <c r="J88" s="23"/>
      <c r="K88" s="23"/>
      <c r="L88" s="23"/>
      <c r="M88" s="23"/>
      <c r="N88" s="23"/>
      <c r="O88" s="23"/>
      <c r="P88" s="4"/>
      <c r="Q88" s="23"/>
      <c r="R88" s="23"/>
      <c r="S88" s="23"/>
      <c r="T88" s="23"/>
      <c r="U88" s="4"/>
      <c r="V88" s="4"/>
      <c r="W88" s="4"/>
      <c r="X88"/>
    </row>
    <row r="89" spans="1:24" x14ac:dyDescent="0.2">
      <c r="A89" s="774"/>
      <c r="B89" s="4"/>
      <c r="C89" s="23"/>
      <c r="D89" s="23"/>
      <c r="E89" s="23"/>
      <c r="F89" s="23"/>
      <c r="G89" s="23"/>
      <c r="H89" s="23"/>
      <c r="I89" s="23"/>
      <c r="J89" s="23"/>
      <c r="K89" s="23"/>
      <c r="L89" s="23"/>
      <c r="M89" s="23"/>
      <c r="N89" s="23"/>
      <c r="O89" s="23"/>
      <c r="P89" s="4"/>
      <c r="Q89" s="23"/>
      <c r="R89" s="23"/>
      <c r="S89" s="23"/>
      <c r="T89" s="23"/>
      <c r="U89" s="4"/>
      <c r="V89" s="4"/>
      <c r="W89" s="4"/>
      <c r="X89"/>
    </row>
    <row r="90" spans="1:24" x14ac:dyDescent="0.2">
      <c r="A90" s="774"/>
      <c r="B90" s="4"/>
      <c r="C90" s="23"/>
      <c r="D90" s="23"/>
      <c r="E90" s="23"/>
      <c r="F90" s="23"/>
      <c r="G90" s="23"/>
      <c r="H90" s="23"/>
      <c r="I90" s="23"/>
      <c r="J90" s="23"/>
      <c r="K90" s="23"/>
      <c r="L90" s="23"/>
      <c r="M90" s="23"/>
      <c r="N90" s="23"/>
      <c r="O90" s="23"/>
      <c r="P90" s="4"/>
      <c r="Q90" s="23"/>
      <c r="R90" s="23"/>
      <c r="S90" s="23"/>
      <c r="T90" s="23"/>
      <c r="U90" s="4"/>
      <c r="V90" s="4"/>
      <c r="W90" s="4"/>
      <c r="X90"/>
    </row>
    <row r="91" spans="1:24" x14ac:dyDescent="0.2">
      <c r="A91" s="774"/>
      <c r="B91" s="4"/>
      <c r="C91" s="23"/>
      <c r="D91" s="23"/>
      <c r="E91" s="23"/>
      <c r="F91" s="23"/>
      <c r="G91" s="23"/>
      <c r="H91" s="23"/>
      <c r="I91" s="23"/>
      <c r="J91" s="23"/>
      <c r="K91" s="23"/>
      <c r="L91" s="23"/>
      <c r="M91" s="23"/>
      <c r="N91" s="23"/>
      <c r="O91" s="23"/>
      <c r="P91" s="4"/>
      <c r="Q91" s="23"/>
      <c r="R91" s="23"/>
      <c r="S91" s="23"/>
      <c r="T91" s="23"/>
      <c r="U91" s="4"/>
      <c r="V91" s="4"/>
      <c r="W91" s="4"/>
      <c r="X91"/>
    </row>
    <row r="92" spans="1:24" x14ac:dyDescent="0.2">
      <c r="A92" s="774"/>
      <c r="B92" s="4"/>
      <c r="C92" s="23"/>
      <c r="D92" s="23"/>
      <c r="E92" s="23"/>
      <c r="F92" s="23"/>
      <c r="G92" s="23"/>
      <c r="H92" s="23"/>
      <c r="I92" s="23"/>
      <c r="J92" s="23"/>
      <c r="K92" s="23"/>
      <c r="L92" s="23"/>
      <c r="M92" s="23"/>
      <c r="N92" s="23"/>
      <c r="O92" s="23"/>
      <c r="P92" s="4"/>
      <c r="Q92" s="23"/>
      <c r="R92" s="23"/>
      <c r="S92" s="23"/>
      <c r="T92" s="23"/>
      <c r="U92" s="4"/>
      <c r="V92" s="4"/>
      <c r="W92" s="4"/>
      <c r="X92"/>
    </row>
    <row r="93" spans="1:24" x14ac:dyDescent="0.2">
      <c r="A93" s="774"/>
      <c r="B93" s="4"/>
      <c r="C93" s="23"/>
      <c r="D93" s="23"/>
      <c r="E93" s="23"/>
      <c r="F93" s="23"/>
      <c r="G93" s="23"/>
      <c r="H93" s="23"/>
      <c r="I93" s="23"/>
      <c r="J93" s="23"/>
      <c r="K93" s="23"/>
      <c r="L93" s="23"/>
      <c r="M93" s="23"/>
      <c r="N93" s="23"/>
      <c r="O93" s="23"/>
      <c r="P93" s="4"/>
      <c r="Q93" s="23"/>
      <c r="R93" s="23"/>
      <c r="S93" s="23"/>
      <c r="T93" s="23"/>
      <c r="U93" s="4"/>
      <c r="V93" s="4"/>
      <c r="W93" s="4"/>
      <c r="X93"/>
    </row>
    <row r="94" spans="1:24" x14ac:dyDescent="0.2">
      <c r="A94" s="774"/>
      <c r="B94" s="4"/>
      <c r="C94" s="23"/>
      <c r="D94" s="23"/>
      <c r="E94" s="23"/>
      <c r="F94" s="23"/>
      <c r="G94" s="23"/>
      <c r="H94" s="23"/>
      <c r="I94" s="23"/>
      <c r="J94" s="23"/>
      <c r="K94" s="23"/>
      <c r="L94" s="23"/>
      <c r="M94" s="23"/>
      <c r="N94" s="23"/>
      <c r="O94" s="23"/>
      <c r="P94" s="4"/>
      <c r="Q94" s="23"/>
      <c r="R94" s="23"/>
      <c r="S94" s="23"/>
      <c r="T94" s="23"/>
      <c r="U94" s="4"/>
      <c r="V94" s="4"/>
      <c r="W94" s="4"/>
      <c r="X94"/>
    </row>
    <row r="95" spans="1:24" x14ac:dyDescent="0.2">
      <c r="A95" s="774"/>
      <c r="B95" s="4"/>
      <c r="C95" s="23"/>
      <c r="D95" s="23"/>
      <c r="E95" s="23"/>
      <c r="F95" s="23"/>
      <c r="G95" s="23"/>
      <c r="H95" s="23"/>
      <c r="I95" s="23"/>
      <c r="J95" s="23"/>
      <c r="K95" s="23"/>
      <c r="L95" s="23"/>
      <c r="M95" s="23"/>
      <c r="N95" s="23"/>
      <c r="O95" s="23"/>
      <c r="P95" s="4"/>
      <c r="Q95" s="23"/>
      <c r="R95" s="23"/>
      <c r="S95" s="23"/>
      <c r="T95" s="23"/>
      <c r="U95" s="4"/>
      <c r="V95" s="4"/>
      <c r="W95" s="4"/>
      <c r="X95"/>
    </row>
    <row r="96" spans="1:24" x14ac:dyDescent="0.2">
      <c r="A96" s="774"/>
      <c r="B96" s="4"/>
      <c r="C96" s="23"/>
      <c r="D96" s="23"/>
      <c r="E96" s="23"/>
      <c r="F96" s="23"/>
      <c r="G96" s="23"/>
      <c r="H96" s="23"/>
      <c r="I96" s="23"/>
      <c r="J96" s="23"/>
      <c r="K96" s="23"/>
      <c r="L96" s="23"/>
      <c r="M96" s="23"/>
      <c r="N96" s="23"/>
      <c r="O96" s="23"/>
      <c r="P96" s="4"/>
      <c r="Q96" s="23"/>
      <c r="R96" s="23"/>
      <c r="S96" s="23"/>
      <c r="T96" s="23"/>
      <c r="U96" s="4"/>
      <c r="V96" s="4"/>
      <c r="W96" s="4"/>
      <c r="X96"/>
    </row>
    <row r="97" spans="1:24" x14ac:dyDescent="0.2">
      <c r="A97" s="774"/>
      <c r="B97" s="4"/>
      <c r="C97" s="23"/>
      <c r="D97" s="23"/>
      <c r="E97" s="23"/>
      <c r="F97" s="23"/>
      <c r="G97" s="23"/>
      <c r="H97" s="23"/>
      <c r="I97" s="23"/>
      <c r="J97" s="23"/>
      <c r="K97" s="23"/>
      <c r="L97" s="23"/>
      <c r="M97" s="23"/>
      <c r="N97" s="23"/>
      <c r="O97" s="23"/>
      <c r="P97" s="4"/>
      <c r="Q97" s="23"/>
      <c r="R97" s="23"/>
      <c r="S97" s="23"/>
      <c r="T97" s="23"/>
      <c r="U97" s="4"/>
      <c r="V97" s="4"/>
      <c r="W97" s="4"/>
      <c r="X97"/>
    </row>
    <row r="98" spans="1:24" x14ac:dyDescent="0.2">
      <c r="A98" s="774"/>
      <c r="B98" s="4"/>
      <c r="C98" s="23"/>
      <c r="D98" s="23"/>
      <c r="E98" s="23"/>
      <c r="F98" s="23"/>
      <c r="G98" s="23"/>
      <c r="H98" s="23"/>
      <c r="I98" s="23"/>
      <c r="J98" s="23"/>
      <c r="K98" s="23"/>
      <c r="L98" s="23"/>
      <c r="M98" s="23"/>
      <c r="N98" s="23"/>
      <c r="O98" s="23"/>
      <c r="P98" s="4"/>
      <c r="Q98" s="23"/>
      <c r="R98" s="23"/>
      <c r="S98" s="23"/>
      <c r="T98" s="23"/>
      <c r="U98" s="4"/>
      <c r="V98" s="4"/>
      <c r="W98" s="4"/>
      <c r="X98"/>
    </row>
    <row r="99" spans="1:24" x14ac:dyDescent="0.2">
      <c r="A99" s="774"/>
      <c r="B99" s="4"/>
      <c r="C99" s="23"/>
      <c r="D99" s="23"/>
      <c r="E99" s="23"/>
      <c r="F99" s="23"/>
      <c r="G99" s="23"/>
      <c r="H99" s="23"/>
      <c r="I99" s="23"/>
      <c r="J99" s="23"/>
      <c r="K99" s="23"/>
      <c r="L99" s="23"/>
      <c r="M99" s="23"/>
      <c r="N99" s="23"/>
      <c r="O99" s="23"/>
      <c r="P99" s="4"/>
      <c r="Q99" s="23"/>
      <c r="R99" s="23"/>
      <c r="S99" s="23"/>
      <c r="T99" s="23"/>
      <c r="U99" s="4"/>
      <c r="V99" s="4"/>
      <c r="W99" s="4"/>
      <c r="X99"/>
    </row>
    <row r="100" spans="1:24" x14ac:dyDescent="0.2">
      <c r="A100" s="774"/>
      <c r="B100" s="4"/>
      <c r="C100" s="23"/>
      <c r="D100" s="23"/>
      <c r="E100" s="23"/>
      <c r="F100" s="23"/>
      <c r="G100" s="23"/>
      <c r="H100" s="23"/>
      <c r="I100" s="23"/>
      <c r="J100" s="23"/>
      <c r="K100" s="23"/>
      <c r="L100" s="23"/>
      <c r="M100" s="23"/>
      <c r="N100" s="23"/>
      <c r="O100" s="23"/>
      <c r="P100" s="4"/>
      <c r="Q100" s="23"/>
      <c r="R100" s="23"/>
      <c r="S100" s="23"/>
      <c r="T100" s="23"/>
      <c r="U100" s="4"/>
      <c r="V100" s="4"/>
      <c r="W100" s="4"/>
      <c r="X100"/>
    </row>
    <row r="101" spans="1:24" x14ac:dyDescent="0.2">
      <c r="A101" s="774"/>
      <c r="B101" s="4"/>
      <c r="C101" s="23"/>
      <c r="D101" s="23"/>
      <c r="E101" s="23"/>
      <c r="F101" s="23"/>
      <c r="G101" s="23"/>
      <c r="H101" s="23"/>
      <c r="I101" s="23"/>
      <c r="J101" s="23"/>
      <c r="K101" s="23"/>
      <c r="L101" s="23"/>
      <c r="M101" s="23"/>
      <c r="N101" s="23"/>
      <c r="O101" s="23"/>
      <c r="P101" s="4"/>
      <c r="Q101" s="23"/>
      <c r="R101" s="23"/>
      <c r="S101" s="23"/>
      <c r="T101" s="23"/>
      <c r="U101" s="4"/>
      <c r="V101" s="4"/>
      <c r="W101" s="4"/>
      <c r="X101"/>
    </row>
    <row r="102" spans="1:24" x14ac:dyDescent="0.2">
      <c r="A102" s="774"/>
      <c r="B102" s="4"/>
      <c r="C102" s="23"/>
      <c r="D102" s="23"/>
      <c r="E102" s="23"/>
      <c r="F102" s="23"/>
      <c r="G102" s="23"/>
      <c r="H102" s="23"/>
      <c r="I102" s="23"/>
      <c r="J102" s="23"/>
      <c r="K102" s="23"/>
      <c r="L102" s="23"/>
      <c r="M102" s="23"/>
      <c r="N102" s="23"/>
      <c r="O102" s="23"/>
      <c r="P102" s="4"/>
      <c r="Q102" s="23"/>
      <c r="R102" s="23"/>
      <c r="S102" s="23"/>
      <c r="T102" s="23"/>
      <c r="U102" s="4"/>
      <c r="V102" s="4"/>
      <c r="W102" s="4"/>
      <c r="X102"/>
    </row>
    <row r="103" spans="1:24" x14ac:dyDescent="0.2">
      <c r="A103" s="774"/>
      <c r="B103" s="4"/>
      <c r="C103" s="23"/>
      <c r="D103" s="23"/>
      <c r="E103" s="23"/>
      <c r="F103" s="23"/>
      <c r="G103" s="23"/>
      <c r="H103" s="23"/>
      <c r="I103" s="23"/>
      <c r="J103" s="23"/>
      <c r="K103" s="23"/>
      <c r="L103" s="23"/>
      <c r="M103" s="23"/>
      <c r="N103" s="23"/>
      <c r="O103" s="23"/>
      <c r="P103" s="4"/>
      <c r="Q103" s="23"/>
      <c r="R103" s="23"/>
      <c r="S103" s="23"/>
      <c r="T103" s="23"/>
      <c r="U103" s="4"/>
      <c r="V103" s="4"/>
      <c r="W103" s="4"/>
      <c r="X103"/>
    </row>
    <row r="104" spans="1:24" x14ac:dyDescent="0.2">
      <c r="A104" s="774"/>
      <c r="B104" s="4"/>
      <c r="C104" s="23"/>
      <c r="D104" s="23"/>
      <c r="E104" s="23"/>
      <c r="F104" s="23"/>
      <c r="G104" s="23"/>
      <c r="H104" s="23"/>
      <c r="I104" s="23"/>
      <c r="J104" s="23"/>
      <c r="K104" s="23"/>
      <c r="L104" s="23"/>
      <c r="M104" s="23"/>
      <c r="N104" s="23"/>
      <c r="O104" s="23"/>
      <c r="P104" s="4"/>
      <c r="Q104" s="23"/>
      <c r="R104" s="23"/>
      <c r="S104" s="23"/>
      <c r="T104" s="23"/>
      <c r="U104" s="4"/>
      <c r="V104" s="4"/>
      <c r="W104" s="4"/>
      <c r="X104"/>
    </row>
    <row r="105" spans="1:24" x14ac:dyDescent="0.2">
      <c r="A105" s="774"/>
      <c r="B105" s="4"/>
      <c r="C105" s="23"/>
      <c r="D105" s="23"/>
      <c r="E105" s="23"/>
      <c r="F105" s="23"/>
      <c r="G105" s="23"/>
      <c r="H105" s="23"/>
      <c r="I105" s="23"/>
      <c r="J105" s="23"/>
      <c r="K105" s="23"/>
      <c r="L105" s="23"/>
      <c r="M105" s="23"/>
      <c r="N105" s="23"/>
      <c r="O105" s="23"/>
      <c r="P105" s="4"/>
      <c r="Q105" s="23"/>
      <c r="R105" s="23"/>
      <c r="S105" s="23"/>
      <c r="T105" s="23"/>
      <c r="U105" s="4"/>
      <c r="V105" s="4"/>
      <c r="W105" s="4"/>
      <c r="X105"/>
    </row>
    <row r="106" spans="1:24" x14ac:dyDescent="0.2">
      <c r="A106" s="774"/>
      <c r="B106" s="4"/>
      <c r="C106" s="23"/>
      <c r="D106" s="23"/>
      <c r="E106" s="23"/>
      <c r="F106" s="23"/>
      <c r="G106" s="23"/>
      <c r="H106" s="23"/>
      <c r="I106" s="23"/>
      <c r="J106" s="23"/>
      <c r="K106" s="23"/>
      <c r="L106" s="23"/>
      <c r="M106" s="23"/>
      <c r="N106" s="23"/>
      <c r="O106" s="23"/>
      <c r="P106" s="4"/>
      <c r="Q106" s="23"/>
      <c r="R106" s="23"/>
      <c r="S106" s="23"/>
      <c r="T106" s="23"/>
      <c r="U106" s="4"/>
      <c r="V106" s="4"/>
      <c r="W106" s="4"/>
      <c r="X106"/>
    </row>
    <row r="107" spans="1:24" x14ac:dyDescent="0.2">
      <c r="A107" s="774"/>
      <c r="B107" s="4"/>
      <c r="C107" s="23"/>
      <c r="D107" s="23"/>
      <c r="E107" s="23"/>
      <c r="F107" s="23"/>
      <c r="G107" s="23"/>
      <c r="H107" s="23"/>
      <c r="I107" s="23"/>
      <c r="J107" s="23"/>
      <c r="K107" s="23"/>
      <c r="L107" s="23"/>
      <c r="M107" s="23"/>
      <c r="N107" s="23"/>
      <c r="O107" s="23"/>
      <c r="P107" s="4"/>
      <c r="Q107" s="23"/>
      <c r="R107" s="23"/>
      <c r="S107" s="23"/>
      <c r="T107" s="23"/>
      <c r="U107" s="4"/>
      <c r="V107" s="4"/>
      <c r="W107" s="4"/>
      <c r="X107"/>
    </row>
    <row r="108" spans="1:24" x14ac:dyDescent="0.2">
      <c r="A108" s="774"/>
      <c r="B108" s="4"/>
      <c r="C108" s="23"/>
      <c r="D108" s="23"/>
      <c r="E108" s="23"/>
      <c r="F108" s="23"/>
      <c r="G108" s="23"/>
      <c r="H108" s="23"/>
      <c r="I108" s="23"/>
      <c r="J108" s="23"/>
      <c r="K108" s="23"/>
      <c r="L108" s="23"/>
      <c r="M108" s="23"/>
      <c r="N108" s="23"/>
      <c r="O108" s="23"/>
      <c r="P108" s="4"/>
      <c r="Q108" s="23"/>
      <c r="R108" s="23"/>
      <c r="S108" s="23"/>
      <c r="T108" s="23"/>
      <c r="U108" s="4"/>
      <c r="V108" s="4"/>
      <c r="W108" s="4"/>
      <c r="X108"/>
    </row>
    <row r="109" spans="1:24" x14ac:dyDescent="0.2">
      <c r="A109" s="774"/>
      <c r="B109" s="4"/>
      <c r="C109" s="23"/>
      <c r="D109" s="23"/>
      <c r="E109" s="23"/>
      <c r="F109" s="23"/>
      <c r="G109" s="23"/>
      <c r="H109" s="23"/>
      <c r="I109" s="23"/>
      <c r="J109" s="23"/>
      <c r="K109" s="23"/>
      <c r="L109" s="23"/>
      <c r="M109" s="23"/>
      <c r="N109" s="23"/>
      <c r="O109" s="23"/>
      <c r="P109" s="4"/>
      <c r="Q109" s="23"/>
      <c r="R109" s="23"/>
      <c r="S109" s="23"/>
      <c r="T109" s="23"/>
      <c r="U109" s="4"/>
      <c r="V109" s="4"/>
      <c r="W109" s="4"/>
      <c r="X109"/>
    </row>
    <row r="110" spans="1:24" x14ac:dyDescent="0.2">
      <c r="A110" s="774"/>
      <c r="B110" s="4"/>
      <c r="C110" s="23"/>
      <c r="D110" s="23"/>
      <c r="E110" s="23"/>
      <c r="F110" s="23"/>
      <c r="G110" s="23"/>
      <c r="H110" s="23"/>
      <c r="I110" s="23"/>
      <c r="J110" s="23"/>
      <c r="K110" s="23"/>
      <c r="L110" s="23"/>
      <c r="M110" s="23"/>
      <c r="N110" s="23"/>
      <c r="O110" s="23"/>
      <c r="P110" s="4"/>
      <c r="Q110" s="23"/>
      <c r="R110" s="23"/>
      <c r="S110" s="23"/>
      <c r="T110" s="23"/>
      <c r="U110" s="4"/>
      <c r="V110" s="4"/>
      <c r="W110" s="4"/>
      <c r="X110"/>
    </row>
    <row r="111" spans="1:24" x14ac:dyDescent="0.2">
      <c r="C111" s="212"/>
      <c r="D111" s="212"/>
      <c r="E111" s="212"/>
      <c r="F111" s="212"/>
      <c r="G111" s="212"/>
      <c r="H111" s="212"/>
      <c r="I111" s="212"/>
      <c r="J111" s="212"/>
      <c r="K111" s="212"/>
      <c r="L111" s="212"/>
      <c r="M111" s="212"/>
      <c r="N111" s="212"/>
      <c r="O111" s="212"/>
      <c r="X111"/>
    </row>
    <row r="112" spans="1:24" x14ac:dyDescent="0.2">
      <c r="C112" s="212"/>
      <c r="D112" s="212"/>
      <c r="E112" s="212"/>
      <c r="F112" s="212"/>
      <c r="G112" s="212"/>
      <c r="H112" s="212"/>
      <c r="I112" s="212"/>
      <c r="J112" s="212"/>
      <c r="K112" s="212"/>
      <c r="L112" s="212"/>
      <c r="M112" s="212"/>
      <c r="N112" s="212"/>
      <c r="O112" s="212"/>
      <c r="X112"/>
    </row>
    <row r="113" spans="3:24" x14ac:dyDescent="0.2">
      <c r="C113" s="212"/>
      <c r="D113" s="212"/>
      <c r="E113" s="212"/>
      <c r="F113" s="212"/>
      <c r="G113" s="212"/>
      <c r="H113" s="212"/>
      <c r="I113" s="212"/>
      <c r="J113" s="212"/>
      <c r="K113" s="212"/>
      <c r="L113" s="212"/>
      <c r="M113" s="212"/>
      <c r="N113" s="212"/>
      <c r="O113" s="212"/>
      <c r="X113"/>
    </row>
    <row r="114" spans="3:24" x14ac:dyDescent="0.2">
      <c r="C114" s="212"/>
      <c r="D114" s="212"/>
      <c r="E114" s="212"/>
      <c r="F114" s="212"/>
      <c r="G114" s="212"/>
      <c r="H114" s="212"/>
      <c r="I114" s="212"/>
      <c r="J114" s="212"/>
      <c r="K114" s="212"/>
      <c r="L114" s="212"/>
      <c r="M114" s="212"/>
      <c r="N114" s="212"/>
      <c r="O114" s="212"/>
      <c r="X114"/>
    </row>
    <row r="115" spans="3:24" x14ac:dyDescent="0.2">
      <c r="C115" s="212"/>
      <c r="D115" s="212"/>
      <c r="E115" s="212"/>
      <c r="F115" s="212"/>
      <c r="G115" s="212"/>
      <c r="H115" s="212"/>
      <c r="I115" s="212"/>
      <c r="J115" s="212"/>
      <c r="K115" s="212"/>
      <c r="L115" s="212"/>
      <c r="M115" s="212"/>
      <c r="N115" s="212"/>
      <c r="O115" s="212"/>
      <c r="X115"/>
    </row>
    <row r="116" spans="3:24" x14ac:dyDescent="0.2">
      <c r="C116" s="212"/>
      <c r="D116" s="212"/>
      <c r="E116" s="212"/>
      <c r="F116" s="212"/>
      <c r="G116" s="212"/>
      <c r="H116" s="212"/>
      <c r="I116" s="212"/>
      <c r="J116" s="212"/>
      <c r="K116" s="212"/>
      <c r="L116" s="212"/>
      <c r="M116" s="212"/>
      <c r="N116" s="212"/>
      <c r="O116" s="212"/>
      <c r="X116"/>
    </row>
    <row r="117" spans="3:24" x14ac:dyDescent="0.2">
      <c r="C117" s="212"/>
      <c r="D117" s="212"/>
      <c r="E117" s="212"/>
      <c r="F117" s="212"/>
      <c r="G117" s="212"/>
      <c r="H117" s="212"/>
      <c r="I117" s="212"/>
      <c r="J117" s="212"/>
      <c r="K117" s="212"/>
      <c r="L117" s="212"/>
      <c r="M117" s="212"/>
      <c r="N117" s="212"/>
      <c r="O117" s="212"/>
      <c r="X117"/>
    </row>
    <row r="118" spans="3:24" x14ac:dyDescent="0.2">
      <c r="C118" s="212"/>
      <c r="D118" s="212"/>
      <c r="E118" s="212"/>
      <c r="F118" s="212"/>
      <c r="G118" s="212"/>
      <c r="H118" s="212"/>
      <c r="I118" s="212"/>
      <c r="J118" s="212"/>
      <c r="K118" s="212"/>
      <c r="L118" s="212"/>
      <c r="M118" s="212"/>
      <c r="N118" s="212"/>
      <c r="O118" s="212"/>
      <c r="X118"/>
    </row>
    <row r="119" spans="3:24" x14ac:dyDescent="0.2">
      <c r="C119" s="212"/>
      <c r="D119" s="212"/>
      <c r="E119" s="212"/>
      <c r="F119" s="212"/>
      <c r="G119" s="212"/>
      <c r="H119" s="212"/>
      <c r="I119" s="212"/>
      <c r="J119" s="212"/>
      <c r="K119" s="212"/>
      <c r="L119" s="212"/>
      <c r="M119" s="212"/>
      <c r="N119" s="212"/>
      <c r="O119" s="212"/>
      <c r="X119"/>
    </row>
    <row r="120" spans="3:24" x14ac:dyDescent="0.2">
      <c r="C120" s="212"/>
      <c r="D120" s="212"/>
      <c r="E120" s="212"/>
      <c r="F120" s="212"/>
      <c r="G120" s="212"/>
      <c r="H120" s="212"/>
      <c r="I120" s="212"/>
      <c r="J120" s="212"/>
      <c r="K120" s="212"/>
      <c r="L120" s="212"/>
      <c r="M120" s="212"/>
      <c r="N120" s="212"/>
      <c r="O120" s="212"/>
      <c r="X120"/>
    </row>
    <row r="121" spans="3:24" x14ac:dyDescent="0.2">
      <c r="C121" s="212"/>
      <c r="D121" s="212"/>
      <c r="E121" s="212"/>
      <c r="F121" s="212"/>
      <c r="G121" s="212"/>
      <c r="H121" s="212"/>
      <c r="I121" s="212"/>
      <c r="J121" s="212"/>
      <c r="K121" s="212"/>
      <c r="L121" s="212"/>
      <c r="M121" s="212"/>
      <c r="N121" s="212"/>
      <c r="O121" s="212"/>
      <c r="X121"/>
    </row>
    <row r="122" spans="3:24" x14ac:dyDescent="0.2">
      <c r="C122" s="212"/>
      <c r="D122" s="212"/>
      <c r="E122" s="212"/>
      <c r="F122" s="212"/>
      <c r="G122" s="212"/>
      <c r="H122" s="212"/>
      <c r="I122" s="212"/>
      <c r="J122" s="212"/>
      <c r="K122" s="212"/>
      <c r="L122" s="212"/>
      <c r="M122" s="212"/>
      <c r="N122" s="212"/>
      <c r="O122" s="212"/>
      <c r="X122"/>
    </row>
    <row r="123" spans="3:24" x14ac:dyDescent="0.2">
      <c r="C123" s="212"/>
      <c r="D123" s="212"/>
      <c r="E123" s="212"/>
      <c r="F123" s="212"/>
      <c r="G123" s="212"/>
      <c r="H123" s="212"/>
      <c r="I123" s="212"/>
      <c r="J123" s="212"/>
      <c r="K123" s="212"/>
      <c r="L123" s="212"/>
      <c r="M123" s="212"/>
      <c r="N123" s="212"/>
      <c r="O123" s="212"/>
      <c r="X123"/>
    </row>
    <row r="124" spans="3:24" x14ac:dyDescent="0.2">
      <c r="C124" s="212"/>
      <c r="D124" s="212"/>
      <c r="E124" s="212"/>
      <c r="F124" s="212"/>
      <c r="G124" s="212"/>
      <c r="H124" s="212"/>
      <c r="I124" s="212"/>
      <c r="J124" s="212"/>
      <c r="K124" s="212"/>
      <c r="L124" s="212"/>
      <c r="M124" s="212"/>
      <c r="N124" s="212"/>
      <c r="O124" s="212"/>
      <c r="X124"/>
    </row>
    <row r="125" spans="3:24" x14ac:dyDescent="0.2">
      <c r="C125" s="212"/>
      <c r="D125"/>
      <c r="E125"/>
      <c r="F125"/>
      <c r="G125"/>
      <c r="H125"/>
      <c r="I125"/>
      <c r="J125"/>
      <c r="K125"/>
      <c r="L125"/>
      <c r="M125"/>
      <c r="N125"/>
      <c r="O125"/>
      <c r="Q125"/>
      <c r="R125"/>
      <c r="S125"/>
      <c r="T125"/>
      <c r="X125"/>
    </row>
    <row r="126" spans="3:24" x14ac:dyDescent="0.2">
      <c r="C126" s="212"/>
      <c r="D126"/>
      <c r="E126"/>
      <c r="F126"/>
      <c r="G126"/>
      <c r="H126"/>
      <c r="I126"/>
      <c r="J126"/>
      <c r="K126"/>
      <c r="L126"/>
      <c r="M126"/>
      <c r="N126"/>
      <c r="O126"/>
      <c r="Q126"/>
      <c r="R126"/>
      <c r="S126"/>
      <c r="T126"/>
      <c r="X126"/>
    </row>
    <row r="127" spans="3:24" x14ac:dyDescent="0.2">
      <c r="C127" s="212"/>
      <c r="D127"/>
      <c r="E127"/>
      <c r="F127"/>
      <c r="G127"/>
      <c r="H127"/>
      <c r="I127"/>
      <c r="J127"/>
      <c r="K127"/>
      <c r="L127"/>
      <c r="M127"/>
      <c r="N127"/>
      <c r="O127"/>
      <c r="Q127"/>
      <c r="R127"/>
      <c r="S127"/>
      <c r="T127"/>
      <c r="X127"/>
    </row>
    <row r="128" spans="3:24" x14ac:dyDescent="0.2">
      <c r="C128" s="212"/>
      <c r="D128"/>
      <c r="E128"/>
      <c r="F128"/>
      <c r="G128"/>
      <c r="H128"/>
      <c r="I128"/>
      <c r="J128"/>
      <c r="K128"/>
      <c r="L128"/>
      <c r="M128"/>
      <c r="N128"/>
      <c r="O128"/>
      <c r="Q128"/>
      <c r="R128"/>
      <c r="S128"/>
      <c r="T128"/>
      <c r="X128"/>
    </row>
    <row r="129" spans="3:24" x14ac:dyDescent="0.2">
      <c r="C129" s="212"/>
      <c r="D129"/>
      <c r="E129"/>
      <c r="F129"/>
      <c r="G129"/>
      <c r="H129"/>
      <c r="I129"/>
      <c r="J129"/>
      <c r="K129"/>
      <c r="L129"/>
      <c r="M129"/>
      <c r="N129"/>
      <c r="O129"/>
      <c r="Q129"/>
      <c r="R129"/>
      <c r="S129"/>
      <c r="T129"/>
      <c r="X129"/>
    </row>
    <row r="130" spans="3:24" x14ac:dyDescent="0.2">
      <c r="C130" s="212"/>
      <c r="D130"/>
      <c r="E130"/>
      <c r="F130"/>
      <c r="G130"/>
      <c r="H130"/>
      <c r="I130"/>
      <c r="J130"/>
      <c r="K130"/>
      <c r="L130"/>
      <c r="M130"/>
      <c r="N130"/>
      <c r="O130"/>
      <c r="Q130"/>
      <c r="R130"/>
      <c r="S130"/>
      <c r="T130"/>
      <c r="X130"/>
    </row>
    <row r="131" spans="3:24" x14ac:dyDescent="0.2">
      <c r="C131" s="212"/>
      <c r="D131"/>
      <c r="E131"/>
      <c r="F131"/>
      <c r="G131"/>
      <c r="H131"/>
      <c r="I131"/>
      <c r="J131"/>
      <c r="K131"/>
      <c r="L131"/>
      <c r="M131"/>
      <c r="N131"/>
      <c r="O131"/>
      <c r="Q131"/>
      <c r="R131"/>
      <c r="S131"/>
      <c r="T131"/>
      <c r="X131"/>
    </row>
    <row r="132" spans="3:24" x14ac:dyDescent="0.2">
      <c r="C132" s="212"/>
      <c r="D132"/>
      <c r="E132"/>
      <c r="F132"/>
      <c r="G132"/>
      <c r="H132"/>
      <c r="I132"/>
      <c r="J132"/>
      <c r="K132"/>
      <c r="L132"/>
      <c r="M132"/>
      <c r="N132"/>
      <c r="O132"/>
      <c r="Q132"/>
      <c r="R132"/>
      <c r="S132"/>
      <c r="T132"/>
      <c r="X132"/>
    </row>
    <row r="133" spans="3:24" x14ac:dyDescent="0.2">
      <c r="C133" s="212"/>
      <c r="D133"/>
      <c r="E133"/>
      <c r="F133"/>
      <c r="G133"/>
      <c r="H133"/>
      <c r="I133"/>
      <c r="J133"/>
      <c r="K133"/>
      <c r="L133"/>
      <c r="M133"/>
      <c r="N133"/>
      <c r="O133"/>
      <c r="Q133"/>
      <c r="R133"/>
      <c r="S133"/>
      <c r="T133"/>
      <c r="X133"/>
    </row>
    <row r="134" spans="3:24" x14ac:dyDescent="0.2">
      <c r="C134" s="212"/>
      <c r="D134"/>
      <c r="E134"/>
      <c r="F134"/>
      <c r="G134"/>
      <c r="H134"/>
      <c r="I134"/>
      <c r="J134"/>
      <c r="K134"/>
      <c r="L134"/>
      <c r="M134"/>
      <c r="N134"/>
      <c r="O134"/>
      <c r="Q134"/>
      <c r="R134"/>
      <c r="S134"/>
      <c r="T134"/>
      <c r="X134"/>
    </row>
    <row r="135" spans="3:24" x14ac:dyDescent="0.2">
      <c r="C135" s="212"/>
      <c r="D135"/>
      <c r="E135"/>
      <c r="F135"/>
      <c r="G135"/>
      <c r="H135"/>
      <c r="I135"/>
      <c r="J135"/>
      <c r="K135"/>
      <c r="L135"/>
      <c r="M135"/>
      <c r="N135"/>
      <c r="O135"/>
      <c r="Q135"/>
      <c r="R135"/>
      <c r="S135"/>
      <c r="T135"/>
      <c r="X135"/>
    </row>
    <row r="136" spans="3:24" x14ac:dyDescent="0.2">
      <c r="C136" s="212"/>
      <c r="D136"/>
      <c r="E136"/>
      <c r="F136"/>
      <c r="G136"/>
      <c r="H136"/>
      <c r="I136"/>
      <c r="J136"/>
      <c r="K136"/>
      <c r="L136"/>
      <c r="M136"/>
      <c r="N136"/>
      <c r="O136"/>
      <c r="Q136"/>
      <c r="R136"/>
      <c r="S136"/>
      <c r="T136"/>
      <c r="X136"/>
    </row>
    <row r="137" spans="3:24" x14ac:dyDescent="0.2">
      <c r="C137" s="212"/>
      <c r="D137"/>
      <c r="E137"/>
      <c r="F137"/>
      <c r="G137"/>
      <c r="H137"/>
      <c r="I137"/>
      <c r="J137"/>
      <c r="K137"/>
      <c r="L137"/>
      <c r="M137"/>
      <c r="N137"/>
      <c r="O137"/>
      <c r="Q137"/>
      <c r="R137"/>
      <c r="S137"/>
      <c r="T137"/>
      <c r="X137"/>
    </row>
    <row r="138" spans="3:24" x14ac:dyDescent="0.2">
      <c r="C138" s="212"/>
      <c r="D138"/>
      <c r="E138"/>
      <c r="F138"/>
      <c r="G138"/>
      <c r="H138"/>
      <c r="I138"/>
      <c r="J138"/>
      <c r="K138"/>
      <c r="L138"/>
      <c r="M138"/>
      <c r="N138"/>
      <c r="O138"/>
      <c r="Q138"/>
      <c r="R138"/>
      <c r="S138"/>
      <c r="T138"/>
      <c r="X138"/>
    </row>
    <row r="139" spans="3:24" x14ac:dyDescent="0.2">
      <c r="C139" s="212"/>
      <c r="D139"/>
      <c r="E139"/>
      <c r="F139"/>
      <c r="G139"/>
      <c r="H139"/>
      <c r="I139"/>
      <c r="J139"/>
      <c r="K139"/>
      <c r="L139"/>
      <c r="M139"/>
      <c r="N139"/>
      <c r="O139"/>
      <c r="Q139"/>
      <c r="R139"/>
      <c r="S139"/>
      <c r="T139"/>
      <c r="X139"/>
    </row>
    <row r="140" spans="3:24" x14ac:dyDescent="0.2">
      <c r="C140" s="212"/>
      <c r="D140"/>
      <c r="E140"/>
      <c r="F140"/>
      <c r="G140"/>
      <c r="H140"/>
      <c r="I140"/>
      <c r="J140"/>
      <c r="K140"/>
      <c r="L140"/>
      <c r="M140"/>
      <c r="N140"/>
      <c r="O140"/>
      <c r="Q140"/>
      <c r="R140"/>
      <c r="S140"/>
      <c r="T140"/>
      <c r="X140"/>
    </row>
    <row r="141" spans="3:24" x14ac:dyDescent="0.2">
      <c r="C141" s="212"/>
      <c r="D141"/>
      <c r="E141"/>
      <c r="F141"/>
      <c r="G141"/>
      <c r="H141"/>
      <c r="I141"/>
      <c r="J141"/>
      <c r="K141"/>
      <c r="L141"/>
      <c r="M141"/>
      <c r="N141"/>
      <c r="O141"/>
      <c r="Q141"/>
      <c r="R141"/>
      <c r="S141"/>
      <c r="T141"/>
      <c r="X141"/>
    </row>
    <row r="142" spans="3:24" x14ac:dyDescent="0.2">
      <c r="C142" s="212"/>
      <c r="D142"/>
      <c r="E142"/>
      <c r="F142"/>
      <c r="G142"/>
      <c r="H142"/>
      <c r="I142"/>
      <c r="J142"/>
      <c r="K142"/>
      <c r="L142"/>
      <c r="M142"/>
      <c r="N142"/>
      <c r="O142"/>
      <c r="Q142"/>
      <c r="R142"/>
      <c r="S142"/>
      <c r="T142"/>
      <c r="X142"/>
    </row>
    <row r="143" spans="3:24" x14ac:dyDescent="0.2">
      <c r="C143" s="212"/>
      <c r="D143"/>
      <c r="E143"/>
      <c r="F143"/>
      <c r="G143"/>
      <c r="H143"/>
      <c r="I143"/>
      <c r="J143"/>
      <c r="K143"/>
      <c r="L143"/>
      <c r="M143"/>
      <c r="N143"/>
      <c r="O143"/>
      <c r="Q143"/>
      <c r="R143"/>
      <c r="S143"/>
      <c r="T143"/>
      <c r="X143"/>
    </row>
    <row r="144" spans="3:24" x14ac:dyDescent="0.2">
      <c r="C144" s="212"/>
      <c r="D144"/>
      <c r="E144"/>
      <c r="F144"/>
      <c r="G144"/>
      <c r="H144"/>
      <c r="I144"/>
      <c r="J144"/>
      <c r="K144"/>
      <c r="L144"/>
      <c r="M144"/>
      <c r="N144"/>
      <c r="O144"/>
      <c r="Q144"/>
      <c r="R144"/>
      <c r="S144"/>
      <c r="T144"/>
      <c r="X144"/>
    </row>
    <row r="145" spans="3:24" x14ac:dyDescent="0.2">
      <c r="C145" s="212"/>
      <c r="D145"/>
      <c r="E145"/>
      <c r="F145"/>
      <c r="G145"/>
      <c r="H145"/>
      <c r="I145"/>
      <c r="J145"/>
      <c r="K145"/>
      <c r="L145"/>
      <c r="M145"/>
      <c r="N145"/>
      <c r="O145"/>
      <c r="Q145"/>
      <c r="R145"/>
      <c r="S145"/>
      <c r="T145"/>
      <c r="X145"/>
    </row>
    <row r="146" spans="3:24" x14ac:dyDescent="0.2">
      <c r="C146" s="212"/>
      <c r="D146"/>
      <c r="E146"/>
      <c r="F146"/>
      <c r="G146"/>
      <c r="H146"/>
      <c r="I146"/>
      <c r="J146"/>
      <c r="K146"/>
      <c r="L146"/>
      <c r="M146"/>
      <c r="N146"/>
      <c r="O146"/>
      <c r="Q146"/>
      <c r="R146"/>
      <c r="S146"/>
      <c r="T146"/>
      <c r="X146"/>
    </row>
    <row r="147" spans="3:24" x14ac:dyDescent="0.2">
      <c r="C147" s="212"/>
      <c r="D147"/>
      <c r="E147"/>
      <c r="F147"/>
      <c r="G147"/>
      <c r="H147"/>
      <c r="I147"/>
      <c r="J147"/>
      <c r="K147"/>
      <c r="L147"/>
      <c r="M147"/>
      <c r="N147"/>
      <c r="O147"/>
      <c r="Q147"/>
      <c r="R147"/>
      <c r="S147"/>
      <c r="T147"/>
      <c r="X147"/>
    </row>
    <row r="148" spans="3:24" x14ac:dyDescent="0.2">
      <c r="C148" s="212"/>
      <c r="D148"/>
      <c r="E148"/>
      <c r="F148"/>
      <c r="G148"/>
      <c r="H148"/>
      <c r="I148"/>
      <c r="J148"/>
      <c r="K148"/>
      <c r="L148"/>
      <c r="M148"/>
      <c r="N148"/>
      <c r="O148"/>
      <c r="Q148"/>
      <c r="R148"/>
      <c r="S148"/>
      <c r="T148"/>
      <c r="X148"/>
    </row>
    <row r="149" spans="3:24" x14ac:dyDescent="0.2">
      <c r="C149" s="212"/>
      <c r="D149"/>
      <c r="E149"/>
      <c r="F149"/>
      <c r="G149"/>
      <c r="H149"/>
      <c r="I149"/>
      <c r="J149"/>
      <c r="K149"/>
      <c r="L149"/>
      <c r="M149"/>
      <c r="N149"/>
      <c r="O149"/>
      <c r="Q149"/>
      <c r="R149"/>
      <c r="S149"/>
      <c r="T149"/>
      <c r="X149"/>
    </row>
    <row r="150" spans="3:24" x14ac:dyDescent="0.2">
      <c r="C150" s="212"/>
      <c r="D150"/>
      <c r="E150"/>
      <c r="F150"/>
      <c r="G150"/>
      <c r="H150"/>
      <c r="I150"/>
      <c r="J150"/>
      <c r="K150"/>
      <c r="L150"/>
      <c r="M150"/>
      <c r="N150"/>
      <c r="O150"/>
      <c r="Q150"/>
      <c r="R150"/>
      <c r="S150"/>
      <c r="T150"/>
      <c r="X150"/>
    </row>
    <row r="151" spans="3:24" x14ac:dyDescent="0.2">
      <c r="C151" s="212"/>
      <c r="D151"/>
      <c r="E151"/>
      <c r="F151"/>
      <c r="G151"/>
      <c r="H151"/>
      <c r="I151"/>
      <c r="J151"/>
      <c r="K151"/>
      <c r="L151"/>
      <c r="M151"/>
      <c r="N151"/>
      <c r="O151"/>
      <c r="Q151"/>
      <c r="R151"/>
      <c r="S151"/>
      <c r="T151"/>
      <c r="X151"/>
    </row>
    <row r="152" spans="3:24" x14ac:dyDescent="0.2">
      <c r="C152" s="212"/>
      <c r="D152"/>
      <c r="E152"/>
      <c r="F152"/>
      <c r="G152"/>
      <c r="H152"/>
      <c r="I152"/>
      <c r="J152"/>
      <c r="K152"/>
      <c r="L152"/>
      <c r="M152"/>
      <c r="N152"/>
      <c r="O152"/>
      <c r="Q152"/>
      <c r="R152"/>
      <c r="S152"/>
      <c r="T152"/>
      <c r="X152"/>
    </row>
    <row r="153" spans="3:24" x14ac:dyDescent="0.2">
      <c r="C153" s="212"/>
      <c r="D153"/>
      <c r="E153"/>
      <c r="F153"/>
      <c r="G153"/>
      <c r="H153"/>
      <c r="I153"/>
      <c r="J153"/>
      <c r="K153"/>
      <c r="L153"/>
      <c r="M153"/>
      <c r="N153"/>
      <c r="O153"/>
      <c r="Q153"/>
      <c r="R153"/>
      <c r="S153"/>
      <c r="T153"/>
      <c r="X153"/>
    </row>
    <row r="154" spans="3:24" x14ac:dyDescent="0.2">
      <c r="C154" s="212"/>
      <c r="D154"/>
      <c r="E154"/>
      <c r="F154"/>
      <c r="G154"/>
      <c r="H154"/>
      <c r="I154"/>
      <c r="J154"/>
      <c r="K154"/>
      <c r="L154"/>
      <c r="M154"/>
      <c r="N154"/>
      <c r="O154"/>
      <c r="Q154"/>
      <c r="R154"/>
      <c r="S154"/>
      <c r="T154"/>
      <c r="X154"/>
    </row>
    <row r="155" spans="3:24" x14ac:dyDescent="0.2">
      <c r="C155" s="212"/>
      <c r="D155"/>
      <c r="E155"/>
      <c r="F155"/>
      <c r="G155"/>
      <c r="H155"/>
      <c r="I155"/>
      <c r="J155"/>
      <c r="K155"/>
      <c r="L155"/>
      <c r="M155"/>
      <c r="N155"/>
      <c r="O155"/>
      <c r="Q155"/>
      <c r="R155"/>
      <c r="S155"/>
      <c r="T155"/>
      <c r="X155"/>
    </row>
    <row r="156" spans="3:24" x14ac:dyDescent="0.2">
      <c r="C156" s="212"/>
      <c r="D156"/>
      <c r="E156"/>
      <c r="F156"/>
      <c r="G156"/>
      <c r="H156"/>
      <c r="I156"/>
      <c r="J156"/>
      <c r="K156"/>
      <c r="L156"/>
      <c r="M156"/>
      <c r="N156"/>
      <c r="O156"/>
      <c r="Q156"/>
      <c r="R156"/>
      <c r="S156"/>
      <c r="T156"/>
      <c r="X156"/>
    </row>
    <row r="157" spans="3:24" x14ac:dyDescent="0.2">
      <c r="C157" s="212"/>
      <c r="D157"/>
      <c r="E157"/>
      <c r="F157"/>
      <c r="G157"/>
      <c r="H157"/>
      <c r="I157"/>
      <c r="J157"/>
      <c r="K157"/>
      <c r="L157"/>
      <c r="M157"/>
      <c r="N157"/>
      <c r="O157"/>
      <c r="Q157"/>
      <c r="R157"/>
      <c r="S157"/>
      <c r="T157"/>
      <c r="X157"/>
    </row>
    <row r="158" spans="3:24" x14ac:dyDescent="0.2">
      <c r="C158" s="212"/>
      <c r="D158"/>
      <c r="E158"/>
      <c r="F158"/>
      <c r="G158"/>
      <c r="H158"/>
      <c r="I158"/>
      <c r="J158"/>
      <c r="K158"/>
      <c r="L158"/>
      <c r="M158"/>
      <c r="N158"/>
      <c r="O158"/>
      <c r="Q158"/>
      <c r="R158"/>
      <c r="S158"/>
      <c r="T158"/>
      <c r="X158"/>
    </row>
    <row r="159" spans="3:24" x14ac:dyDescent="0.2">
      <c r="C159" s="212"/>
      <c r="D159"/>
      <c r="E159"/>
      <c r="F159"/>
      <c r="G159"/>
      <c r="H159"/>
      <c r="I159"/>
      <c r="J159"/>
      <c r="K159"/>
      <c r="L159"/>
      <c r="M159"/>
      <c r="N159"/>
      <c r="O159"/>
      <c r="Q159"/>
      <c r="R159"/>
      <c r="S159"/>
      <c r="T159"/>
      <c r="X159"/>
    </row>
    <row r="160" spans="3:24" x14ac:dyDescent="0.2">
      <c r="C160" s="212"/>
      <c r="D160"/>
      <c r="E160"/>
      <c r="F160"/>
      <c r="G160"/>
      <c r="H160"/>
      <c r="I160"/>
      <c r="J160"/>
      <c r="K160"/>
      <c r="L160"/>
      <c r="M160"/>
      <c r="N160"/>
      <c r="O160"/>
      <c r="Q160"/>
      <c r="R160"/>
      <c r="S160"/>
      <c r="T160"/>
      <c r="X160"/>
    </row>
    <row r="161" spans="3:24" x14ac:dyDescent="0.2">
      <c r="C161" s="212"/>
      <c r="D161"/>
      <c r="E161"/>
      <c r="F161"/>
      <c r="G161"/>
      <c r="H161"/>
      <c r="I161"/>
      <c r="J161"/>
      <c r="K161"/>
      <c r="L161"/>
      <c r="M161"/>
      <c r="N161"/>
      <c r="O161"/>
      <c r="Q161"/>
      <c r="R161"/>
      <c r="S161"/>
      <c r="T161"/>
      <c r="X161"/>
    </row>
    <row r="162" spans="3:24" x14ac:dyDescent="0.2">
      <c r="C162" s="212"/>
      <c r="D162"/>
      <c r="E162"/>
      <c r="F162"/>
      <c r="G162"/>
      <c r="H162"/>
      <c r="I162"/>
      <c r="J162"/>
      <c r="K162"/>
      <c r="L162"/>
      <c r="M162"/>
      <c r="N162"/>
      <c r="O162"/>
      <c r="Q162"/>
      <c r="R162"/>
      <c r="S162"/>
      <c r="T162"/>
      <c r="X162"/>
    </row>
  </sheetData>
  <phoneticPr fontId="0" type="noConversion"/>
  <hyperlinks>
    <hyperlink ref="A1" location="'Working Budget with funding det'!A1" display="Main " xr:uid="{00000000-0004-0000-2B00-000000000000}"/>
    <hyperlink ref="B1" location="'Table of Contents'!A1" display="TOC" xr:uid="{00000000-0004-0000-2B00-000001000000}"/>
  </hyperlinks>
  <pageMargins left="0.75" right="0.75" top="1" bottom="1" header="0.5" footer="0.5"/>
  <pageSetup scale="91" fitToHeight="0" orientation="landscape" r:id="rId1"/>
  <headerFooter alignWithMargins="0">
    <oddFooter>&amp;L&amp;D     &amp;T&amp;C&amp;F&amp;R&amp;A</oddFooter>
  </headerFooter>
  <rowBreaks count="1" manualBreakCount="1">
    <brk id="34" max="11"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50"/>
    <pageSetUpPr fitToPage="1"/>
  </sheetPr>
  <dimension ref="A1:X184"/>
  <sheetViews>
    <sheetView workbookViewId="0">
      <selection activeCell="P15" sqref="P15"/>
    </sheetView>
  </sheetViews>
  <sheetFormatPr defaultRowHeight="12.75" x14ac:dyDescent="0.2"/>
  <cols>
    <col min="1" max="1" width="8.83203125" style="783"/>
    <col min="2" max="2" width="36.6640625" customWidth="1"/>
    <col min="3" max="3" width="14.5" style="1" hidden="1" customWidth="1"/>
    <col min="4" max="12" width="14.5" style="106" hidden="1" customWidth="1"/>
    <col min="13" max="15" width="14.5" style="106" customWidth="1"/>
    <col min="16" max="16" width="14.5" customWidth="1"/>
    <col min="17" max="20" width="14.5" style="1" customWidth="1"/>
    <col min="21" max="23" width="14.5" customWidth="1"/>
    <col min="24" max="24" width="14.6640625" style="2" customWidth="1"/>
  </cols>
  <sheetData>
    <row r="1" spans="1:23" x14ac:dyDescent="0.2">
      <c r="A1" s="772" t="s">
        <v>847</v>
      </c>
      <c r="B1" s="308" t="s">
        <v>197</v>
      </c>
      <c r="D1" s="212"/>
      <c r="E1" s="212"/>
      <c r="F1" s="212"/>
      <c r="G1" s="212"/>
      <c r="H1" s="212"/>
      <c r="I1" s="212"/>
      <c r="J1" s="212"/>
      <c r="K1" s="212"/>
      <c r="L1" s="212"/>
      <c r="M1" s="212"/>
      <c r="N1" s="212"/>
      <c r="O1" s="212"/>
      <c r="T1"/>
    </row>
    <row r="2" spans="1:23" ht="15" x14ac:dyDescent="0.25">
      <c r="A2" s="773" t="s">
        <v>1420</v>
      </c>
      <c r="B2" s="43"/>
      <c r="D2" s="212"/>
      <c r="E2" s="126"/>
      <c r="F2" s="212"/>
      <c r="G2" s="212"/>
      <c r="H2" s="212"/>
      <c r="I2" s="126" t="s">
        <v>816</v>
      </c>
      <c r="J2" s="126"/>
      <c r="K2" s="126"/>
      <c r="L2" s="126"/>
      <c r="M2" s="126"/>
      <c r="N2" s="126"/>
      <c r="O2" s="126"/>
      <c r="P2" s="58" t="s">
        <v>1453</v>
      </c>
      <c r="S2" s="44" t="s">
        <v>1454</v>
      </c>
    </row>
    <row r="3" spans="1:23" ht="13.5" thickBot="1" x14ac:dyDescent="0.25">
      <c r="A3" s="774"/>
      <c r="B3" s="4"/>
      <c r="C3" s="23"/>
      <c r="D3" s="23"/>
      <c r="E3" s="23"/>
      <c r="F3" s="23"/>
      <c r="G3" s="23"/>
      <c r="H3" s="23"/>
      <c r="I3" s="23"/>
      <c r="J3" s="23"/>
      <c r="K3" s="23"/>
      <c r="L3" s="23"/>
      <c r="M3" s="23"/>
      <c r="N3" s="23"/>
      <c r="O3" s="23"/>
      <c r="P3" s="4"/>
      <c r="Q3" s="23"/>
      <c r="R3" s="23"/>
      <c r="S3" s="4"/>
      <c r="T3" s="4"/>
      <c r="W3" s="4"/>
    </row>
    <row r="4" spans="1:23"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3" x14ac:dyDescent="0.2">
      <c r="A5" s="776"/>
      <c r="B5" s="202"/>
      <c r="C5" s="113"/>
      <c r="D5" s="82"/>
      <c r="E5" s="105"/>
      <c r="F5" s="105"/>
      <c r="G5" s="82"/>
      <c r="H5" s="105"/>
      <c r="I5" s="247"/>
      <c r="J5" s="247"/>
      <c r="K5" s="247"/>
      <c r="L5" s="247"/>
      <c r="M5" s="247"/>
      <c r="N5" s="247"/>
      <c r="O5" s="247"/>
      <c r="P5" s="105" t="s">
        <v>819</v>
      </c>
      <c r="Q5" s="83" t="s">
        <v>820</v>
      </c>
      <c r="R5" s="83" t="s">
        <v>821</v>
      </c>
      <c r="S5" s="196" t="s">
        <v>822</v>
      </c>
    </row>
    <row r="6" spans="1:23" x14ac:dyDescent="0.2">
      <c r="A6" s="776"/>
      <c r="B6" s="202"/>
      <c r="C6" s="113"/>
      <c r="D6" s="113"/>
      <c r="E6" s="113"/>
      <c r="F6" s="113"/>
      <c r="G6" s="113"/>
      <c r="H6" s="113"/>
      <c r="I6" s="83"/>
      <c r="J6" s="83"/>
      <c r="K6" s="83"/>
      <c r="L6" s="83"/>
      <c r="M6" s="83"/>
      <c r="N6" s="83"/>
      <c r="O6" s="83"/>
      <c r="P6" s="113"/>
      <c r="Q6" s="83" t="s">
        <v>823</v>
      </c>
      <c r="R6" s="83" t="s">
        <v>585</v>
      </c>
      <c r="S6" s="45" t="s">
        <v>824</v>
      </c>
    </row>
    <row r="7" spans="1:23"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3" ht="13.5" thickTop="1" x14ac:dyDescent="0.2">
      <c r="A8" s="796"/>
      <c r="B8" s="203"/>
      <c r="C8" s="118"/>
      <c r="D8" s="18"/>
      <c r="E8" s="18"/>
      <c r="F8" s="18"/>
      <c r="G8" s="18"/>
      <c r="H8" s="18"/>
      <c r="I8" s="19"/>
      <c r="J8" s="19"/>
      <c r="K8" s="19"/>
      <c r="L8" s="19"/>
      <c r="M8" s="19"/>
      <c r="N8" s="19"/>
      <c r="O8" s="19"/>
      <c r="P8" s="18"/>
      <c r="Q8" s="19"/>
      <c r="R8" s="19"/>
      <c r="S8" s="19"/>
    </row>
    <row r="9" spans="1:23" x14ac:dyDescent="0.2">
      <c r="A9" s="779">
        <v>5771</v>
      </c>
      <c r="B9" s="60" t="s">
        <v>1455</v>
      </c>
      <c r="C9" s="116">
        <v>139890.25</v>
      </c>
      <c r="D9" s="13">
        <v>146786.22</v>
      </c>
      <c r="E9" s="13">
        <v>155125.34</v>
      </c>
      <c r="F9" s="13">
        <v>142242.03</v>
      </c>
      <c r="G9" s="13">
        <v>112649.07</v>
      </c>
      <c r="H9" s="13">
        <v>82486.720000000001</v>
      </c>
      <c r="I9" s="13">
        <v>71893.36</v>
      </c>
      <c r="J9" s="13">
        <v>69662.14</v>
      </c>
      <c r="K9" s="14">
        <v>81800</v>
      </c>
      <c r="L9" s="13">
        <v>71773.19</v>
      </c>
      <c r="M9" s="14">
        <v>81800</v>
      </c>
      <c r="N9" s="13">
        <v>57054.83</v>
      </c>
      <c r="O9" s="14">
        <v>70000</v>
      </c>
      <c r="P9" s="13">
        <v>26321.71</v>
      </c>
      <c r="Q9" s="14">
        <v>70000</v>
      </c>
      <c r="R9" s="14"/>
      <c r="S9" s="14"/>
    </row>
    <row r="10" spans="1:23" x14ac:dyDescent="0.2">
      <c r="A10" s="779">
        <v>5774</v>
      </c>
      <c r="B10" s="60" t="s">
        <v>1456</v>
      </c>
      <c r="C10" s="116">
        <v>4102.79</v>
      </c>
      <c r="D10" s="13">
        <v>4039.92</v>
      </c>
      <c r="E10" s="13">
        <v>2826</v>
      </c>
      <c r="F10" s="13">
        <v>2292.12</v>
      </c>
      <c r="G10" s="13">
        <v>525</v>
      </c>
      <c r="H10" s="13">
        <v>2382.6</v>
      </c>
      <c r="I10" s="13">
        <v>2281.8000000000002</v>
      </c>
      <c r="J10" s="13">
        <v>1575.4</v>
      </c>
      <c r="K10" s="14">
        <v>1600</v>
      </c>
      <c r="L10" s="13">
        <v>1983.2</v>
      </c>
      <c r="M10" s="14">
        <v>2000</v>
      </c>
      <c r="N10" s="13">
        <v>1712.9</v>
      </c>
      <c r="O10" s="14">
        <v>2500</v>
      </c>
      <c r="P10" s="13"/>
      <c r="Q10" s="14">
        <v>2500</v>
      </c>
      <c r="R10" s="14"/>
      <c r="S10" s="14"/>
    </row>
    <row r="11" spans="1:23" ht="13.5" thickBot="1" x14ac:dyDescent="0.25">
      <c r="A11" s="779">
        <v>5776</v>
      </c>
      <c r="B11" s="60" t="s">
        <v>1457</v>
      </c>
      <c r="C11" s="117"/>
      <c r="D11" s="15">
        <v>4000</v>
      </c>
      <c r="E11" s="15">
        <v>4000</v>
      </c>
      <c r="F11" s="15"/>
      <c r="G11" s="15"/>
      <c r="H11" s="15"/>
      <c r="I11" s="15">
        <v>0</v>
      </c>
      <c r="J11" s="15">
        <v>3236.95</v>
      </c>
      <c r="K11" s="16">
        <v>5000</v>
      </c>
      <c r="L11" s="15"/>
      <c r="M11" s="16">
        <v>4000</v>
      </c>
      <c r="N11" s="15"/>
      <c r="O11" s="16">
        <v>4000</v>
      </c>
      <c r="P11" s="15"/>
      <c r="Q11" s="16">
        <v>4000</v>
      </c>
      <c r="R11" s="16"/>
      <c r="S11" s="16"/>
    </row>
    <row r="12" spans="1:23" x14ac:dyDescent="0.2">
      <c r="A12" s="779"/>
      <c r="B12" s="61" t="s">
        <v>838</v>
      </c>
      <c r="C12" s="118">
        <f t="shared" ref="C12:Q12" si="0">SUM(C9:C11)</f>
        <v>143993.04</v>
      </c>
      <c r="D12" s="18">
        <f t="shared" si="0"/>
        <v>154826.14000000001</v>
      </c>
      <c r="E12" s="18">
        <f>SUM(E9:E11)</f>
        <v>161951.34</v>
      </c>
      <c r="F12" s="18">
        <f>SUM(F9:F11)</f>
        <v>144534.15</v>
      </c>
      <c r="G12" s="18">
        <f>SUM(G9:G11)</f>
        <v>113174.07</v>
      </c>
      <c r="H12" s="18">
        <f>SUM(H9:H11)</f>
        <v>84869.32</v>
      </c>
      <c r="I12" s="18">
        <f t="shared" si="0"/>
        <v>74175.16</v>
      </c>
      <c r="J12" s="18">
        <f t="shared" ref="J12" si="1">SUM(J9:J11)</f>
        <v>74474.489999999991</v>
      </c>
      <c r="K12" s="19">
        <f t="shared" ref="K12:O12" si="2">SUM(K9:K11)</f>
        <v>88400</v>
      </c>
      <c r="L12" s="18">
        <f t="shared" si="2"/>
        <v>73756.39</v>
      </c>
      <c r="M12" s="19">
        <f t="shared" si="2"/>
        <v>87800</v>
      </c>
      <c r="N12" s="18">
        <f t="shared" ref="N12" si="3">SUM(N9:N11)</f>
        <v>58767.73</v>
      </c>
      <c r="O12" s="19">
        <f t="shared" si="2"/>
        <v>76500</v>
      </c>
      <c r="P12" s="18">
        <f t="shared" si="0"/>
        <v>26321.71</v>
      </c>
      <c r="Q12" s="19">
        <f t="shared" si="0"/>
        <v>76500</v>
      </c>
      <c r="R12" s="19"/>
      <c r="S12" s="19">
        <f>SUM(S9:S11)</f>
        <v>0</v>
      </c>
    </row>
    <row r="13" spans="1:23" x14ac:dyDescent="0.2">
      <c r="A13" s="779"/>
      <c r="B13" s="60"/>
      <c r="C13" s="116"/>
      <c r="D13" s="13"/>
      <c r="E13" s="13"/>
      <c r="F13" s="13"/>
      <c r="G13" s="13"/>
      <c r="H13" s="13"/>
      <c r="I13" s="13"/>
      <c r="J13" s="13"/>
      <c r="K13" s="14"/>
      <c r="L13" s="13"/>
      <c r="M13" s="14"/>
      <c r="N13" s="13"/>
      <c r="O13" s="14"/>
      <c r="P13" s="13"/>
      <c r="Q13" s="14"/>
      <c r="R13" s="14"/>
      <c r="S13" s="14"/>
    </row>
    <row r="14" spans="1:23" x14ac:dyDescent="0.2">
      <c r="A14" s="779"/>
      <c r="B14" s="60"/>
      <c r="C14" s="116"/>
      <c r="D14" s="13"/>
      <c r="E14" s="13"/>
      <c r="F14" s="13"/>
      <c r="G14" s="13"/>
      <c r="H14" s="13"/>
      <c r="I14" s="13"/>
      <c r="J14" s="13"/>
      <c r="K14" s="14"/>
      <c r="L14" s="13"/>
      <c r="M14" s="14"/>
      <c r="N14" s="13"/>
      <c r="O14" s="14"/>
      <c r="P14" s="13"/>
      <c r="Q14" s="14"/>
      <c r="R14" s="14"/>
      <c r="S14" s="14"/>
    </row>
    <row r="15" spans="1:23" ht="13.5" thickBot="1" x14ac:dyDescent="0.25">
      <c r="A15" s="780"/>
      <c r="B15" s="602" t="s">
        <v>1458</v>
      </c>
      <c r="C15" s="596">
        <f t="shared" ref="C15:Q15" si="4">+C12</f>
        <v>143993.04</v>
      </c>
      <c r="D15" s="21">
        <f t="shared" si="4"/>
        <v>154826.14000000001</v>
      </c>
      <c r="E15" s="21">
        <f t="shared" si="4"/>
        <v>161951.34</v>
      </c>
      <c r="F15" s="21">
        <f>+F12</f>
        <v>144534.15</v>
      </c>
      <c r="G15" s="21">
        <f>+G12</f>
        <v>113174.07</v>
      </c>
      <c r="H15" s="21">
        <f>+H12</f>
        <v>84869.32</v>
      </c>
      <c r="I15" s="21">
        <f t="shared" si="4"/>
        <v>74175.16</v>
      </c>
      <c r="J15" s="21">
        <f t="shared" ref="J15" si="5">+J12</f>
        <v>74474.489999999991</v>
      </c>
      <c r="K15" s="22">
        <f t="shared" ref="K15:O15" si="6">+K12</f>
        <v>88400</v>
      </c>
      <c r="L15" s="21">
        <f t="shared" si="6"/>
        <v>73756.39</v>
      </c>
      <c r="M15" s="22">
        <f t="shared" si="6"/>
        <v>87800</v>
      </c>
      <c r="N15" s="21">
        <f t="shared" ref="N15" si="7">+N12</f>
        <v>58767.73</v>
      </c>
      <c r="O15" s="22">
        <f t="shared" si="6"/>
        <v>76500</v>
      </c>
      <c r="P15" s="21">
        <f t="shared" si="4"/>
        <v>26321.71</v>
      </c>
      <c r="Q15" s="22">
        <f t="shared" si="4"/>
        <v>76500</v>
      </c>
      <c r="R15" s="22">
        <f>+Q15</f>
        <v>76500</v>
      </c>
      <c r="S15" s="22">
        <f>+Q15</f>
        <v>76500</v>
      </c>
    </row>
    <row r="16" spans="1:23" ht="13.5" thickTop="1" x14ac:dyDescent="0.2">
      <c r="A16" s="774"/>
      <c r="B16" s="603"/>
      <c r="C16" s="24"/>
      <c r="D16" s="24"/>
      <c r="E16" s="24"/>
      <c r="F16" s="24"/>
      <c r="G16" s="24"/>
      <c r="H16" s="24"/>
      <c r="I16" s="24"/>
      <c r="J16" s="24"/>
      <c r="K16" s="24"/>
      <c r="L16" s="24"/>
      <c r="M16" s="24"/>
      <c r="N16" s="24"/>
      <c r="O16" s="24"/>
      <c r="P16" s="199" t="s">
        <v>843</v>
      </c>
      <c r="Q16" s="1116">
        <f>+Q15-O15</f>
        <v>0</v>
      </c>
      <c r="R16" s="1117">
        <f>ROUND((+Q16/O15),4)</f>
        <v>0</v>
      </c>
      <c r="S16" s="73"/>
      <c r="T16" s="23"/>
      <c r="U16" s="25"/>
      <c r="V16" s="25"/>
      <c r="W16" s="25"/>
    </row>
    <row r="17" spans="1:23" x14ac:dyDescent="0.2">
      <c r="A17" s="774"/>
      <c r="B17" s="603"/>
      <c r="C17" s="23"/>
      <c r="D17" s="23"/>
      <c r="E17" s="23"/>
      <c r="F17" s="23"/>
      <c r="G17" s="23"/>
      <c r="H17" s="23"/>
      <c r="I17" s="23"/>
      <c r="J17" s="23"/>
      <c r="K17" s="23"/>
      <c r="L17" s="23"/>
      <c r="M17" s="23"/>
      <c r="N17" s="23"/>
      <c r="O17" s="23"/>
      <c r="P17" s="25"/>
      <c r="Q17" s="23"/>
      <c r="R17" s="23"/>
      <c r="S17" s="73"/>
      <c r="T17" s="25"/>
      <c r="U17" s="25"/>
      <c r="V17" s="25"/>
      <c r="W17" s="25"/>
    </row>
    <row r="18" spans="1:23" ht="13.5" thickBot="1" x14ac:dyDescent="0.25">
      <c r="A18" s="774"/>
      <c r="B18" s="603"/>
      <c r="C18" s="24"/>
      <c r="D18" s="24"/>
      <c r="E18" s="24"/>
      <c r="F18" s="24"/>
      <c r="G18" s="24"/>
      <c r="H18" s="24"/>
      <c r="I18" s="24"/>
      <c r="J18" s="24"/>
      <c r="K18" s="24"/>
      <c r="L18" s="24"/>
      <c r="M18" s="24"/>
      <c r="N18" s="24"/>
      <c r="O18" s="24"/>
      <c r="P18" s="25"/>
      <c r="Q18" s="24"/>
      <c r="R18" s="24"/>
      <c r="S18" s="24"/>
      <c r="T18" s="24"/>
      <c r="U18" s="25"/>
      <c r="V18" s="25"/>
      <c r="W18" s="25"/>
    </row>
    <row r="19" spans="1:23" ht="13.5" thickTop="1" x14ac:dyDescent="0.2">
      <c r="A19" s="789"/>
      <c r="B19" s="367"/>
      <c r="C19" s="368" t="s">
        <v>280</v>
      </c>
      <c r="D19" s="369" t="s">
        <v>280</v>
      </c>
      <c r="E19" s="369" t="s">
        <v>280</v>
      </c>
      <c r="F19" s="212"/>
      <c r="G19" s="212"/>
      <c r="H19" s="212"/>
      <c r="I19" s="212"/>
      <c r="J19" s="370" t="s">
        <v>279</v>
      </c>
      <c r="K19" s="212"/>
      <c r="L19" s="212"/>
      <c r="M19" s="370" t="s">
        <v>279</v>
      </c>
      <c r="N19" s="371" t="s">
        <v>826</v>
      </c>
      <c r="O19" s="372" t="s">
        <v>840</v>
      </c>
      <c r="P19" s="371" t="s">
        <v>841</v>
      </c>
      <c r="Q19" s="373"/>
      <c r="R19" s="569"/>
      <c r="S19" s="372"/>
      <c r="T19" s="24"/>
      <c r="U19" s="25"/>
      <c r="V19" s="25"/>
      <c r="W19" s="25"/>
    </row>
    <row r="20" spans="1:23" ht="13.5" thickBot="1" x14ac:dyDescent="0.25">
      <c r="A20" s="790" t="s">
        <v>825</v>
      </c>
      <c r="B20" s="374"/>
      <c r="C20" s="375" t="s">
        <v>267</v>
      </c>
      <c r="D20" s="375" t="s">
        <v>268</v>
      </c>
      <c r="E20" s="376" t="s">
        <v>269</v>
      </c>
      <c r="F20" s="212"/>
      <c r="G20" s="212"/>
      <c r="H20" s="212"/>
      <c r="I20" s="212"/>
      <c r="J20" s="377" t="s">
        <v>276</v>
      </c>
      <c r="K20" s="212"/>
      <c r="L20" s="212"/>
      <c r="M20" s="377" t="s">
        <v>277</v>
      </c>
      <c r="N20" s="377" t="s">
        <v>571</v>
      </c>
      <c r="O20" s="376" t="s">
        <v>843</v>
      </c>
      <c r="P20" s="378" t="s">
        <v>843</v>
      </c>
      <c r="Q20" s="379" t="s">
        <v>844</v>
      </c>
      <c r="R20" s="570"/>
      <c r="S20" s="377"/>
      <c r="T20" s="23"/>
      <c r="U20" s="25"/>
      <c r="V20" s="25"/>
      <c r="W20" s="25"/>
    </row>
    <row r="21" spans="1:23" ht="13.5" thickTop="1" x14ac:dyDescent="0.2">
      <c r="A21" s="797"/>
      <c r="B21" s="394"/>
      <c r="C21" s="383"/>
      <c r="D21" s="383"/>
      <c r="E21" s="383"/>
      <c r="F21" s="212"/>
      <c r="G21" s="212"/>
      <c r="H21" s="212"/>
      <c r="I21" s="212"/>
      <c r="J21" s="384"/>
      <c r="K21" s="212"/>
      <c r="L21" s="212"/>
      <c r="M21" s="383"/>
      <c r="N21" s="414">
        <f>+M21-J21</f>
        <v>0</v>
      </c>
      <c r="O21" s="414">
        <f>+N21-M21</f>
        <v>0</v>
      </c>
      <c r="P21" s="392"/>
      <c r="Q21" s="385"/>
      <c r="R21" s="572"/>
      <c r="S21" s="386"/>
      <c r="T21" s="23"/>
      <c r="U21" s="25"/>
      <c r="V21" s="25"/>
      <c r="W21" s="25"/>
    </row>
    <row r="22" spans="1:23" x14ac:dyDescent="0.2">
      <c r="A22" s="795">
        <v>5771</v>
      </c>
      <c r="B22" s="387" t="s">
        <v>1455</v>
      </c>
      <c r="C22" s="391">
        <v>139890.25</v>
      </c>
      <c r="D22" s="391">
        <v>146786.22</v>
      </c>
      <c r="E22" s="391">
        <v>155125.34</v>
      </c>
      <c r="F22" s="212"/>
      <c r="G22" s="212"/>
      <c r="H22" s="212"/>
      <c r="I22" s="212"/>
      <c r="J22" s="390">
        <f>+O9</f>
        <v>70000</v>
      </c>
      <c r="K22" s="212"/>
      <c r="L22" s="212"/>
      <c r="M22" s="411">
        <f>+Q9</f>
        <v>70000</v>
      </c>
      <c r="N22" s="414">
        <f>+Q9</f>
        <v>70000</v>
      </c>
      <c r="O22" s="414">
        <f>+N22-M22</f>
        <v>0</v>
      </c>
      <c r="P22" s="392" t="str">
        <f>IF(M22+N22&lt;&gt;0,IF(M22&lt;&gt;0,IF(O22&lt;&gt;0,ROUND((+O22/M22),4),""),1),"")</f>
        <v/>
      </c>
      <c r="Q22" s="385"/>
      <c r="R22" s="572"/>
      <c r="S22" s="386"/>
      <c r="T22" s="23"/>
      <c r="U22" s="25"/>
      <c r="V22" s="25"/>
      <c r="W22" s="25"/>
    </row>
    <row r="23" spans="1:23" x14ac:dyDescent="0.2">
      <c r="A23" s="795">
        <v>5774</v>
      </c>
      <c r="B23" s="387" t="s">
        <v>1456</v>
      </c>
      <c r="C23" s="391">
        <v>4102.79</v>
      </c>
      <c r="D23" s="391">
        <v>4039.92</v>
      </c>
      <c r="E23" s="391">
        <v>2826</v>
      </c>
      <c r="F23" s="212"/>
      <c r="G23" s="212"/>
      <c r="H23" s="212"/>
      <c r="I23" s="212"/>
      <c r="J23" s="390">
        <f>+O10</f>
        <v>2500</v>
      </c>
      <c r="K23" s="212"/>
      <c r="L23" s="212"/>
      <c r="M23" s="411">
        <f>+Q10</f>
        <v>2500</v>
      </c>
      <c r="N23" s="414">
        <f>+Q10</f>
        <v>2500</v>
      </c>
      <c r="O23" s="414">
        <f t="shared" ref="O23:O24" si="8">+N23-M23</f>
        <v>0</v>
      </c>
      <c r="P23" s="392" t="str">
        <f>IF(M23+N23&lt;&gt;0,IF(M23&lt;&gt;0,IF(O23&lt;&gt;0,ROUND((+O23/M23),4),""),1),"")</f>
        <v/>
      </c>
      <c r="Q23" s="385"/>
      <c r="R23" s="572"/>
      <c r="S23" s="386"/>
      <c r="T23" s="23"/>
      <c r="U23" s="25"/>
      <c r="V23" s="25"/>
      <c r="W23" s="25"/>
    </row>
    <row r="24" spans="1:23" ht="13.5" thickBot="1" x14ac:dyDescent="0.25">
      <c r="A24" s="795">
        <v>5776</v>
      </c>
      <c r="B24" s="387" t="s">
        <v>1457</v>
      </c>
      <c r="C24" s="389"/>
      <c r="D24" s="389">
        <v>4000</v>
      </c>
      <c r="E24" s="389">
        <v>4000</v>
      </c>
      <c r="F24" s="212"/>
      <c r="G24" s="212"/>
      <c r="H24" s="212"/>
      <c r="I24" s="212"/>
      <c r="J24" s="390">
        <f>+O11</f>
        <v>4000</v>
      </c>
      <c r="K24" s="212"/>
      <c r="L24" s="212"/>
      <c r="M24" s="411">
        <f>+Q11</f>
        <v>4000</v>
      </c>
      <c r="N24" s="414">
        <f>+Q11</f>
        <v>4000</v>
      </c>
      <c r="O24" s="414">
        <f t="shared" si="8"/>
        <v>0</v>
      </c>
      <c r="P24" s="392" t="str">
        <f>IF(M24+N24&lt;&gt;0,IF(M24&lt;&gt;0,IF(O24&lt;&gt;0,ROUND((+O24/M24),4),""),1),"")</f>
        <v/>
      </c>
      <c r="Q24" s="385"/>
      <c r="R24" s="572"/>
      <c r="S24" s="386"/>
      <c r="T24" s="23"/>
      <c r="U24" s="25"/>
      <c r="V24" s="25"/>
      <c r="W24" s="25"/>
    </row>
    <row r="25" spans="1:23" x14ac:dyDescent="0.2">
      <c r="A25" s="774"/>
      <c r="B25" s="4"/>
      <c r="C25" s="23"/>
      <c r="D25" s="23"/>
      <c r="E25" s="23"/>
      <c r="F25" s="23"/>
      <c r="G25" s="23"/>
      <c r="H25" s="212"/>
      <c r="I25" s="212"/>
      <c r="J25" s="23"/>
      <c r="K25" s="212"/>
      <c r="L25" s="212"/>
      <c r="M25" s="23"/>
      <c r="N25" s="23"/>
      <c r="O25" s="23"/>
      <c r="P25" s="25"/>
      <c r="Q25" s="23"/>
      <c r="R25" s="23"/>
      <c r="S25" s="23"/>
      <c r="T25" s="23"/>
      <c r="U25" s="25"/>
      <c r="V25" s="25"/>
      <c r="W25" s="25"/>
    </row>
    <row r="26" spans="1:23" x14ac:dyDescent="0.2">
      <c r="A26" s="774">
        <v>43754</v>
      </c>
      <c r="B26" s="4" t="s">
        <v>846</v>
      </c>
      <c r="C26" s="23"/>
      <c r="D26" s="23"/>
      <c r="E26" s="23"/>
      <c r="F26" s="23"/>
      <c r="G26" s="23"/>
      <c r="H26" s="212"/>
      <c r="I26" s="212"/>
      <c r="J26" s="616">
        <f>SUM(J22:J25)</f>
        <v>76500</v>
      </c>
      <c r="K26" s="212"/>
      <c r="L26" s="212"/>
      <c r="M26" s="616">
        <f>SUM(M22:M25)</f>
        <v>76500</v>
      </c>
      <c r="N26" s="25">
        <f>SUM(N21:N25)</f>
        <v>76500</v>
      </c>
      <c r="O26" s="25">
        <f>SUM(O21:O25)</f>
        <v>0</v>
      </c>
      <c r="P26" s="617">
        <f>IF(I26+J26&lt;&gt;0,IF(I26&lt;&gt;0,IF(M26&lt;&gt;0,ROUND((+M26/I26),4),""),1),"")</f>
        <v>1</v>
      </c>
      <c r="Q26" s="23"/>
      <c r="R26" s="23"/>
      <c r="S26" s="23"/>
      <c r="T26" s="23"/>
      <c r="U26" s="25"/>
      <c r="V26" s="25"/>
      <c r="W26" s="25"/>
    </row>
    <row r="27" spans="1:23" x14ac:dyDescent="0.2">
      <c r="A27" s="774"/>
      <c r="B27" s="4"/>
      <c r="C27" s="23"/>
      <c r="D27" s="23"/>
      <c r="E27" s="23"/>
      <c r="F27" s="23"/>
      <c r="G27" s="23"/>
      <c r="H27" s="23"/>
      <c r="I27" s="23"/>
      <c r="J27" s="23"/>
      <c r="K27" s="23"/>
      <c r="L27" s="23"/>
      <c r="M27" s="23"/>
      <c r="N27" s="23"/>
      <c r="O27" s="23"/>
      <c r="P27" s="25"/>
      <c r="Q27" s="23"/>
      <c r="R27" s="23"/>
      <c r="S27" s="23"/>
      <c r="T27" s="23"/>
      <c r="U27" s="25"/>
      <c r="V27" s="25"/>
      <c r="W27" s="25"/>
    </row>
    <row r="28" spans="1:23" x14ac:dyDescent="0.2">
      <c r="A28" s="774"/>
      <c r="B28" s="4"/>
      <c r="C28" s="23"/>
      <c r="D28" s="23"/>
      <c r="E28" s="23"/>
      <c r="F28" s="23"/>
      <c r="G28" s="23"/>
      <c r="H28" s="23"/>
      <c r="I28" s="23"/>
      <c r="J28" s="23"/>
      <c r="K28" s="23"/>
      <c r="L28" s="23"/>
      <c r="M28" s="23"/>
      <c r="N28" s="23"/>
      <c r="O28" s="23"/>
      <c r="P28" s="25"/>
      <c r="Q28" s="23"/>
      <c r="R28" s="23"/>
      <c r="S28" s="23"/>
      <c r="T28" s="23"/>
      <c r="U28" s="25"/>
      <c r="V28" s="25"/>
      <c r="W28" s="25"/>
    </row>
    <row r="29" spans="1:23" x14ac:dyDescent="0.2">
      <c r="A29" s="774"/>
      <c r="B29" s="4"/>
      <c r="C29" s="23"/>
      <c r="D29" s="23"/>
      <c r="E29" s="23"/>
      <c r="F29" s="23"/>
      <c r="G29" s="23"/>
      <c r="H29" s="23"/>
      <c r="I29" s="23"/>
      <c r="J29" s="23"/>
      <c r="K29" s="23"/>
      <c r="L29" s="23"/>
      <c r="M29" s="23"/>
      <c r="N29" s="23"/>
      <c r="O29" s="23"/>
      <c r="P29" s="25"/>
      <c r="Q29" s="23"/>
      <c r="R29" s="23"/>
      <c r="S29" s="23"/>
      <c r="T29" s="23"/>
      <c r="U29" s="25"/>
      <c r="V29" s="25"/>
      <c r="W29" s="25"/>
    </row>
    <row r="30" spans="1:23" x14ac:dyDescent="0.2">
      <c r="A30" s="774"/>
      <c r="B30" s="4"/>
      <c r="C30" s="23"/>
      <c r="D30" s="23"/>
      <c r="E30" s="23"/>
      <c r="F30" s="23"/>
      <c r="G30" s="23"/>
      <c r="H30" s="23"/>
      <c r="I30" s="23"/>
      <c r="J30" s="23"/>
      <c r="K30" s="23"/>
      <c r="L30" s="23"/>
      <c r="M30" s="23"/>
      <c r="N30" s="23"/>
      <c r="O30" s="23"/>
      <c r="P30" s="25"/>
      <c r="Q30" s="23"/>
      <c r="R30" s="23"/>
      <c r="S30" s="23"/>
      <c r="T30" s="23"/>
      <c r="U30" s="25"/>
      <c r="V30" s="25"/>
      <c r="W30" s="25"/>
    </row>
    <row r="31" spans="1:23" x14ac:dyDescent="0.2">
      <c r="A31" s="774"/>
      <c r="B31" s="4"/>
      <c r="C31" s="23"/>
      <c r="D31" s="23"/>
      <c r="E31" s="23"/>
      <c r="F31" s="23"/>
      <c r="G31" s="23"/>
      <c r="H31" s="23"/>
      <c r="I31" s="23"/>
      <c r="J31" s="23"/>
      <c r="K31" s="23"/>
      <c r="L31" s="23"/>
      <c r="M31" s="23"/>
      <c r="N31" s="23"/>
      <c r="O31" s="23"/>
      <c r="P31" s="25"/>
      <c r="Q31" s="23"/>
      <c r="R31" s="23"/>
      <c r="S31" s="23"/>
      <c r="T31" s="23"/>
      <c r="U31" s="25"/>
      <c r="V31" s="25"/>
      <c r="W31" s="25"/>
    </row>
    <row r="32" spans="1:23" x14ac:dyDescent="0.2">
      <c r="A32" s="774"/>
      <c r="B32" s="4"/>
      <c r="C32" s="23"/>
      <c r="D32" s="23"/>
      <c r="E32" s="23"/>
      <c r="F32" s="23"/>
      <c r="G32" s="23"/>
      <c r="H32" s="23"/>
      <c r="I32" s="23"/>
      <c r="J32" s="23"/>
      <c r="K32" s="23"/>
      <c r="L32" s="23"/>
      <c r="M32" s="23"/>
      <c r="N32" s="23"/>
      <c r="O32" s="23"/>
      <c r="P32" s="25"/>
      <c r="Q32" s="23"/>
      <c r="R32" s="23"/>
      <c r="S32" s="23"/>
      <c r="T32" s="23"/>
      <c r="U32" s="25"/>
      <c r="V32" s="25"/>
      <c r="W32" s="25"/>
    </row>
    <row r="33" spans="1:23" x14ac:dyDescent="0.2">
      <c r="A33" s="774"/>
      <c r="B33" s="4"/>
      <c r="C33" s="23"/>
      <c r="D33" s="23"/>
      <c r="E33" s="23"/>
      <c r="F33" s="23"/>
      <c r="G33" s="23"/>
      <c r="H33" s="23"/>
      <c r="I33" s="23"/>
      <c r="J33" s="23"/>
      <c r="K33" s="23"/>
      <c r="L33" s="23"/>
      <c r="M33" s="23"/>
      <c r="N33" s="23"/>
      <c r="O33" s="23"/>
      <c r="P33" s="25"/>
      <c r="Q33" s="23"/>
      <c r="R33" s="23"/>
      <c r="S33" s="23"/>
      <c r="T33" s="23"/>
      <c r="U33" s="25"/>
      <c r="V33" s="25"/>
      <c r="W33" s="25"/>
    </row>
    <row r="34" spans="1:23" x14ac:dyDescent="0.2">
      <c r="A34" s="774"/>
      <c r="B34" s="4"/>
      <c r="C34" s="23"/>
      <c r="D34" s="23"/>
      <c r="E34" s="23"/>
      <c r="F34" s="23"/>
      <c r="G34" s="23"/>
      <c r="H34" s="23"/>
      <c r="I34" s="23"/>
      <c r="J34" s="23"/>
      <c r="K34" s="23"/>
      <c r="L34" s="23"/>
      <c r="M34" s="23"/>
      <c r="N34" s="23"/>
      <c r="O34" s="23"/>
      <c r="P34" s="25"/>
      <c r="Q34" s="23"/>
      <c r="R34" s="23"/>
      <c r="S34" s="23"/>
      <c r="T34" s="23"/>
      <c r="U34" s="25"/>
      <c r="V34" s="25"/>
      <c r="W34" s="25"/>
    </row>
    <row r="35" spans="1:23" x14ac:dyDescent="0.2">
      <c r="A35" s="774"/>
      <c r="B35" s="4"/>
      <c r="C35" s="23"/>
      <c r="D35" s="23"/>
      <c r="E35" s="23"/>
      <c r="F35" s="23"/>
      <c r="G35" s="23"/>
      <c r="H35" s="23"/>
      <c r="I35" s="23"/>
      <c r="J35" s="23"/>
      <c r="K35" s="23"/>
      <c r="L35" s="23"/>
      <c r="M35" s="23"/>
      <c r="N35" s="23"/>
      <c r="O35" s="23"/>
      <c r="P35" s="25"/>
      <c r="Q35" s="23"/>
      <c r="R35" s="23"/>
      <c r="S35" s="23"/>
      <c r="T35" s="23"/>
      <c r="U35" s="25"/>
      <c r="V35" s="25"/>
      <c r="W35" s="25"/>
    </row>
    <row r="36" spans="1:23" x14ac:dyDescent="0.2">
      <c r="A36" s="774"/>
      <c r="B36" s="4"/>
      <c r="C36" s="23"/>
      <c r="D36" s="23"/>
      <c r="E36" s="23"/>
      <c r="F36" s="23"/>
      <c r="G36" s="23"/>
      <c r="H36" s="23"/>
      <c r="I36" s="23"/>
      <c r="J36" s="23"/>
      <c r="K36" s="23"/>
      <c r="L36" s="23"/>
      <c r="M36" s="23"/>
      <c r="N36" s="23"/>
      <c r="O36" s="23"/>
      <c r="P36" s="25"/>
      <c r="Q36" s="23"/>
      <c r="R36" s="23"/>
      <c r="S36" s="23"/>
      <c r="T36" s="23"/>
      <c r="U36" s="25"/>
      <c r="V36" s="25"/>
      <c r="W36" s="25"/>
    </row>
    <row r="37" spans="1:23" x14ac:dyDescent="0.2">
      <c r="A37" s="774"/>
      <c r="B37" s="4"/>
      <c r="C37" s="23"/>
      <c r="D37" s="23"/>
      <c r="E37" s="23"/>
      <c r="F37" s="23"/>
      <c r="G37" s="23"/>
      <c r="H37" s="23"/>
      <c r="I37" s="23"/>
      <c r="J37" s="23"/>
      <c r="K37" s="23"/>
      <c r="L37" s="23"/>
      <c r="M37" s="23"/>
      <c r="N37" s="23"/>
      <c r="O37" s="23"/>
      <c r="P37" s="25"/>
      <c r="Q37" s="23"/>
      <c r="R37" s="23"/>
      <c r="S37" s="23"/>
      <c r="T37" s="23"/>
      <c r="U37" s="25"/>
      <c r="V37" s="25"/>
      <c r="W37" s="25"/>
    </row>
    <row r="38" spans="1:23" x14ac:dyDescent="0.2">
      <c r="A38" s="774"/>
      <c r="B38" s="4"/>
      <c r="C38" s="23"/>
      <c r="D38" s="23"/>
      <c r="E38" s="23"/>
      <c r="F38" s="23"/>
      <c r="G38" s="23"/>
      <c r="H38" s="23"/>
      <c r="I38" s="23"/>
      <c r="J38" s="23"/>
      <c r="K38" s="23"/>
      <c r="L38" s="23"/>
      <c r="M38" s="23"/>
      <c r="N38" s="23"/>
      <c r="O38" s="23"/>
      <c r="P38" s="25"/>
      <c r="Q38" s="23"/>
      <c r="R38" s="23"/>
      <c r="S38" s="23"/>
      <c r="T38" s="23"/>
      <c r="U38" s="25"/>
      <c r="V38" s="25"/>
      <c r="W38" s="25"/>
    </row>
    <row r="39" spans="1:23" x14ac:dyDescent="0.2">
      <c r="A39" s="774"/>
      <c r="B39" s="4"/>
      <c r="C39" s="23"/>
      <c r="D39" s="23"/>
      <c r="E39" s="23"/>
      <c r="F39" s="23"/>
      <c r="G39" s="23"/>
      <c r="H39" s="23"/>
      <c r="I39" s="23"/>
      <c r="J39" s="23"/>
      <c r="K39" s="23"/>
      <c r="L39" s="23"/>
      <c r="M39" s="23"/>
      <c r="N39" s="23"/>
      <c r="O39" s="23"/>
      <c r="P39" s="25"/>
      <c r="Q39" s="23"/>
      <c r="R39" s="23"/>
      <c r="S39" s="23"/>
      <c r="T39" s="23"/>
      <c r="U39" s="25"/>
      <c r="V39" s="25"/>
      <c r="W39" s="25"/>
    </row>
    <row r="40" spans="1:23" x14ac:dyDescent="0.2">
      <c r="A40" s="774"/>
      <c r="B40" s="4"/>
      <c r="C40" s="23"/>
      <c r="D40" s="23"/>
      <c r="E40" s="23"/>
      <c r="F40" s="23"/>
      <c r="G40" s="23"/>
      <c r="H40" s="23"/>
      <c r="I40" s="23"/>
      <c r="J40" s="23"/>
      <c r="K40" s="23"/>
      <c r="L40" s="23"/>
      <c r="M40" s="23"/>
      <c r="N40" s="23"/>
      <c r="O40" s="23"/>
      <c r="P40" s="25"/>
      <c r="Q40" s="23"/>
      <c r="R40" s="23"/>
      <c r="S40" s="23"/>
      <c r="T40" s="23"/>
      <c r="U40" s="25"/>
      <c r="V40" s="25"/>
      <c r="W40" s="25"/>
    </row>
    <row r="41" spans="1:23" x14ac:dyDescent="0.2">
      <c r="A41" s="774"/>
      <c r="B41" s="4"/>
      <c r="C41" s="23"/>
      <c r="D41" s="23"/>
      <c r="E41" s="23"/>
      <c r="F41" s="23"/>
      <c r="G41" s="23"/>
      <c r="H41" s="23"/>
      <c r="I41" s="23"/>
      <c r="J41" s="23"/>
      <c r="K41" s="23"/>
      <c r="L41" s="23"/>
      <c r="M41" s="23"/>
      <c r="N41" s="23"/>
      <c r="O41" s="23"/>
      <c r="P41" s="25"/>
      <c r="Q41" s="23"/>
      <c r="R41" s="23"/>
      <c r="S41" s="23"/>
      <c r="T41" s="23"/>
      <c r="U41" s="25"/>
      <c r="V41" s="25"/>
      <c r="W41" s="25"/>
    </row>
    <row r="42" spans="1:23" x14ac:dyDescent="0.2">
      <c r="A42" s="774"/>
      <c r="B42" s="4"/>
      <c r="C42" s="23"/>
      <c r="D42" s="23"/>
      <c r="E42" s="23"/>
      <c r="F42" s="23"/>
      <c r="G42" s="23"/>
      <c r="H42" s="23"/>
      <c r="I42" s="23"/>
      <c r="J42" s="23"/>
      <c r="K42" s="23"/>
      <c r="L42" s="23"/>
      <c r="M42" s="23"/>
      <c r="N42" s="23"/>
      <c r="O42" s="23"/>
      <c r="P42" s="25"/>
      <c r="Q42" s="23"/>
      <c r="R42" s="23"/>
      <c r="S42" s="23"/>
      <c r="T42" s="23"/>
      <c r="U42" s="25"/>
      <c r="V42" s="25"/>
      <c r="W42" s="25"/>
    </row>
    <row r="43" spans="1:23" x14ac:dyDescent="0.2">
      <c r="A43" s="774"/>
      <c r="B43" s="4"/>
      <c r="C43" s="23"/>
      <c r="D43" s="23"/>
      <c r="E43" s="23"/>
      <c r="F43" s="23"/>
      <c r="G43" s="23"/>
      <c r="H43" s="23"/>
      <c r="I43" s="23"/>
      <c r="J43" s="23"/>
      <c r="K43" s="23"/>
      <c r="L43" s="23"/>
      <c r="M43" s="23"/>
      <c r="N43" s="23"/>
      <c r="O43" s="23"/>
      <c r="P43" s="25"/>
      <c r="Q43" s="23"/>
      <c r="R43" s="23"/>
      <c r="S43" s="23"/>
      <c r="T43" s="23"/>
      <c r="U43" s="25"/>
      <c r="V43" s="25"/>
      <c r="W43" s="25"/>
    </row>
    <row r="44" spans="1:23" x14ac:dyDescent="0.2">
      <c r="A44" s="774"/>
      <c r="B44" s="4"/>
      <c r="C44" s="23"/>
      <c r="D44" s="23"/>
      <c r="E44" s="23"/>
      <c r="F44" s="23"/>
      <c r="G44" s="23"/>
      <c r="H44" s="23"/>
      <c r="I44" s="23"/>
      <c r="J44" s="23"/>
      <c r="K44" s="23"/>
      <c r="L44" s="23"/>
      <c r="M44" s="23"/>
      <c r="N44" s="23"/>
      <c r="O44" s="23"/>
      <c r="P44" s="25"/>
      <c r="Q44" s="23"/>
      <c r="R44" s="23"/>
      <c r="S44" s="23"/>
      <c r="T44" s="23"/>
      <c r="U44" s="25"/>
      <c r="V44" s="25"/>
      <c r="W44" s="25"/>
    </row>
    <row r="45" spans="1:23" x14ac:dyDescent="0.2">
      <c r="A45" s="774"/>
      <c r="B45" s="4"/>
      <c r="C45" s="23"/>
      <c r="D45" s="23"/>
      <c r="E45" s="23"/>
      <c r="F45" s="23"/>
      <c r="G45" s="23"/>
      <c r="H45" s="23"/>
      <c r="I45" s="23"/>
      <c r="J45" s="23"/>
      <c r="K45" s="23"/>
      <c r="L45" s="23"/>
      <c r="M45" s="23"/>
      <c r="N45" s="23"/>
      <c r="O45" s="23"/>
      <c r="P45" s="25"/>
      <c r="Q45" s="23"/>
      <c r="R45" s="23"/>
      <c r="S45" s="23"/>
      <c r="T45" s="23"/>
      <c r="U45" s="25"/>
      <c r="V45" s="25"/>
      <c r="W45" s="25"/>
    </row>
    <row r="46" spans="1:23" x14ac:dyDescent="0.2">
      <c r="A46" s="774"/>
      <c r="B46" s="4"/>
      <c r="C46" s="23"/>
      <c r="D46" s="23"/>
      <c r="E46" s="23"/>
      <c r="F46" s="23"/>
      <c r="G46" s="23"/>
      <c r="H46" s="23"/>
      <c r="I46" s="23"/>
      <c r="J46" s="23"/>
      <c r="K46" s="23"/>
      <c r="L46" s="23"/>
      <c r="M46" s="23"/>
      <c r="N46" s="23"/>
      <c r="O46" s="23"/>
      <c r="P46" s="25"/>
      <c r="Q46" s="23"/>
      <c r="R46" s="23"/>
      <c r="S46" s="23"/>
      <c r="T46" s="23"/>
      <c r="U46" s="25"/>
      <c r="V46" s="25"/>
      <c r="W46" s="25"/>
    </row>
    <row r="47" spans="1:23" x14ac:dyDescent="0.2">
      <c r="A47" s="774"/>
      <c r="B47" s="4"/>
      <c r="C47" s="23"/>
      <c r="D47" s="23"/>
      <c r="E47" s="23"/>
      <c r="F47" s="23"/>
      <c r="G47" s="23"/>
      <c r="H47" s="23"/>
      <c r="I47" s="23"/>
      <c r="J47" s="23"/>
      <c r="K47" s="23"/>
      <c r="L47" s="23"/>
      <c r="M47" s="23"/>
      <c r="N47" s="23"/>
      <c r="O47" s="23"/>
      <c r="P47" s="25"/>
      <c r="Q47" s="23"/>
      <c r="R47" s="23"/>
      <c r="S47" s="23"/>
      <c r="T47" s="23"/>
      <c r="U47" s="25"/>
      <c r="V47" s="25"/>
      <c r="W47" s="25"/>
    </row>
    <row r="48" spans="1:23" x14ac:dyDescent="0.2">
      <c r="A48" s="774"/>
      <c r="B48" s="4"/>
      <c r="C48" s="23"/>
      <c r="D48" s="23"/>
      <c r="E48" s="23"/>
      <c r="F48" s="23"/>
      <c r="G48" s="23"/>
      <c r="H48" s="23"/>
      <c r="I48" s="23"/>
      <c r="J48" s="23"/>
      <c r="K48" s="23"/>
      <c r="L48" s="23"/>
      <c r="M48" s="23"/>
      <c r="N48" s="23"/>
      <c r="O48" s="23"/>
      <c r="P48" s="25"/>
      <c r="Q48" s="23"/>
      <c r="R48" s="23"/>
      <c r="S48" s="23"/>
      <c r="T48" s="23"/>
      <c r="U48" s="25"/>
      <c r="V48" s="25"/>
      <c r="W48" s="25"/>
    </row>
    <row r="49" spans="1:23" x14ac:dyDescent="0.2">
      <c r="A49" s="774"/>
      <c r="B49" s="4"/>
      <c r="C49" s="23"/>
      <c r="D49" s="23"/>
      <c r="E49" s="23"/>
      <c r="F49" s="23"/>
      <c r="G49" s="23"/>
      <c r="H49" s="23"/>
      <c r="I49" s="23"/>
      <c r="J49" s="23"/>
      <c r="K49" s="23"/>
      <c r="L49" s="23"/>
      <c r="M49" s="23"/>
      <c r="N49" s="23"/>
      <c r="O49" s="23"/>
      <c r="P49" s="25"/>
      <c r="Q49" s="23"/>
      <c r="R49" s="23"/>
      <c r="S49" s="23"/>
      <c r="T49" s="23"/>
      <c r="U49" s="25"/>
      <c r="V49" s="25"/>
      <c r="W49" s="25"/>
    </row>
    <row r="50" spans="1:23" x14ac:dyDescent="0.2">
      <c r="A50" s="774"/>
      <c r="B50" s="4"/>
      <c r="C50" s="23"/>
      <c r="D50" s="23"/>
      <c r="E50" s="23"/>
      <c r="F50" s="23"/>
      <c r="G50" s="23"/>
      <c r="H50" s="23"/>
      <c r="I50" s="23"/>
      <c r="J50" s="23"/>
      <c r="K50" s="23"/>
      <c r="L50" s="23"/>
      <c r="M50" s="23"/>
      <c r="N50" s="23"/>
      <c r="O50" s="23"/>
      <c r="P50" s="25"/>
      <c r="Q50" s="23"/>
      <c r="R50" s="23"/>
      <c r="S50" s="23"/>
      <c r="T50" s="23"/>
      <c r="U50" s="25"/>
      <c r="V50" s="25"/>
      <c r="W50" s="25"/>
    </row>
    <row r="51" spans="1:23" x14ac:dyDescent="0.2">
      <c r="A51" s="774"/>
      <c r="B51" s="4"/>
      <c r="C51" s="23"/>
      <c r="D51" s="23"/>
      <c r="E51" s="23"/>
      <c r="F51" s="23"/>
      <c r="G51" s="23"/>
      <c r="H51" s="23"/>
      <c r="I51" s="23"/>
      <c r="J51" s="23"/>
      <c r="K51" s="23"/>
      <c r="L51" s="23"/>
      <c r="M51" s="23"/>
      <c r="N51" s="23"/>
      <c r="O51" s="23"/>
      <c r="P51" s="25"/>
      <c r="Q51" s="23"/>
      <c r="R51" s="23"/>
      <c r="S51" s="23"/>
      <c r="T51" s="23"/>
      <c r="U51" s="25"/>
      <c r="V51" s="25"/>
      <c r="W51" s="25"/>
    </row>
    <row r="52" spans="1:23" x14ac:dyDescent="0.2">
      <c r="A52" s="774"/>
      <c r="B52" s="4"/>
      <c r="C52" s="23"/>
      <c r="D52" s="23"/>
      <c r="E52" s="23"/>
      <c r="F52" s="23"/>
      <c r="G52" s="23"/>
      <c r="H52" s="23"/>
      <c r="I52" s="23"/>
      <c r="J52" s="23"/>
      <c r="K52" s="23"/>
      <c r="L52" s="23"/>
      <c r="M52" s="23"/>
      <c r="N52" s="23"/>
      <c r="O52" s="23"/>
      <c r="P52" s="25"/>
      <c r="Q52" s="23"/>
      <c r="R52" s="23"/>
      <c r="S52" s="23"/>
      <c r="T52" s="23"/>
      <c r="U52" s="25"/>
      <c r="V52" s="25"/>
      <c r="W52" s="25"/>
    </row>
    <row r="53" spans="1:23" x14ac:dyDescent="0.2">
      <c r="A53" s="774"/>
      <c r="B53" s="4"/>
      <c r="C53" s="23"/>
      <c r="D53" s="23"/>
      <c r="E53" s="23"/>
      <c r="F53" s="23"/>
      <c r="G53" s="23"/>
      <c r="H53" s="23"/>
      <c r="I53" s="23"/>
      <c r="J53" s="23"/>
      <c r="K53" s="23"/>
      <c r="L53" s="23"/>
      <c r="M53" s="23"/>
      <c r="N53" s="23"/>
      <c r="O53" s="23"/>
      <c r="P53" s="25"/>
      <c r="Q53" s="23"/>
      <c r="R53" s="23"/>
      <c r="S53" s="23"/>
      <c r="T53" s="23"/>
      <c r="U53" s="25"/>
      <c r="V53" s="25"/>
      <c r="W53" s="25"/>
    </row>
    <row r="54" spans="1:23" x14ac:dyDescent="0.2">
      <c r="A54" s="774"/>
      <c r="B54" s="4"/>
      <c r="C54" s="23"/>
      <c r="D54" s="23"/>
      <c r="E54" s="23"/>
      <c r="F54" s="23"/>
      <c r="G54" s="23"/>
      <c r="H54" s="23"/>
      <c r="I54" s="23"/>
      <c r="J54" s="23"/>
      <c r="K54" s="23"/>
      <c r="L54" s="23"/>
      <c r="M54" s="23"/>
      <c r="N54" s="23"/>
      <c r="O54" s="23"/>
      <c r="P54" s="25"/>
      <c r="Q54" s="23"/>
      <c r="R54" s="23"/>
      <c r="S54" s="23"/>
      <c r="T54" s="23"/>
      <c r="U54" s="25"/>
      <c r="V54" s="25"/>
      <c r="W54" s="25"/>
    </row>
    <row r="55" spans="1:23" x14ac:dyDescent="0.2">
      <c r="A55" s="774"/>
      <c r="B55" s="4"/>
      <c r="C55" s="23"/>
      <c r="D55" s="23"/>
      <c r="E55" s="23"/>
      <c r="F55" s="23"/>
      <c r="G55" s="23"/>
      <c r="H55" s="23"/>
      <c r="I55" s="23"/>
      <c r="J55" s="23"/>
      <c r="K55" s="23"/>
      <c r="L55" s="23"/>
      <c r="M55" s="23"/>
      <c r="N55" s="23"/>
      <c r="O55" s="23"/>
      <c r="P55" s="25"/>
      <c r="Q55" s="23"/>
      <c r="R55" s="23"/>
      <c r="S55" s="23"/>
      <c r="T55" s="23"/>
      <c r="U55" s="25"/>
      <c r="V55" s="25"/>
      <c r="W55" s="25"/>
    </row>
    <row r="56" spans="1:23" x14ac:dyDescent="0.2">
      <c r="A56" s="774"/>
      <c r="B56" s="4"/>
      <c r="C56" s="23"/>
      <c r="D56" s="23"/>
      <c r="E56" s="23"/>
      <c r="F56" s="23"/>
      <c r="G56" s="23"/>
      <c r="H56" s="23"/>
      <c r="I56" s="23"/>
      <c r="J56" s="23"/>
      <c r="K56" s="23"/>
      <c r="L56" s="23"/>
      <c r="M56" s="23"/>
      <c r="N56" s="23"/>
      <c r="O56" s="23"/>
      <c r="P56" s="25"/>
      <c r="Q56" s="23"/>
      <c r="R56" s="23"/>
      <c r="S56" s="23"/>
      <c r="T56" s="23"/>
      <c r="U56" s="25"/>
      <c r="V56" s="25"/>
      <c r="W56" s="25"/>
    </row>
    <row r="57" spans="1:23" x14ac:dyDescent="0.2">
      <c r="A57" s="774"/>
      <c r="B57" s="4"/>
      <c r="C57" s="23"/>
      <c r="D57" s="23"/>
      <c r="E57" s="23"/>
      <c r="F57" s="23"/>
      <c r="G57" s="23"/>
      <c r="H57" s="23"/>
      <c r="I57" s="23"/>
      <c r="J57" s="23"/>
      <c r="K57" s="23"/>
      <c r="L57" s="23"/>
      <c r="M57" s="23"/>
      <c r="N57" s="23"/>
      <c r="O57" s="23"/>
      <c r="P57" s="25"/>
      <c r="Q57" s="23"/>
      <c r="R57" s="23"/>
      <c r="S57" s="23"/>
      <c r="T57" s="23"/>
      <c r="U57" s="25"/>
      <c r="V57" s="25"/>
      <c r="W57" s="25"/>
    </row>
    <row r="58" spans="1:23" x14ac:dyDescent="0.2">
      <c r="A58" s="774"/>
      <c r="B58" s="4"/>
      <c r="C58" s="23"/>
      <c r="D58" s="23"/>
      <c r="E58" s="23"/>
      <c r="F58" s="23"/>
      <c r="G58" s="23"/>
      <c r="H58" s="23"/>
      <c r="I58" s="23"/>
      <c r="J58" s="23"/>
      <c r="K58" s="23"/>
      <c r="L58" s="23"/>
      <c r="M58" s="23"/>
      <c r="N58" s="23"/>
      <c r="O58" s="23"/>
      <c r="P58" s="25"/>
      <c r="Q58" s="23"/>
      <c r="R58" s="23"/>
      <c r="S58" s="23"/>
      <c r="T58" s="23"/>
      <c r="U58" s="25"/>
      <c r="V58" s="25"/>
      <c r="W58" s="25"/>
    </row>
    <row r="59" spans="1:23" x14ac:dyDescent="0.2">
      <c r="A59" s="774"/>
      <c r="B59" s="4"/>
      <c r="C59" s="23"/>
      <c r="D59" s="23"/>
      <c r="E59" s="23"/>
      <c r="F59" s="23"/>
      <c r="G59" s="23"/>
      <c r="H59" s="23"/>
      <c r="I59" s="23"/>
      <c r="J59" s="23"/>
      <c r="K59" s="23"/>
      <c r="L59" s="23"/>
      <c r="M59" s="23"/>
      <c r="N59" s="23"/>
      <c r="O59" s="23"/>
      <c r="P59" s="25"/>
      <c r="Q59" s="23"/>
      <c r="R59" s="23"/>
      <c r="S59" s="23"/>
      <c r="T59" s="23"/>
      <c r="U59" s="25"/>
      <c r="V59" s="25"/>
      <c r="W59" s="25"/>
    </row>
    <row r="60" spans="1:23" x14ac:dyDescent="0.2">
      <c r="A60" s="774"/>
      <c r="B60" s="4"/>
      <c r="C60" s="23"/>
      <c r="D60" s="23"/>
      <c r="E60" s="23"/>
      <c r="F60" s="23"/>
      <c r="G60" s="23"/>
      <c r="H60" s="23"/>
      <c r="I60" s="23"/>
      <c r="J60" s="23"/>
      <c r="K60" s="23"/>
      <c r="L60" s="23"/>
      <c r="M60" s="23"/>
      <c r="N60" s="23"/>
      <c r="O60" s="23"/>
      <c r="P60" s="25"/>
      <c r="Q60" s="23"/>
      <c r="R60" s="23"/>
      <c r="S60" s="23"/>
      <c r="T60" s="23"/>
      <c r="U60" s="25"/>
      <c r="V60" s="25"/>
      <c r="W60" s="25"/>
    </row>
    <row r="61" spans="1:23" x14ac:dyDescent="0.2">
      <c r="A61" s="774"/>
      <c r="B61" s="4"/>
      <c r="C61" s="23"/>
      <c r="D61" s="23"/>
      <c r="E61" s="23"/>
      <c r="F61" s="23"/>
      <c r="G61" s="23"/>
      <c r="H61" s="23"/>
      <c r="I61" s="23"/>
      <c r="J61" s="23"/>
      <c r="K61" s="23"/>
      <c r="L61" s="23"/>
      <c r="M61" s="23"/>
      <c r="N61" s="23"/>
      <c r="O61" s="23"/>
      <c r="P61" s="25"/>
      <c r="Q61" s="23"/>
      <c r="R61" s="23"/>
      <c r="S61" s="23"/>
      <c r="T61" s="23"/>
      <c r="U61" s="25"/>
      <c r="V61" s="25"/>
      <c r="W61" s="25"/>
    </row>
    <row r="62" spans="1:23" x14ac:dyDescent="0.2">
      <c r="A62" s="774"/>
      <c r="B62" s="4"/>
      <c r="C62" s="23"/>
      <c r="D62" s="23"/>
      <c r="E62" s="23"/>
      <c r="F62" s="23"/>
      <c r="G62" s="23"/>
      <c r="H62" s="23"/>
      <c r="I62" s="23"/>
      <c r="J62" s="23"/>
      <c r="K62" s="23"/>
      <c r="L62" s="23"/>
      <c r="M62" s="23"/>
      <c r="N62" s="23"/>
      <c r="O62" s="23"/>
      <c r="P62" s="25"/>
      <c r="Q62" s="23"/>
      <c r="R62" s="23"/>
      <c r="S62" s="23"/>
      <c r="T62" s="23"/>
      <c r="U62" s="25"/>
      <c r="V62" s="25"/>
      <c r="W62" s="25"/>
    </row>
    <row r="63" spans="1:23" x14ac:dyDescent="0.2">
      <c r="A63" s="774"/>
      <c r="B63" s="4"/>
      <c r="C63" s="23"/>
      <c r="D63" s="23"/>
      <c r="E63" s="23"/>
      <c r="F63" s="23"/>
      <c r="G63" s="23"/>
      <c r="H63" s="23"/>
      <c r="I63" s="23"/>
      <c r="J63" s="23"/>
      <c r="K63" s="23"/>
      <c r="L63" s="23"/>
      <c r="M63" s="23"/>
      <c r="N63" s="23"/>
      <c r="O63" s="23"/>
      <c r="P63" s="25"/>
      <c r="Q63" s="23"/>
      <c r="R63" s="23"/>
      <c r="S63" s="23"/>
      <c r="T63" s="23"/>
      <c r="U63" s="25"/>
      <c r="V63" s="25"/>
      <c r="W63" s="25"/>
    </row>
    <row r="64" spans="1:23" x14ac:dyDescent="0.2">
      <c r="A64" s="774"/>
      <c r="B64" s="4"/>
      <c r="C64" s="23"/>
      <c r="D64" s="23"/>
      <c r="E64" s="23"/>
      <c r="F64" s="23"/>
      <c r="G64" s="23"/>
      <c r="H64" s="23"/>
      <c r="I64" s="23"/>
      <c r="J64" s="23"/>
      <c r="K64" s="23"/>
      <c r="L64" s="23"/>
      <c r="M64" s="23"/>
      <c r="N64" s="23"/>
      <c r="O64" s="23"/>
      <c r="P64" s="4"/>
      <c r="Q64" s="23"/>
      <c r="R64" s="23"/>
      <c r="S64" s="23"/>
      <c r="T64" s="23"/>
      <c r="U64" s="4"/>
      <c r="V64" s="4"/>
      <c r="W64" s="4"/>
    </row>
    <row r="65" spans="1:23" x14ac:dyDescent="0.2">
      <c r="A65" s="774"/>
      <c r="B65" s="4"/>
      <c r="C65" s="23"/>
      <c r="D65" s="23"/>
      <c r="E65" s="23"/>
      <c r="F65" s="23"/>
      <c r="G65" s="23"/>
      <c r="H65" s="23"/>
      <c r="I65" s="23"/>
      <c r="J65" s="23"/>
      <c r="K65" s="23"/>
      <c r="L65" s="23"/>
      <c r="M65" s="23"/>
      <c r="N65" s="23"/>
      <c r="O65" s="23"/>
      <c r="P65" s="4"/>
      <c r="Q65" s="23"/>
      <c r="R65" s="23"/>
      <c r="S65" s="23"/>
      <c r="T65" s="23"/>
      <c r="U65" s="4"/>
      <c r="V65" s="4"/>
      <c r="W65" s="4"/>
    </row>
    <row r="66" spans="1:23" x14ac:dyDescent="0.2">
      <c r="A66" s="774"/>
      <c r="B66" s="4"/>
      <c r="C66" s="23"/>
      <c r="D66" s="23"/>
      <c r="E66" s="23"/>
      <c r="F66" s="23"/>
      <c r="G66" s="23"/>
      <c r="H66" s="23"/>
      <c r="I66" s="23"/>
      <c r="J66" s="23"/>
      <c r="K66" s="23"/>
      <c r="L66" s="23"/>
      <c r="M66" s="23"/>
      <c r="N66" s="23"/>
      <c r="O66" s="23"/>
      <c r="P66" s="4"/>
      <c r="Q66" s="23"/>
      <c r="R66" s="23"/>
      <c r="S66" s="23"/>
      <c r="T66" s="23"/>
      <c r="U66" s="4"/>
      <c r="V66" s="4"/>
      <c r="W66" s="4"/>
    </row>
    <row r="67" spans="1:23" x14ac:dyDescent="0.2">
      <c r="A67" s="774"/>
      <c r="B67" s="4"/>
      <c r="C67" s="23"/>
      <c r="D67" s="23"/>
      <c r="E67" s="23"/>
      <c r="F67" s="23"/>
      <c r="G67" s="23"/>
      <c r="H67" s="23"/>
      <c r="I67" s="23"/>
      <c r="J67" s="23"/>
      <c r="K67" s="23"/>
      <c r="L67" s="23"/>
      <c r="M67" s="23"/>
      <c r="N67" s="23"/>
      <c r="O67" s="23"/>
      <c r="P67" s="4"/>
      <c r="Q67" s="23"/>
      <c r="R67" s="23"/>
      <c r="S67" s="23"/>
      <c r="T67" s="23"/>
      <c r="U67" s="4"/>
      <c r="V67" s="4"/>
      <c r="W67" s="4"/>
    </row>
    <row r="68" spans="1:23" x14ac:dyDescent="0.2">
      <c r="A68" s="774"/>
      <c r="B68" s="4"/>
      <c r="C68" s="23"/>
      <c r="D68" s="23"/>
      <c r="E68" s="23"/>
      <c r="F68" s="23"/>
      <c r="G68" s="23"/>
      <c r="H68" s="23"/>
      <c r="I68" s="23"/>
      <c r="J68" s="23"/>
      <c r="K68" s="23"/>
      <c r="L68" s="23"/>
      <c r="M68" s="23"/>
      <c r="N68" s="23"/>
      <c r="O68" s="23"/>
      <c r="P68" s="4"/>
      <c r="Q68" s="23"/>
      <c r="R68" s="23"/>
      <c r="S68" s="23"/>
      <c r="T68" s="23"/>
      <c r="U68" s="4"/>
      <c r="V68" s="4"/>
      <c r="W68" s="4"/>
    </row>
    <row r="69" spans="1:23" x14ac:dyDescent="0.2">
      <c r="A69" s="774"/>
      <c r="B69" s="4"/>
      <c r="C69" s="23"/>
      <c r="D69" s="23"/>
      <c r="E69" s="23"/>
      <c r="F69" s="23"/>
      <c r="G69" s="23"/>
      <c r="H69" s="23"/>
      <c r="I69" s="23"/>
      <c r="J69" s="23"/>
      <c r="K69" s="23"/>
      <c r="L69" s="23"/>
      <c r="M69" s="23"/>
      <c r="N69" s="23"/>
      <c r="O69" s="23"/>
      <c r="P69" s="4"/>
      <c r="Q69" s="23"/>
      <c r="R69" s="23"/>
      <c r="S69" s="23"/>
      <c r="T69" s="23"/>
      <c r="U69" s="4"/>
      <c r="V69" s="4"/>
      <c r="W69" s="4"/>
    </row>
    <row r="70" spans="1:23" x14ac:dyDescent="0.2">
      <c r="A70" s="774"/>
      <c r="B70" s="4"/>
      <c r="C70" s="23"/>
      <c r="D70" s="23"/>
      <c r="E70" s="23"/>
      <c r="F70" s="23"/>
      <c r="G70" s="23"/>
      <c r="H70" s="23"/>
      <c r="I70" s="23"/>
      <c r="J70" s="23"/>
      <c r="K70" s="23"/>
      <c r="L70" s="23"/>
      <c r="M70" s="23"/>
      <c r="N70" s="23"/>
      <c r="O70" s="23"/>
      <c r="P70" s="4"/>
      <c r="Q70" s="23"/>
      <c r="R70" s="23"/>
      <c r="S70" s="23"/>
      <c r="T70" s="23"/>
      <c r="U70" s="4"/>
      <c r="V70" s="4"/>
      <c r="W70" s="4"/>
    </row>
    <row r="71" spans="1:23" x14ac:dyDescent="0.2">
      <c r="A71" s="774"/>
      <c r="B71" s="4"/>
      <c r="C71" s="23"/>
      <c r="D71" s="23"/>
      <c r="E71" s="23"/>
      <c r="F71" s="23"/>
      <c r="G71" s="23"/>
      <c r="H71" s="23"/>
      <c r="I71" s="23"/>
      <c r="J71" s="23"/>
      <c r="K71" s="23"/>
      <c r="L71" s="23"/>
      <c r="M71" s="23"/>
      <c r="N71" s="23"/>
      <c r="O71" s="23"/>
      <c r="P71" s="4"/>
      <c r="Q71" s="23"/>
      <c r="R71" s="23"/>
      <c r="S71" s="23"/>
      <c r="T71" s="23"/>
      <c r="U71" s="4"/>
      <c r="V71" s="4"/>
      <c r="W71" s="4"/>
    </row>
    <row r="72" spans="1:23" x14ac:dyDescent="0.2">
      <c r="A72" s="774"/>
      <c r="B72" s="4"/>
      <c r="C72" s="23"/>
      <c r="D72" s="23"/>
      <c r="E72" s="23"/>
      <c r="F72" s="23"/>
      <c r="G72" s="23"/>
      <c r="H72" s="23"/>
      <c r="I72" s="23"/>
      <c r="J72" s="23"/>
      <c r="K72" s="23"/>
      <c r="L72" s="23"/>
      <c r="M72" s="23"/>
      <c r="N72" s="23"/>
      <c r="O72" s="23"/>
      <c r="P72" s="4"/>
      <c r="Q72" s="23"/>
      <c r="R72" s="23"/>
      <c r="S72" s="23"/>
      <c r="T72" s="23"/>
      <c r="U72" s="4"/>
      <c r="V72" s="4"/>
      <c r="W72" s="4"/>
    </row>
    <row r="73" spans="1:23" x14ac:dyDescent="0.2">
      <c r="A73" s="774"/>
      <c r="B73" s="4"/>
      <c r="C73" s="23"/>
      <c r="D73" s="23"/>
      <c r="E73" s="23"/>
      <c r="F73" s="23"/>
      <c r="G73" s="23"/>
      <c r="H73" s="23"/>
      <c r="I73" s="23"/>
      <c r="J73" s="23"/>
      <c r="K73" s="23"/>
      <c r="L73" s="23"/>
      <c r="M73" s="23"/>
      <c r="N73" s="23"/>
      <c r="O73" s="23"/>
      <c r="P73" s="4"/>
      <c r="Q73" s="23"/>
      <c r="R73" s="23"/>
      <c r="S73" s="23"/>
      <c r="T73" s="23"/>
      <c r="U73" s="4"/>
      <c r="V73" s="4"/>
      <c r="W73" s="4"/>
    </row>
    <row r="74" spans="1:23" x14ac:dyDescent="0.2">
      <c r="A74" s="774"/>
      <c r="B74" s="4"/>
      <c r="C74" s="23"/>
      <c r="D74" s="23"/>
      <c r="E74" s="23"/>
      <c r="F74" s="23"/>
      <c r="G74" s="23"/>
      <c r="H74" s="23"/>
      <c r="I74" s="23"/>
      <c r="J74" s="23"/>
      <c r="K74" s="23"/>
      <c r="L74" s="23"/>
      <c r="M74" s="23"/>
      <c r="N74" s="23"/>
      <c r="O74" s="23"/>
      <c r="P74" s="4"/>
      <c r="Q74" s="23"/>
      <c r="R74" s="23"/>
      <c r="S74" s="23"/>
      <c r="T74" s="23"/>
      <c r="U74" s="4"/>
      <c r="V74" s="4"/>
      <c r="W74" s="4"/>
    </row>
    <row r="75" spans="1:23" x14ac:dyDescent="0.2">
      <c r="A75" s="774"/>
      <c r="B75" s="4"/>
      <c r="C75" s="23"/>
      <c r="D75" s="23"/>
      <c r="E75" s="23"/>
      <c r="F75" s="23"/>
      <c r="G75" s="23"/>
      <c r="H75" s="23"/>
      <c r="I75" s="23"/>
      <c r="J75" s="23"/>
      <c r="K75" s="23"/>
      <c r="L75" s="23"/>
      <c r="M75" s="23"/>
      <c r="N75" s="23"/>
      <c r="O75" s="23"/>
      <c r="P75" s="4"/>
      <c r="Q75" s="23"/>
      <c r="R75" s="23"/>
      <c r="S75" s="23"/>
      <c r="T75" s="23"/>
      <c r="U75" s="4"/>
      <c r="V75" s="4"/>
      <c r="W75" s="4"/>
    </row>
    <row r="76" spans="1:23" x14ac:dyDescent="0.2">
      <c r="A76" s="774"/>
      <c r="B76" s="4"/>
      <c r="C76" s="23"/>
      <c r="D76" s="23"/>
      <c r="E76" s="23"/>
      <c r="F76" s="23"/>
      <c r="G76" s="23"/>
      <c r="H76" s="23"/>
      <c r="I76" s="23"/>
      <c r="J76" s="23"/>
      <c r="K76" s="23"/>
      <c r="L76" s="23"/>
      <c r="M76" s="23"/>
      <c r="N76" s="23"/>
      <c r="O76" s="23"/>
      <c r="P76" s="4"/>
      <c r="Q76" s="23"/>
      <c r="R76" s="23"/>
      <c r="S76" s="23"/>
      <c r="T76" s="23"/>
      <c r="U76" s="4"/>
      <c r="V76" s="4"/>
      <c r="W76" s="4"/>
    </row>
    <row r="77" spans="1:23" x14ac:dyDescent="0.2">
      <c r="A77" s="774"/>
      <c r="B77" s="4"/>
      <c r="C77" s="23"/>
      <c r="D77" s="23"/>
      <c r="E77" s="23"/>
      <c r="F77" s="23"/>
      <c r="G77" s="23"/>
      <c r="H77" s="23"/>
      <c r="I77" s="23"/>
      <c r="J77" s="23"/>
      <c r="K77" s="23"/>
      <c r="L77" s="23"/>
      <c r="M77" s="23"/>
      <c r="N77" s="23"/>
      <c r="O77" s="23"/>
      <c r="P77" s="4"/>
      <c r="Q77" s="23"/>
      <c r="R77" s="23"/>
      <c r="S77" s="23"/>
      <c r="T77" s="23"/>
      <c r="U77" s="4"/>
      <c r="V77" s="4"/>
      <c r="W77" s="4"/>
    </row>
    <row r="78" spans="1:23" x14ac:dyDescent="0.2">
      <c r="A78" s="774"/>
      <c r="B78" s="4"/>
      <c r="C78" s="23"/>
      <c r="D78" s="23"/>
      <c r="E78" s="23"/>
      <c r="F78" s="23"/>
      <c r="G78" s="23"/>
      <c r="H78" s="23"/>
      <c r="I78" s="23"/>
      <c r="J78" s="23"/>
      <c r="K78" s="23"/>
      <c r="L78" s="23"/>
      <c r="M78" s="23"/>
      <c r="N78" s="23"/>
      <c r="O78" s="23"/>
      <c r="P78" s="4"/>
      <c r="Q78" s="23"/>
      <c r="R78" s="23"/>
      <c r="S78" s="23"/>
      <c r="T78" s="23"/>
      <c r="U78" s="4"/>
      <c r="V78" s="4"/>
      <c r="W78" s="4"/>
    </row>
    <row r="79" spans="1:23" x14ac:dyDescent="0.2">
      <c r="A79" s="774"/>
      <c r="B79" s="4"/>
      <c r="C79" s="23"/>
      <c r="D79" s="23"/>
      <c r="E79" s="23"/>
      <c r="F79" s="23"/>
      <c r="G79" s="23"/>
      <c r="H79" s="23"/>
      <c r="I79" s="23"/>
      <c r="J79" s="23"/>
      <c r="K79" s="23"/>
      <c r="L79" s="23"/>
      <c r="M79" s="23"/>
      <c r="N79" s="23"/>
      <c r="O79" s="23"/>
      <c r="P79" s="4"/>
      <c r="Q79" s="23"/>
      <c r="R79" s="23"/>
      <c r="S79" s="23"/>
      <c r="T79" s="23"/>
      <c r="U79" s="4"/>
      <c r="V79" s="4"/>
      <c r="W79" s="4"/>
    </row>
    <row r="80" spans="1:23" x14ac:dyDescent="0.2">
      <c r="A80" s="774"/>
      <c r="B80" s="4"/>
      <c r="C80" s="23"/>
      <c r="D80" s="23"/>
      <c r="E80" s="23"/>
      <c r="F80" s="23"/>
      <c r="G80" s="23"/>
      <c r="H80" s="23"/>
      <c r="I80" s="23"/>
      <c r="J80" s="23"/>
      <c r="K80" s="23"/>
      <c r="L80" s="23"/>
      <c r="M80" s="23"/>
      <c r="N80" s="23"/>
      <c r="O80" s="23"/>
      <c r="P80" s="4"/>
      <c r="Q80" s="23"/>
      <c r="R80" s="23"/>
      <c r="S80" s="23"/>
      <c r="T80" s="23"/>
      <c r="U80" s="4"/>
      <c r="V80" s="4"/>
      <c r="W80" s="4"/>
    </row>
    <row r="81" spans="1:23" x14ac:dyDescent="0.2">
      <c r="A81" s="774"/>
      <c r="B81" s="4"/>
      <c r="C81" s="23"/>
      <c r="D81" s="23"/>
      <c r="E81" s="23"/>
      <c r="F81" s="23"/>
      <c r="G81" s="23"/>
      <c r="H81" s="23"/>
      <c r="I81" s="23"/>
      <c r="J81" s="23"/>
      <c r="K81" s="23"/>
      <c r="L81" s="23"/>
      <c r="M81" s="23"/>
      <c r="N81" s="23"/>
      <c r="O81" s="23"/>
      <c r="P81" s="4"/>
      <c r="Q81" s="23"/>
      <c r="R81" s="23"/>
      <c r="S81" s="23"/>
      <c r="T81" s="23"/>
      <c r="U81" s="4"/>
      <c r="V81" s="4"/>
      <c r="W81" s="4"/>
    </row>
    <row r="82" spans="1:23" x14ac:dyDescent="0.2">
      <c r="A82" s="774"/>
      <c r="B82" s="4"/>
      <c r="C82" s="23"/>
      <c r="D82" s="23"/>
      <c r="E82" s="23"/>
      <c r="F82" s="23"/>
      <c r="G82" s="23"/>
      <c r="H82" s="23"/>
      <c r="I82" s="23"/>
      <c r="J82" s="23"/>
      <c r="K82" s="23"/>
      <c r="L82" s="23"/>
      <c r="M82" s="23"/>
      <c r="N82" s="23"/>
      <c r="O82" s="23"/>
      <c r="P82" s="4"/>
      <c r="Q82" s="23"/>
      <c r="R82" s="23"/>
      <c r="S82" s="23"/>
      <c r="T82" s="23"/>
      <c r="U82" s="4"/>
      <c r="V82" s="4"/>
      <c r="W82" s="4"/>
    </row>
    <row r="83" spans="1:23" x14ac:dyDescent="0.2">
      <c r="A83" s="774"/>
      <c r="B83" s="4"/>
      <c r="C83" s="23"/>
      <c r="D83" s="23"/>
      <c r="E83" s="23"/>
      <c r="F83" s="23"/>
      <c r="G83" s="23"/>
      <c r="H83" s="23"/>
      <c r="I83" s="23"/>
      <c r="J83" s="23"/>
      <c r="K83" s="23"/>
      <c r="L83" s="23"/>
      <c r="M83" s="23"/>
      <c r="N83" s="23"/>
      <c r="O83" s="23"/>
      <c r="P83" s="4"/>
      <c r="Q83" s="23"/>
      <c r="R83" s="23"/>
      <c r="S83" s="23"/>
      <c r="T83" s="23"/>
      <c r="U83" s="4"/>
      <c r="V83" s="4"/>
      <c r="W83" s="4"/>
    </row>
    <row r="84" spans="1:23" x14ac:dyDescent="0.2">
      <c r="A84" s="774"/>
      <c r="B84" s="4"/>
      <c r="C84" s="23"/>
      <c r="D84" s="23"/>
      <c r="E84" s="23"/>
      <c r="F84" s="23"/>
      <c r="G84" s="23"/>
      <c r="H84" s="23"/>
      <c r="I84" s="23"/>
      <c r="J84" s="23"/>
      <c r="K84" s="23"/>
      <c r="L84" s="23"/>
      <c r="M84" s="23"/>
      <c r="N84" s="23"/>
      <c r="O84" s="23"/>
      <c r="P84" s="4"/>
      <c r="Q84" s="23"/>
      <c r="R84" s="23"/>
      <c r="S84" s="23"/>
      <c r="T84" s="23"/>
      <c r="U84" s="4"/>
      <c r="V84" s="4"/>
      <c r="W84" s="4"/>
    </row>
    <row r="85" spans="1:23" x14ac:dyDescent="0.2">
      <c r="A85" s="774"/>
      <c r="B85" s="4"/>
      <c r="C85" s="23"/>
      <c r="D85" s="23"/>
      <c r="E85" s="23"/>
      <c r="F85" s="23"/>
      <c r="G85" s="23"/>
      <c r="H85" s="23"/>
      <c r="I85" s="23"/>
      <c r="J85" s="23"/>
      <c r="K85" s="23"/>
      <c r="L85" s="23"/>
      <c r="M85" s="23"/>
      <c r="N85" s="23"/>
      <c r="O85" s="23"/>
      <c r="P85" s="4"/>
      <c r="Q85" s="23"/>
      <c r="R85" s="23"/>
      <c r="S85" s="23"/>
      <c r="T85" s="23"/>
      <c r="U85" s="4"/>
      <c r="V85" s="4"/>
      <c r="W85" s="4"/>
    </row>
    <row r="86" spans="1:23" x14ac:dyDescent="0.2">
      <c r="A86" s="774"/>
      <c r="B86" s="4"/>
      <c r="C86" s="23"/>
      <c r="D86" s="23"/>
      <c r="E86" s="23"/>
      <c r="F86" s="23"/>
      <c r="G86" s="23"/>
      <c r="H86" s="23"/>
      <c r="I86" s="23"/>
      <c r="J86" s="23"/>
      <c r="K86" s="23"/>
      <c r="L86" s="23"/>
      <c r="M86" s="23"/>
      <c r="N86" s="23"/>
      <c r="O86" s="23"/>
      <c r="P86" s="4"/>
      <c r="Q86" s="23"/>
      <c r="R86" s="23"/>
      <c r="S86" s="23"/>
      <c r="T86" s="23"/>
      <c r="U86" s="4"/>
      <c r="V86" s="4"/>
      <c r="W86" s="4"/>
    </row>
    <row r="87" spans="1:23" x14ac:dyDescent="0.2">
      <c r="A87" s="774"/>
      <c r="B87" s="4"/>
      <c r="C87" s="23"/>
      <c r="D87" s="23"/>
      <c r="E87" s="23"/>
      <c r="F87" s="23"/>
      <c r="G87" s="23"/>
      <c r="H87" s="23"/>
      <c r="I87" s="23"/>
      <c r="J87" s="23"/>
      <c r="K87" s="23"/>
      <c r="L87" s="23"/>
      <c r="M87" s="23"/>
      <c r="N87" s="23"/>
      <c r="O87" s="23"/>
      <c r="P87" s="4"/>
      <c r="Q87" s="23"/>
      <c r="R87" s="23"/>
      <c r="S87" s="23"/>
      <c r="T87" s="23"/>
      <c r="U87" s="4"/>
      <c r="V87" s="4"/>
      <c r="W87" s="4"/>
    </row>
    <row r="88" spans="1:23" x14ac:dyDescent="0.2">
      <c r="A88" s="774"/>
      <c r="B88" s="4"/>
      <c r="C88" s="23"/>
      <c r="D88" s="23"/>
      <c r="E88" s="23"/>
      <c r="F88" s="23"/>
      <c r="G88" s="23"/>
      <c r="H88" s="23"/>
      <c r="I88" s="23"/>
      <c r="J88" s="23"/>
      <c r="K88" s="23"/>
      <c r="L88" s="23"/>
      <c r="M88" s="23"/>
      <c r="N88" s="23"/>
      <c r="O88" s="23"/>
      <c r="P88" s="4"/>
      <c r="Q88" s="23"/>
      <c r="R88" s="23"/>
      <c r="S88" s="23"/>
      <c r="T88" s="23"/>
      <c r="U88" s="4"/>
      <c r="V88" s="4"/>
      <c r="W88" s="4"/>
    </row>
    <row r="89" spans="1:23" x14ac:dyDescent="0.2">
      <c r="A89" s="774"/>
      <c r="B89" s="4"/>
      <c r="C89" s="23"/>
      <c r="D89" s="23"/>
      <c r="E89" s="23"/>
      <c r="F89" s="23"/>
      <c r="G89" s="23"/>
      <c r="H89" s="23"/>
      <c r="I89" s="23"/>
      <c r="J89" s="23"/>
      <c r="K89" s="23"/>
      <c r="L89" s="23"/>
      <c r="M89" s="23"/>
      <c r="N89" s="23"/>
      <c r="O89" s="23"/>
      <c r="P89" s="4"/>
      <c r="Q89" s="23"/>
      <c r="R89" s="23"/>
      <c r="S89" s="23"/>
      <c r="T89" s="23"/>
      <c r="U89" s="4"/>
      <c r="V89" s="4"/>
      <c r="W89" s="4"/>
    </row>
    <row r="90" spans="1:23" x14ac:dyDescent="0.2">
      <c r="A90" s="774"/>
      <c r="B90" s="4"/>
      <c r="C90" s="23"/>
      <c r="D90" s="23"/>
      <c r="E90" s="23"/>
      <c r="F90" s="23"/>
      <c r="G90" s="23"/>
      <c r="H90" s="23"/>
      <c r="I90" s="23"/>
      <c r="J90" s="23"/>
      <c r="K90" s="23"/>
      <c r="L90" s="23"/>
      <c r="M90" s="23"/>
      <c r="N90" s="23"/>
      <c r="O90" s="23"/>
      <c r="P90" s="4"/>
      <c r="Q90" s="23"/>
      <c r="R90" s="23"/>
      <c r="S90" s="23"/>
      <c r="T90" s="23"/>
      <c r="U90" s="4"/>
      <c r="V90" s="4"/>
      <c r="W90" s="4"/>
    </row>
    <row r="91" spans="1:23" x14ac:dyDescent="0.2">
      <c r="A91" s="774"/>
      <c r="B91" s="4"/>
      <c r="C91" s="23"/>
      <c r="D91" s="23"/>
      <c r="E91" s="23"/>
      <c r="F91" s="23"/>
      <c r="G91" s="23"/>
      <c r="H91" s="23"/>
      <c r="I91" s="23"/>
      <c r="J91" s="23"/>
      <c r="K91" s="23"/>
      <c r="L91" s="23"/>
      <c r="M91" s="23"/>
      <c r="N91" s="23"/>
      <c r="O91" s="23"/>
      <c r="P91" s="4"/>
      <c r="Q91" s="23"/>
      <c r="R91" s="23"/>
      <c r="S91" s="23"/>
      <c r="T91" s="23"/>
      <c r="U91" s="4"/>
      <c r="V91" s="4"/>
      <c r="W91" s="4"/>
    </row>
    <row r="92" spans="1:23" x14ac:dyDescent="0.2">
      <c r="A92" s="774"/>
      <c r="B92" s="4"/>
      <c r="C92" s="23"/>
      <c r="D92" s="23"/>
      <c r="E92" s="23"/>
      <c r="F92" s="23"/>
      <c r="G92" s="23"/>
      <c r="H92" s="23"/>
      <c r="I92" s="23"/>
      <c r="J92" s="23"/>
      <c r="K92" s="23"/>
      <c r="L92" s="23"/>
      <c r="M92" s="23"/>
      <c r="N92" s="23"/>
      <c r="O92" s="23"/>
      <c r="P92" s="4"/>
      <c r="Q92" s="23"/>
      <c r="R92" s="23"/>
      <c r="S92" s="23"/>
      <c r="T92" s="23"/>
      <c r="U92" s="4"/>
      <c r="V92" s="4"/>
      <c r="W92" s="4"/>
    </row>
    <row r="93" spans="1:23" x14ac:dyDescent="0.2">
      <c r="A93" s="774"/>
      <c r="B93" s="4"/>
      <c r="C93" s="23"/>
      <c r="D93" s="23"/>
      <c r="E93" s="23"/>
      <c r="F93" s="23"/>
      <c r="G93" s="23"/>
      <c r="H93" s="23"/>
      <c r="I93" s="23"/>
      <c r="J93" s="23"/>
      <c r="K93" s="23"/>
      <c r="L93" s="23"/>
      <c r="M93" s="23"/>
      <c r="N93" s="23"/>
      <c r="O93" s="23"/>
      <c r="P93" s="4"/>
      <c r="Q93" s="23"/>
      <c r="R93" s="23"/>
      <c r="S93" s="23"/>
      <c r="T93" s="23"/>
      <c r="U93" s="4"/>
      <c r="V93" s="4"/>
      <c r="W93" s="4"/>
    </row>
    <row r="94" spans="1:23" x14ac:dyDescent="0.2">
      <c r="A94" s="774"/>
      <c r="B94" s="4"/>
      <c r="C94" s="23"/>
      <c r="D94" s="23"/>
      <c r="E94" s="23"/>
      <c r="F94" s="23"/>
      <c r="G94" s="23"/>
      <c r="H94" s="23"/>
      <c r="I94" s="23"/>
      <c r="J94" s="23"/>
      <c r="K94" s="23"/>
      <c r="L94" s="23"/>
      <c r="M94" s="23"/>
      <c r="N94" s="23"/>
      <c r="O94" s="23"/>
      <c r="P94" s="4"/>
      <c r="Q94" s="23"/>
      <c r="R94" s="23"/>
      <c r="S94" s="23"/>
      <c r="T94" s="23"/>
      <c r="U94" s="4"/>
      <c r="V94" s="4"/>
      <c r="W94" s="4"/>
    </row>
    <row r="95" spans="1:23" x14ac:dyDescent="0.2">
      <c r="A95" s="774"/>
      <c r="B95" s="4"/>
      <c r="C95" s="23"/>
      <c r="D95" s="23"/>
      <c r="E95" s="23"/>
      <c r="F95" s="23"/>
      <c r="G95" s="23"/>
      <c r="H95" s="23"/>
      <c r="I95" s="23"/>
      <c r="J95" s="23"/>
      <c r="K95" s="23"/>
      <c r="L95" s="23"/>
      <c r="M95" s="23"/>
      <c r="N95" s="23"/>
      <c r="O95" s="23"/>
      <c r="P95" s="4"/>
      <c r="Q95" s="23"/>
      <c r="R95" s="23"/>
      <c r="S95" s="23"/>
      <c r="T95" s="23"/>
      <c r="U95" s="4"/>
      <c r="V95" s="4"/>
      <c r="W95" s="4"/>
    </row>
    <row r="96" spans="1:23" x14ac:dyDescent="0.2">
      <c r="A96" s="774"/>
      <c r="B96" s="4"/>
      <c r="C96" s="23"/>
      <c r="D96" s="23"/>
      <c r="E96" s="23"/>
      <c r="F96" s="23"/>
      <c r="G96" s="23"/>
      <c r="H96" s="23"/>
      <c r="I96" s="23"/>
      <c r="J96" s="23"/>
      <c r="K96" s="23"/>
      <c r="L96" s="23"/>
      <c r="M96" s="23"/>
      <c r="N96" s="23"/>
      <c r="O96" s="23"/>
      <c r="P96" s="4"/>
      <c r="Q96" s="23"/>
      <c r="R96" s="23"/>
      <c r="S96" s="23"/>
      <c r="T96" s="23"/>
      <c r="U96" s="4"/>
      <c r="V96" s="4"/>
      <c r="W96" s="4"/>
    </row>
    <row r="97" spans="1:23" x14ac:dyDescent="0.2">
      <c r="A97" s="774"/>
      <c r="B97" s="4"/>
      <c r="C97" s="23"/>
      <c r="D97" s="23"/>
      <c r="E97" s="23"/>
      <c r="F97" s="23"/>
      <c r="G97" s="23"/>
      <c r="H97" s="23"/>
      <c r="I97" s="23"/>
      <c r="J97" s="23"/>
      <c r="K97" s="23"/>
      <c r="L97" s="23"/>
      <c r="M97" s="23"/>
      <c r="N97" s="23"/>
      <c r="O97" s="23"/>
      <c r="P97" s="4"/>
      <c r="Q97" s="23"/>
      <c r="R97" s="23"/>
      <c r="S97" s="23"/>
      <c r="T97" s="23"/>
      <c r="U97" s="4"/>
      <c r="V97" s="4"/>
      <c r="W97" s="4"/>
    </row>
    <row r="98" spans="1:23" x14ac:dyDescent="0.2">
      <c r="A98" s="774"/>
      <c r="B98" s="4"/>
      <c r="C98" s="23"/>
      <c r="D98" s="23"/>
      <c r="E98" s="23"/>
      <c r="F98" s="23"/>
      <c r="G98" s="23"/>
      <c r="H98" s="23"/>
      <c r="I98" s="23"/>
      <c r="J98" s="23"/>
      <c r="K98" s="23"/>
      <c r="L98" s="23"/>
      <c r="M98" s="23"/>
      <c r="N98" s="23"/>
      <c r="O98" s="23"/>
      <c r="P98" s="4"/>
      <c r="Q98" s="23"/>
      <c r="R98" s="23"/>
      <c r="S98" s="23"/>
      <c r="T98" s="23"/>
      <c r="U98" s="4"/>
      <c r="V98" s="4"/>
      <c r="W98" s="4"/>
    </row>
    <row r="99" spans="1:23" x14ac:dyDescent="0.2">
      <c r="A99" s="774"/>
      <c r="B99" s="4"/>
      <c r="C99" s="23"/>
      <c r="D99" s="23"/>
      <c r="E99" s="23"/>
      <c r="F99" s="23"/>
      <c r="G99" s="23"/>
      <c r="H99" s="23"/>
      <c r="I99" s="23"/>
      <c r="J99" s="23"/>
      <c r="K99" s="23"/>
      <c r="L99" s="23"/>
      <c r="M99" s="23"/>
      <c r="N99" s="23"/>
      <c r="O99" s="23"/>
      <c r="P99" s="4"/>
      <c r="Q99" s="23"/>
      <c r="R99" s="23"/>
      <c r="S99" s="23"/>
      <c r="T99" s="23"/>
      <c r="U99" s="4"/>
      <c r="V99" s="4"/>
      <c r="W99" s="4"/>
    </row>
    <row r="100" spans="1:23" x14ac:dyDescent="0.2">
      <c r="A100" s="774"/>
      <c r="B100" s="4"/>
      <c r="C100" s="23"/>
      <c r="D100" s="23"/>
      <c r="E100" s="23"/>
      <c r="F100" s="23"/>
      <c r="G100" s="23"/>
      <c r="H100" s="23"/>
      <c r="I100" s="23"/>
      <c r="J100" s="23"/>
      <c r="K100" s="23"/>
      <c r="L100" s="23"/>
      <c r="M100" s="23"/>
      <c r="N100" s="23"/>
      <c r="O100" s="23"/>
      <c r="P100" s="4"/>
      <c r="Q100" s="23"/>
      <c r="R100" s="23"/>
      <c r="S100" s="23"/>
      <c r="T100" s="23"/>
      <c r="U100" s="4"/>
      <c r="V100" s="4"/>
      <c r="W100" s="4"/>
    </row>
    <row r="101" spans="1:23" x14ac:dyDescent="0.2">
      <c r="A101" s="774"/>
      <c r="B101" s="4"/>
      <c r="C101" s="23"/>
      <c r="D101" s="23"/>
      <c r="E101" s="23"/>
      <c r="F101" s="23"/>
      <c r="G101" s="23"/>
      <c r="H101" s="23"/>
      <c r="I101" s="23"/>
      <c r="J101" s="23"/>
      <c r="K101" s="23"/>
      <c r="L101" s="23"/>
      <c r="M101" s="23"/>
      <c r="N101" s="23"/>
      <c r="O101" s="23"/>
      <c r="P101" s="4"/>
      <c r="Q101" s="23"/>
      <c r="R101" s="23"/>
      <c r="S101" s="23"/>
      <c r="T101" s="23"/>
      <c r="U101" s="4"/>
      <c r="V101" s="4"/>
      <c r="W101" s="4"/>
    </row>
    <row r="102" spans="1:23" x14ac:dyDescent="0.2">
      <c r="A102" s="774"/>
      <c r="B102" s="4"/>
      <c r="C102" s="23"/>
      <c r="D102" s="23"/>
      <c r="E102" s="23"/>
      <c r="F102" s="23"/>
      <c r="G102" s="23"/>
      <c r="H102" s="23"/>
      <c r="I102" s="23"/>
      <c r="J102" s="23"/>
      <c r="K102" s="23"/>
      <c r="L102" s="23"/>
      <c r="M102" s="23"/>
      <c r="N102" s="23"/>
      <c r="O102" s="23"/>
      <c r="P102" s="4"/>
      <c r="Q102" s="23"/>
      <c r="R102" s="23"/>
      <c r="S102" s="23"/>
      <c r="T102" s="23"/>
      <c r="U102" s="4"/>
      <c r="V102" s="4"/>
      <c r="W102" s="4"/>
    </row>
    <row r="103" spans="1:23" x14ac:dyDescent="0.2">
      <c r="A103" s="774"/>
      <c r="B103" s="4"/>
      <c r="C103" s="23"/>
      <c r="D103" s="23"/>
      <c r="E103" s="23"/>
      <c r="F103" s="23"/>
      <c r="G103" s="23"/>
      <c r="H103" s="23"/>
      <c r="I103" s="23"/>
      <c r="J103" s="23"/>
      <c r="K103" s="23"/>
      <c r="L103" s="23"/>
      <c r="M103" s="23"/>
      <c r="N103" s="23"/>
      <c r="O103" s="23"/>
      <c r="P103" s="4"/>
      <c r="Q103" s="23"/>
      <c r="R103" s="23"/>
      <c r="S103" s="23"/>
      <c r="T103" s="23"/>
      <c r="U103" s="4"/>
      <c r="V103" s="4"/>
      <c r="W103" s="4"/>
    </row>
    <row r="104" spans="1:23" x14ac:dyDescent="0.2">
      <c r="A104" s="774"/>
      <c r="B104" s="4"/>
      <c r="C104" s="23"/>
      <c r="D104" s="23"/>
      <c r="E104" s="23"/>
      <c r="F104" s="23"/>
      <c r="G104" s="23"/>
      <c r="H104" s="23"/>
      <c r="I104" s="23"/>
      <c r="J104" s="23"/>
      <c r="K104" s="23"/>
      <c r="L104" s="23"/>
      <c r="M104" s="23"/>
      <c r="N104" s="23"/>
      <c r="O104" s="23"/>
      <c r="P104" s="4"/>
      <c r="Q104" s="23"/>
      <c r="R104" s="23"/>
      <c r="S104" s="23"/>
      <c r="T104" s="23"/>
      <c r="U104" s="4"/>
      <c r="V104" s="4"/>
      <c r="W104" s="4"/>
    </row>
    <row r="105" spans="1:23" x14ac:dyDescent="0.2">
      <c r="A105" s="774"/>
      <c r="B105" s="4"/>
      <c r="C105" s="23"/>
      <c r="D105" s="23"/>
      <c r="E105" s="23"/>
      <c r="F105" s="23"/>
      <c r="G105" s="23"/>
      <c r="H105" s="23"/>
      <c r="I105" s="23"/>
      <c r="J105" s="23"/>
      <c r="K105" s="23"/>
      <c r="L105" s="23"/>
      <c r="M105" s="23"/>
      <c r="N105" s="23"/>
      <c r="O105" s="23"/>
      <c r="P105" s="4"/>
      <c r="Q105" s="23"/>
      <c r="R105" s="23"/>
      <c r="S105" s="23"/>
      <c r="T105" s="23"/>
      <c r="U105" s="4"/>
      <c r="V105" s="4"/>
      <c r="W105" s="4"/>
    </row>
    <row r="106" spans="1:23" x14ac:dyDescent="0.2">
      <c r="A106" s="774"/>
      <c r="B106" s="4"/>
      <c r="C106" s="23"/>
      <c r="D106" s="23"/>
      <c r="E106" s="23"/>
      <c r="F106" s="23"/>
      <c r="G106" s="23"/>
      <c r="H106" s="23"/>
      <c r="I106" s="23"/>
      <c r="J106" s="23"/>
      <c r="K106" s="23"/>
      <c r="L106" s="23"/>
      <c r="M106" s="23"/>
      <c r="N106" s="23"/>
      <c r="O106" s="23"/>
      <c r="P106" s="4"/>
      <c r="Q106" s="23"/>
      <c r="R106" s="23"/>
      <c r="S106" s="23"/>
      <c r="T106" s="23"/>
      <c r="U106" s="4"/>
      <c r="V106" s="4"/>
      <c r="W106" s="4"/>
    </row>
    <row r="107" spans="1:23" x14ac:dyDescent="0.2">
      <c r="A107" s="774"/>
      <c r="B107" s="4"/>
      <c r="C107" s="23"/>
      <c r="D107" s="23"/>
      <c r="E107" s="23"/>
      <c r="F107" s="23"/>
      <c r="G107" s="23"/>
      <c r="H107" s="23"/>
      <c r="I107" s="23"/>
      <c r="J107" s="23"/>
      <c r="K107" s="23"/>
      <c r="L107" s="23"/>
      <c r="M107" s="23"/>
      <c r="N107" s="23"/>
      <c r="O107" s="23"/>
      <c r="P107" s="4"/>
      <c r="Q107" s="23"/>
      <c r="R107" s="23"/>
      <c r="S107" s="23"/>
      <c r="T107" s="23"/>
      <c r="U107" s="4"/>
      <c r="V107" s="4"/>
      <c r="W107" s="4"/>
    </row>
    <row r="108" spans="1:23" x14ac:dyDescent="0.2">
      <c r="A108" s="774"/>
      <c r="B108" s="4"/>
      <c r="C108" s="23"/>
      <c r="D108" s="23"/>
      <c r="E108" s="23"/>
      <c r="F108" s="23"/>
      <c r="G108" s="23"/>
      <c r="H108" s="23"/>
      <c r="I108" s="23"/>
      <c r="J108" s="23"/>
      <c r="K108" s="23"/>
      <c r="L108" s="23"/>
      <c r="M108" s="23"/>
      <c r="N108" s="23"/>
      <c r="O108" s="23"/>
      <c r="P108" s="4"/>
      <c r="Q108" s="23"/>
      <c r="R108" s="23"/>
      <c r="S108" s="23"/>
      <c r="T108" s="23"/>
      <c r="U108" s="4"/>
      <c r="V108" s="4"/>
      <c r="W108" s="4"/>
    </row>
    <row r="109" spans="1:23" x14ac:dyDescent="0.2">
      <c r="A109" s="774"/>
      <c r="B109" s="4"/>
      <c r="C109" s="23"/>
      <c r="D109" s="23"/>
      <c r="E109" s="23"/>
      <c r="F109" s="23"/>
      <c r="G109" s="23"/>
      <c r="H109" s="23"/>
      <c r="I109" s="23"/>
      <c r="J109" s="23"/>
      <c r="K109" s="23"/>
      <c r="L109" s="23"/>
      <c r="M109" s="23"/>
      <c r="N109" s="23"/>
      <c r="O109" s="23"/>
      <c r="P109" s="4"/>
      <c r="Q109" s="23"/>
      <c r="R109" s="23"/>
      <c r="S109" s="23"/>
      <c r="T109" s="23"/>
      <c r="U109" s="4"/>
      <c r="V109" s="4"/>
      <c r="W109" s="4"/>
    </row>
    <row r="110" spans="1:23" x14ac:dyDescent="0.2">
      <c r="A110" s="774"/>
      <c r="B110" s="4"/>
      <c r="C110" s="23"/>
      <c r="D110" s="23"/>
      <c r="E110" s="23"/>
      <c r="F110" s="23"/>
      <c r="G110" s="23"/>
      <c r="H110" s="23"/>
      <c r="I110" s="23"/>
      <c r="J110" s="23"/>
      <c r="K110" s="23"/>
      <c r="L110" s="23"/>
      <c r="M110" s="23"/>
      <c r="N110" s="23"/>
      <c r="O110" s="23"/>
      <c r="P110" s="4"/>
      <c r="Q110" s="23"/>
      <c r="R110" s="23"/>
      <c r="S110" s="23"/>
      <c r="T110" s="23"/>
      <c r="U110" s="4"/>
      <c r="V110" s="4"/>
      <c r="W110" s="4"/>
    </row>
    <row r="111" spans="1:23" x14ac:dyDescent="0.2">
      <c r="A111" s="774"/>
      <c r="B111" s="4"/>
      <c r="C111" s="23"/>
      <c r="D111" s="23"/>
      <c r="E111" s="23"/>
      <c r="F111" s="23"/>
      <c r="G111" s="23"/>
      <c r="H111" s="23"/>
      <c r="I111" s="23"/>
      <c r="J111" s="23"/>
      <c r="K111" s="23"/>
      <c r="L111" s="23"/>
      <c r="M111" s="23"/>
      <c r="N111" s="23"/>
      <c r="O111" s="23"/>
      <c r="P111" s="4"/>
      <c r="Q111" s="23"/>
      <c r="R111" s="23"/>
      <c r="S111" s="23"/>
      <c r="T111" s="23"/>
      <c r="U111" s="4"/>
      <c r="V111" s="4"/>
      <c r="W111" s="4"/>
    </row>
    <row r="112" spans="1:23" x14ac:dyDescent="0.2">
      <c r="A112" s="774"/>
      <c r="B112" s="4"/>
      <c r="C112" s="23"/>
      <c r="D112" s="23"/>
      <c r="E112" s="23"/>
      <c r="F112" s="23"/>
      <c r="G112" s="23"/>
      <c r="H112" s="23"/>
      <c r="I112" s="23"/>
      <c r="J112" s="23"/>
      <c r="K112" s="23"/>
      <c r="L112" s="23"/>
      <c r="M112" s="23"/>
      <c r="N112" s="23"/>
      <c r="O112" s="23"/>
      <c r="P112" s="4"/>
      <c r="Q112" s="23"/>
      <c r="R112" s="23"/>
      <c r="S112" s="23"/>
      <c r="T112" s="23"/>
      <c r="U112" s="4"/>
      <c r="V112" s="4"/>
      <c r="W112" s="4"/>
    </row>
    <row r="113" spans="1:23" x14ac:dyDescent="0.2">
      <c r="A113" s="774"/>
      <c r="B113" s="4"/>
      <c r="C113" s="23"/>
      <c r="D113" s="23"/>
      <c r="E113" s="23"/>
      <c r="F113" s="23"/>
      <c r="G113" s="23"/>
      <c r="H113" s="23"/>
      <c r="I113" s="23"/>
      <c r="J113" s="23"/>
      <c r="K113" s="23"/>
      <c r="L113" s="23"/>
      <c r="M113" s="23"/>
      <c r="N113" s="23"/>
      <c r="O113" s="23"/>
      <c r="P113" s="4"/>
      <c r="Q113" s="23"/>
      <c r="R113" s="23"/>
      <c r="S113" s="23"/>
      <c r="T113" s="23"/>
      <c r="U113" s="4"/>
      <c r="V113" s="4"/>
      <c r="W113" s="4"/>
    </row>
    <row r="114" spans="1:23" x14ac:dyDescent="0.2">
      <c r="A114" s="774"/>
      <c r="B114" s="4"/>
      <c r="C114" s="23"/>
      <c r="D114" s="23"/>
      <c r="E114" s="23"/>
      <c r="F114" s="23"/>
      <c r="G114" s="23"/>
      <c r="H114" s="23"/>
      <c r="I114" s="23"/>
      <c r="J114" s="23"/>
      <c r="K114" s="23"/>
      <c r="L114" s="23"/>
      <c r="M114" s="23"/>
      <c r="N114" s="23"/>
      <c r="O114" s="23"/>
      <c r="P114" s="4"/>
      <c r="Q114" s="23"/>
      <c r="R114" s="23"/>
      <c r="S114" s="23"/>
      <c r="T114" s="23"/>
      <c r="U114" s="4"/>
      <c r="V114" s="4"/>
      <c r="W114" s="4"/>
    </row>
    <row r="115" spans="1:23" x14ac:dyDescent="0.2">
      <c r="A115" s="774"/>
      <c r="B115" s="4"/>
      <c r="C115" s="23"/>
      <c r="D115" s="23"/>
      <c r="E115" s="23"/>
      <c r="F115" s="23"/>
      <c r="G115" s="23"/>
      <c r="H115" s="23"/>
      <c r="I115" s="23"/>
      <c r="J115" s="23"/>
      <c r="K115" s="23"/>
      <c r="L115" s="23"/>
      <c r="M115" s="23"/>
      <c r="N115" s="23"/>
      <c r="O115" s="23"/>
      <c r="P115" s="4"/>
      <c r="Q115" s="23"/>
      <c r="R115" s="23"/>
      <c r="S115" s="23"/>
      <c r="T115" s="23"/>
      <c r="U115" s="4"/>
      <c r="V115" s="4"/>
      <c r="W115" s="4"/>
    </row>
    <row r="116" spans="1:23" x14ac:dyDescent="0.2">
      <c r="A116" s="774"/>
      <c r="B116" s="4"/>
      <c r="C116" s="23"/>
      <c r="D116" s="23"/>
      <c r="E116" s="23"/>
      <c r="F116" s="23"/>
      <c r="G116" s="23"/>
      <c r="H116" s="23"/>
      <c r="I116" s="23"/>
      <c r="J116" s="23"/>
      <c r="K116" s="23"/>
      <c r="L116" s="23"/>
      <c r="M116" s="23"/>
      <c r="N116" s="23"/>
      <c r="O116" s="23"/>
      <c r="P116" s="4"/>
      <c r="Q116" s="23"/>
      <c r="R116" s="23"/>
      <c r="S116" s="23"/>
      <c r="T116" s="23"/>
      <c r="U116" s="4"/>
      <c r="V116" s="4"/>
      <c r="W116" s="4"/>
    </row>
    <row r="117" spans="1:23" x14ac:dyDescent="0.2">
      <c r="A117" s="774"/>
      <c r="B117" s="4"/>
      <c r="C117" s="23"/>
      <c r="D117" s="23"/>
      <c r="E117" s="23"/>
      <c r="F117" s="23"/>
      <c r="G117" s="23"/>
      <c r="H117" s="23"/>
      <c r="I117" s="23"/>
      <c r="J117" s="23"/>
      <c r="K117" s="23"/>
      <c r="L117" s="23"/>
      <c r="M117" s="23"/>
      <c r="N117" s="23"/>
      <c r="O117" s="23"/>
      <c r="P117" s="4"/>
      <c r="Q117" s="23"/>
      <c r="R117" s="23"/>
      <c r="S117" s="23"/>
      <c r="T117" s="23"/>
      <c r="U117" s="4"/>
      <c r="V117" s="4"/>
      <c r="W117" s="4"/>
    </row>
    <row r="118" spans="1:23" x14ac:dyDescent="0.2">
      <c r="A118" s="774"/>
      <c r="B118" s="4"/>
      <c r="C118" s="23"/>
      <c r="D118" s="23"/>
      <c r="E118" s="23"/>
      <c r="F118" s="23"/>
      <c r="G118" s="23"/>
      <c r="H118" s="23"/>
      <c r="I118" s="23"/>
      <c r="J118" s="23"/>
      <c r="K118" s="23"/>
      <c r="L118" s="23"/>
      <c r="M118" s="23"/>
      <c r="N118" s="23"/>
      <c r="O118" s="23"/>
      <c r="P118" s="4"/>
      <c r="Q118" s="23"/>
      <c r="R118" s="23"/>
      <c r="S118" s="23"/>
      <c r="T118" s="23"/>
      <c r="U118" s="4"/>
      <c r="V118" s="4"/>
      <c r="W118" s="4"/>
    </row>
    <row r="119" spans="1:23" x14ac:dyDescent="0.2">
      <c r="A119" s="774"/>
      <c r="B119" s="4"/>
      <c r="C119" s="23"/>
      <c r="D119" s="23"/>
      <c r="E119" s="23"/>
      <c r="F119" s="23"/>
      <c r="G119" s="23"/>
      <c r="H119" s="23"/>
      <c r="I119" s="23"/>
      <c r="J119" s="23"/>
      <c r="K119" s="23"/>
      <c r="L119" s="23"/>
      <c r="M119" s="23"/>
      <c r="N119" s="23"/>
      <c r="O119" s="23"/>
      <c r="P119" s="4"/>
      <c r="Q119" s="23"/>
      <c r="R119" s="23"/>
      <c r="S119" s="23"/>
      <c r="T119" s="23"/>
      <c r="U119" s="4"/>
      <c r="V119" s="4"/>
      <c r="W119" s="4"/>
    </row>
    <row r="120" spans="1:23" x14ac:dyDescent="0.2">
      <c r="A120" s="774"/>
      <c r="B120" s="4"/>
      <c r="C120" s="23"/>
      <c r="D120" s="23"/>
      <c r="E120" s="23"/>
      <c r="F120" s="23"/>
      <c r="G120" s="23"/>
      <c r="H120" s="23"/>
      <c r="I120" s="23"/>
      <c r="J120" s="23"/>
      <c r="K120" s="23"/>
      <c r="L120" s="23"/>
      <c r="M120" s="23"/>
      <c r="N120" s="23"/>
      <c r="O120" s="23"/>
      <c r="P120" s="4"/>
      <c r="Q120" s="23"/>
      <c r="R120" s="23"/>
      <c r="S120" s="23"/>
      <c r="T120" s="23"/>
      <c r="U120" s="4"/>
      <c r="V120" s="4"/>
      <c r="W120" s="4"/>
    </row>
    <row r="121" spans="1:23" x14ac:dyDescent="0.2">
      <c r="A121" s="774"/>
      <c r="B121" s="4"/>
      <c r="C121" s="23"/>
      <c r="D121" s="23"/>
      <c r="E121" s="23"/>
      <c r="F121" s="23"/>
      <c r="G121" s="23"/>
      <c r="H121" s="23"/>
      <c r="I121" s="23"/>
      <c r="J121" s="23"/>
      <c r="K121" s="23"/>
      <c r="L121" s="23"/>
      <c r="M121" s="23"/>
      <c r="N121" s="23"/>
      <c r="O121" s="23"/>
      <c r="P121" s="4"/>
      <c r="Q121" s="23"/>
      <c r="R121" s="23"/>
      <c r="S121" s="23"/>
      <c r="T121" s="23"/>
      <c r="U121" s="4"/>
      <c r="V121" s="4"/>
      <c r="W121" s="4"/>
    </row>
    <row r="122" spans="1:23" x14ac:dyDescent="0.2">
      <c r="A122" s="774"/>
      <c r="B122" s="4"/>
      <c r="C122" s="23"/>
      <c r="D122" s="23"/>
      <c r="E122" s="23"/>
      <c r="F122" s="23"/>
      <c r="G122" s="23"/>
      <c r="H122" s="23"/>
      <c r="I122" s="23"/>
      <c r="J122" s="23"/>
      <c r="K122" s="23"/>
      <c r="L122" s="23"/>
      <c r="M122" s="23"/>
      <c r="N122" s="23"/>
      <c r="O122" s="23"/>
      <c r="P122" s="4"/>
      <c r="Q122" s="23"/>
      <c r="R122" s="23"/>
      <c r="S122" s="23"/>
      <c r="T122" s="23"/>
      <c r="U122" s="4"/>
      <c r="V122" s="4"/>
      <c r="W122" s="4"/>
    </row>
    <row r="123" spans="1:23" x14ac:dyDescent="0.2">
      <c r="A123" s="774"/>
      <c r="B123" s="4"/>
      <c r="C123" s="23"/>
      <c r="D123" s="23"/>
      <c r="E123" s="23"/>
      <c r="F123" s="23"/>
      <c r="G123" s="23"/>
      <c r="H123" s="23"/>
      <c r="I123" s="23"/>
      <c r="J123" s="23"/>
      <c r="K123" s="23"/>
      <c r="L123" s="23"/>
      <c r="M123" s="23"/>
      <c r="N123" s="23"/>
      <c r="O123" s="23"/>
      <c r="P123" s="4"/>
      <c r="Q123" s="23"/>
      <c r="R123" s="23"/>
      <c r="S123" s="23"/>
      <c r="T123" s="23"/>
      <c r="U123" s="4"/>
      <c r="V123" s="4"/>
      <c r="W123" s="4"/>
    </row>
    <row r="124" spans="1:23" x14ac:dyDescent="0.2">
      <c r="A124" s="774"/>
      <c r="B124" s="4"/>
      <c r="C124" s="23"/>
      <c r="D124" s="23"/>
      <c r="E124" s="23"/>
      <c r="F124" s="23"/>
      <c r="G124" s="23"/>
      <c r="H124" s="23"/>
      <c r="I124" s="23"/>
      <c r="J124" s="23"/>
      <c r="K124" s="23"/>
      <c r="L124" s="23"/>
      <c r="M124" s="23"/>
      <c r="N124" s="23"/>
      <c r="O124" s="23"/>
      <c r="P124" s="4"/>
      <c r="Q124" s="23"/>
      <c r="R124" s="23"/>
      <c r="S124" s="23"/>
      <c r="T124" s="23"/>
      <c r="U124" s="4"/>
      <c r="V124" s="4"/>
      <c r="W124" s="4"/>
    </row>
    <row r="125" spans="1:23" x14ac:dyDescent="0.2">
      <c r="A125" s="774"/>
      <c r="B125" s="4"/>
      <c r="C125" s="23"/>
      <c r="D125" s="23"/>
      <c r="E125" s="23"/>
      <c r="F125" s="23"/>
      <c r="G125" s="23"/>
      <c r="H125" s="23"/>
      <c r="I125" s="23"/>
      <c r="J125" s="23"/>
      <c r="K125" s="23"/>
      <c r="L125" s="23"/>
      <c r="M125" s="23"/>
      <c r="N125" s="23"/>
      <c r="O125" s="23"/>
      <c r="P125" s="4"/>
      <c r="Q125" s="23"/>
      <c r="R125" s="23"/>
      <c r="S125" s="23"/>
      <c r="T125" s="23"/>
      <c r="U125" s="4"/>
      <c r="V125" s="4"/>
      <c r="W125" s="4"/>
    </row>
    <row r="126" spans="1:23" x14ac:dyDescent="0.2">
      <c r="A126" s="774"/>
      <c r="B126" s="4"/>
      <c r="C126" s="23"/>
      <c r="D126" s="23"/>
      <c r="E126" s="23"/>
      <c r="F126" s="23"/>
      <c r="G126" s="23"/>
      <c r="H126" s="23"/>
      <c r="I126" s="23"/>
      <c r="J126" s="23"/>
      <c r="K126" s="23"/>
      <c r="L126" s="23"/>
      <c r="M126" s="23"/>
      <c r="N126" s="23"/>
      <c r="O126" s="23"/>
      <c r="P126" s="4"/>
      <c r="Q126" s="23"/>
      <c r="R126" s="23"/>
      <c r="S126" s="23"/>
      <c r="T126" s="23"/>
      <c r="U126" s="4"/>
      <c r="V126" s="4"/>
      <c r="W126" s="4"/>
    </row>
    <row r="127" spans="1:23" x14ac:dyDescent="0.2">
      <c r="A127" s="774"/>
      <c r="B127" s="4"/>
      <c r="C127" s="23"/>
      <c r="D127" s="23"/>
      <c r="E127" s="23"/>
      <c r="F127" s="23"/>
      <c r="G127" s="23"/>
      <c r="H127" s="23"/>
      <c r="I127" s="23"/>
      <c r="J127" s="23"/>
      <c r="K127" s="23"/>
      <c r="L127" s="23"/>
      <c r="M127" s="23"/>
      <c r="N127" s="23"/>
      <c r="O127" s="23"/>
      <c r="P127" s="4"/>
      <c r="Q127" s="23"/>
      <c r="R127" s="23"/>
      <c r="S127" s="23"/>
      <c r="T127" s="23"/>
      <c r="U127" s="4"/>
      <c r="V127" s="4"/>
      <c r="W127" s="4"/>
    </row>
    <row r="128" spans="1:23" x14ac:dyDescent="0.2">
      <c r="A128" s="774"/>
      <c r="B128" s="4"/>
      <c r="C128" s="23"/>
      <c r="D128" s="23"/>
      <c r="E128" s="23"/>
      <c r="F128" s="23"/>
      <c r="G128" s="23"/>
      <c r="H128" s="23"/>
      <c r="I128" s="23"/>
      <c r="J128" s="23"/>
      <c r="K128" s="23"/>
      <c r="L128" s="23"/>
      <c r="M128" s="23"/>
      <c r="N128" s="23"/>
      <c r="O128" s="23"/>
      <c r="P128" s="4"/>
      <c r="Q128" s="23"/>
      <c r="R128" s="23"/>
      <c r="S128" s="23"/>
      <c r="T128" s="23"/>
      <c r="U128" s="4"/>
      <c r="V128" s="4"/>
      <c r="W128" s="4"/>
    </row>
    <row r="129" spans="1:23" x14ac:dyDescent="0.2">
      <c r="A129" s="774"/>
      <c r="B129" s="4"/>
      <c r="C129" s="23"/>
      <c r="D129" s="23"/>
      <c r="E129" s="23"/>
      <c r="F129" s="23"/>
      <c r="G129" s="23"/>
      <c r="H129" s="23"/>
      <c r="I129" s="23"/>
      <c r="J129" s="23"/>
      <c r="K129" s="23"/>
      <c r="L129" s="23"/>
      <c r="M129" s="23"/>
      <c r="N129" s="23"/>
      <c r="O129" s="23"/>
      <c r="P129" s="4"/>
      <c r="Q129" s="23"/>
      <c r="R129" s="23"/>
      <c r="S129" s="23"/>
      <c r="T129" s="23"/>
      <c r="U129" s="4"/>
      <c r="V129" s="4"/>
      <c r="W129" s="4"/>
    </row>
    <row r="130" spans="1:23" x14ac:dyDescent="0.2">
      <c r="A130" s="774"/>
      <c r="B130" s="4"/>
      <c r="C130" s="23"/>
      <c r="D130" s="23"/>
      <c r="E130" s="23"/>
      <c r="F130" s="23"/>
      <c r="G130" s="23"/>
      <c r="H130" s="23"/>
      <c r="I130" s="23"/>
      <c r="J130" s="23"/>
      <c r="K130" s="23"/>
      <c r="L130" s="23"/>
      <c r="M130" s="23"/>
      <c r="N130" s="23"/>
      <c r="O130" s="23"/>
      <c r="P130" s="4"/>
      <c r="Q130" s="23"/>
      <c r="R130" s="23"/>
      <c r="S130" s="23"/>
      <c r="T130" s="23"/>
      <c r="U130" s="4"/>
      <c r="V130" s="4"/>
      <c r="W130" s="4"/>
    </row>
    <row r="131" spans="1:23" x14ac:dyDescent="0.2">
      <c r="A131" s="774"/>
      <c r="B131" s="4"/>
      <c r="C131" s="23"/>
      <c r="D131" s="23"/>
      <c r="E131" s="23"/>
      <c r="F131" s="23"/>
      <c r="G131" s="23"/>
      <c r="H131" s="23"/>
      <c r="I131" s="23"/>
      <c r="J131" s="23"/>
      <c r="K131" s="23"/>
      <c r="L131" s="23"/>
      <c r="M131" s="23"/>
      <c r="N131" s="23"/>
      <c r="O131" s="23"/>
      <c r="P131" s="4"/>
      <c r="Q131" s="23"/>
      <c r="R131" s="23"/>
      <c r="S131" s="23"/>
      <c r="T131" s="23"/>
      <c r="U131" s="4"/>
      <c r="V131" s="4"/>
      <c r="W131" s="4"/>
    </row>
    <row r="132" spans="1:23" x14ac:dyDescent="0.2">
      <c r="A132" s="774"/>
      <c r="B132" s="4"/>
      <c r="C132" s="23"/>
      <c r="D132" s="23"/>
      <c r="E132" s="23"/>
      <c r="F132" s="23"/>
      <c r="G132" s="23"/>
      <c r="H132" s="23"/>
      <c r="I132" s="23"/>
      <c r="J132" s="23"/>
      <c r="K132" s="23"/>
      <c r="L132" s="23"/>
      <c r="M132" s="23"/>
      <c r="N132" s="23"/>
      <c r="O132" s="23"/>
      <c r="P132" s="4"/>
      <c r="Q132" s="23"/>
      <c r="R132" s="23"/>
      <c r="S132" s="23"/>
      <c r="T132" s="23"/>
      <c r="U132" s="4"/>
      <c r="V132" s="4"/>
      <c r="W132" s="4"/>
    </row>
    <row r="133" spans="1:23" x14ac:dyDescent="0.2">
      <c r="A133" s="774"/>
      <c r="B133" s="4"/>
      <c r="C133" s="23"/>
      <c r="D133" s="23"/>
      <c r="E133" s="23"/>
      <c r="F133" s="23"/>
      <c r="G133" s="23"/>
      <c r="H133" s="23"/>
      <c r="I133" s="23"/>
      <c r="J133" s="23"/>
      <c r="K133" s="23"/>
      <c r="L133" s="23"/>
      <c r="M133" s="23"/>
      <c r="N133" s="23"/>
      <c r="O133" s="23"/>
      <c r="P133" s="4"/>
      <c r="Q133" s="23"/>
      <c r="R133" s="23"/>
      <c r="S133" s="23"/>
      <c r="T133" s="23"/>
      <c r="U133" s="4"/>
      <c r="V133" s="4"/>
      <c r="W133" s="4"/>
    </row>
    <row r="134" spans="1:23" x14ac:dyDescent="0.2">
      <c r="A134" s="774"/>
      <c r="B134" s="4"/>
      <c r="C134" s="23"/>
      <c r="D134" s="23"/>
      <c r="E134" s="23"/>
      <c r="F134" s="23"/>
      <c r="G134" s="23"/>
      <c r="H134" s="23"/>
      <c r="I134" s="23"/>
      <c r="J134" s="23"/>
      <c r="K134" s="23"/>
      <c r="L134" s="23"/>
      <c r="M134" s="23"/>
      <c r="N134" s="23"/>
      <c r="O134" s="23"/>
      <c r="P134" s="4"/>
      <c r="Q134" s="23"/>
      <c r="R134" s="23"/>
      <c r="S134" s="23"/>
      <c r="T134" s="23"/>
      <c r="U134" s="4"/>
      <c r="V134" s="4"/>
      <c r="W134" s="4"/>
    </row>
    <row r="135" spans="1:23" x14ac:dyDescent="0.2">
      <c r="C135" s="212"/>
      <c r="D135" s="212"/>
      <c r="E135" s="212"/>
      <c r="F135" s="212"/>
      <c r="G135" s="212"/>
      <c r="H135" s="212"/>
      <c r="I135" s="212"/>
      <c r="J135" s="212"/>
      <c r="K135" s="212"/>
      <c r="L135" s="212"/>
      <c r="M135" s="212"/>
      <c r="N135" s="212"/>
      <c r="O135" s="212"/>
    </row>
    <row r="136" spans="1:23" x14ac:dyDescent="0.2">
      <c r="C136" s="212"/>
      <c r="D136" s="212"/>
      <c r="E136" s="212"/>
      <c r="F136" s="212"/>
      <c r="G136" s="212"/>
      <c r="H136" s="212"/>
      <c r="I136" s="212"/>
      <c r="J136" s="212"/>
      <c r="K136" s="212"/>
      <c r="L136" s="212"/>
      <c r="M136" s="212"/>
      <c r="N136" s="212"/>
      <c r="O136" s="212"/>
    </row>
    <row r="137" spans="1:23" x14ac:dyDescent="0.2">
      <c r="C137" s="212"/>
      <c r="D137" s="212"/>
      <c r="E137" s="212"/>
      <c r="F137" s="212"/>
      <c r="G137" s="212"/>
      <c r="H137" s="212"/>
      <c r="I137" s="212"/>
      <c r="J137" s="212"/>
      <c r="K137" s="212"/>
      <c r="L137" s="212"/>
      <c r="M137" s="212"/>
      <c r="N137" s="212"/>
      <c r="O137" s="212"/>
    </row>
    <row r="138" spans="1:23" x14ac:dyDescent="0.2">
      <c r="C138" s="212"/>
      <c r="D138" s="212"/>
      <c r="E138" s="212"/>
      <c r="F138" s="212"/>
      <c r="G138" s="212"/>
      <c r="H138" s="212"/>
      <c r="I138" s="212"/>
      <c r="J138" s="212"/>
      <c r="K138" s="212"/>
      <c r="L138" s="212"/>
      <c r="M138" s="212"/>
      <c r="N138" s="212"/>
      <c r="O138" s="212"/>
    </row>
    <row r="139" spans="1:23" x14ac:dyDescent="0.2">
      <c r="C139" s="212"/>
      <c r="D139" s="212"/>
      <c r="E139" s="212"/>
      <c r="F139" s="212"/>
      <c r="G139" s="212"/>
      <c r="H139" s="212"/>
      <c r="I139" s="212"/>
      <c r="J139" s="212"/>
      <c r="K139" s="212"/>
      <c r="L139" s="212"/>
      <c r="M139" s="212"/>
      <c r="N139" s="212"/>
      <c r="O139" s="212"/>
    </row>
    <row r="140" spans="1:23" x14ac:dyDescent="0.2">
      <c r="C140" s="212"/>
      <c r="D140" s="212"/>
      <c r="E140" s="212"/>
      <c r="F140" s="212"/>
      <c r="G140" s="212"/>
      <c r="H140" s="212"/>
      <c r="I140" s="212"/>
      <c r="J140" s="212"/>
      <c r="K140" s="212"/>
      <c r="L140" s="212"/>
      <c r="M140" s="212"/>
      <c r="N140" s="212"/>
      <c r="O140" s="212"/>
    </row>
    <row r="141" spans="1:23" x14ac:dyDescent="0.2">
      <c r="C141" s="212"/>
      <c r="D141" s="212"/>
      <c r="E141" s="212"/>
      <c r="F141" s="212"/>
      <c r="G141" s="212"/>
      <c r="H141" s="212"/>
      <c r="I141" s="212"/>
      <c r="J141" s="212"/>
      <c r="K141" s="212"/>
      <c r="L141" s="212"/>
      <c r="M141" s="212"/>
      <c r="N141" s="212"/>
      <c r="O141" s="212"/>
    </row>
    <row r="142" spans="1:23" x14ac:dyDescent="0.2">
      <c r="C142" s="212"/>
      <c r="D142" s="212"/>
      <c r="E142" s="212"/>
      <c r="F142" s="212"/>
      <c r="G142" s="212"/>
      <c r="H142" s="212"/>
      <c r="I142" s="212"/>
      <c r="J142" s="212"/>
      <c r="K142" s="212"/>
      <c r="L142" s="212"/>
      <c r="M142" s="212"/>
      <c r="N142" s="212"/>
      <c r="O142" s="212"/>
    </row>
    <row r="143" spans="1:23" x14ac:dyDescent="0.2">
      <c r="C143" s="212"/>
      <c r="D143" s="212"/>
      <c r="E143" s="212"/>
      <c r="F143" s="212"/>
      <c r="G143" s="212"/>
      <c r="H143" s="212"/>
      <c r="I143" s="212"/>
      <c r="J143" s="212"/>
      <c r="K143" s="212"/>
      <c r="L143" s="212"/>
      <c r="M143" s="212"/>
      <c r="N143" s="212"/>
      <c r="O143" s="212"/>
    </row>
    <row r="144" spans="1:23" x14ac:dyDescent="0.2">
      <c r="C144" s="212"/>
      <c r="D144" s="212"/>
      <c r="E144" s="212"/>
      <c r="F144" s="212"/>
      <c r="G144" s="212"/>
      <c r="H144" s="212"/>
      <c r="I144" s="212"/>
      <c r="J144" s="212"/>
      <c r="K144" s="212"/>
      <c r="L144" s="212"/>
      <c r="M144" s="212"/>
      <c r="N144" s="212"/>
      <c r="O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row r="160" spans="3:3" x14ac:dyDescent="0.2">
      <c r="C160" s="212"/>
    </row>
    <row r="161" spans="3:3" x14ac:dyDescent="0.2">
      <c r="C161" s="212"/>
    </row>
    <row r="162" spans="3:3" x14ac:dyDescent="0.2">
      <c r="C162" s="212"/>
    </row>
    <row r="163" spans="3:3" x14ac:dyDescent="0.2">
      <c r="C163" s="212"/>
    </row>
    <row r="164" spans="3:3" x14ac:dyDescent="0.2">
      <c r="C164" s="212"/>
    </row>
    <row r="165" spans="3:3" x14ac:dyDescent="0.2">
      <c r="C165" s="212"/>
    </row>
    <row r="166" spans="3:3" x14ac:dyDescent="0.2">
      <c r="C166" s="212"/>
    </row>
    <row r="167" spans="3:3" x14ac:dyDescent="0.2">
      <c r="C167" s="212"/>
    </row>
    <row r="168" spans="3:3" x14ac:dyDescent="0.2">
      <c r="C168" s="212"/>
    </row>
    <row r="169" spans="3:3" x14ac:dyDescent="0.2">
      <c r="C169" s="212"/>
    </row>
    <row r="170" spans="3:3" x14ac:dyDescent="0.2">
      <c r="C170" s="212"/>
    </row>
    <row r="171" spans="3:3" x14ac:dyDescent="0.2">
      <c r="C171" s="212"/>
    </row>
    <row r="172" spans="3:3" x14ac:dyDescent="0.2">
      <c r="C172" s="212"/>
    </row>
    <row r="173" spans="3:3" x14ac:dyDescent="0.2">
      <c r="C173" s="212"/>
    </row>
    <row r="174" spans="3:3" x14ac:dyDescent="0.2">
      <c r="C174" s="212"/>
    </row>
    <row r="175" spans="3:3" x14ac:dyDescent="0.2">
      <c r="C175" s="212"/>
    </row>
    <row r="176" spans="3:3" x14ac:dyDescent="0.2">
      <c r="C176" s="212"/>
    </row>
    <row r="177" spans="3:3" x14ac:dyDescent="0.2">
      <c r="C177" s="212"/>
    </row>
    <row r="178" spans="3:3" x14ac:dyDescent="0.2">
      <c r="C178" s="212"/>
    </row>
    <row r="179" spans="3:3" x14ac:dyDescent="0.2">
      <c r="C179" s="212"/>
    </row>
    <row r="180" spans="3:3" x14ac:dyDescent="0.2">
      <c r="C180" s="212"/>
    </row>
    <row r="181" spans="3:3" x14ac:dyDescent="0.2">
      <c r="C181" s="212"/>
    </row>
    <row r="182" spans="3:3" x14ac:dyDescent="0.2">
      <c r="C182" s="212"/>
    </row>
    <row r="183" spans="3:3" x14ac:dyDescent="0.2">
      <c r="C183" s="212"/>
    </row>
    <row r="184" spans="3:3" x14ac:dyDescent="0.2">
      <c r="C184" s="212"/>
    </row>
  </sheetData>
  <phoneticPr fontId="0" type="noConversion"/>
  <hyperlinks>
    <hyperlink ref="A1" location="'Working Budget with funding det'!A1" display="Main " xr:uid="{00000000-0004-0000-2C00-000000000000}"/>
    <hyperlink ref="B1" location="'Table of Contents'!A1" display="TOC" xr:uid="{00000000-0004-0000-2C00-000001000000}"/>
  </hyperlinks>
  <pageMargins left="0.75" right="0.75" top="1" bottom="1" header="0.5" footer="0.5"/>
  <pageSetup scale="92" orientation="landscape" r:id="rId1"/>
  <headerFooter alignWithMargins="0">
    <oddFooter>&amp;L&amp;D     &amp;T&amp;C&amp;F&amp;R&amp;A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50"/>
  </sheetPr>
  <dimension ref="A1:W138"/>
  <sheetViews>
    <sheetView zoomScaleNormal="100" workbookViewId="0">
      <pane ySplit="7" topLeftCell="A29" activePane="bottomLeft" state="frozen"/>
      <selection activeCell="P15" sqref="P15"/>
      <selection pane="bottomLeft" sqref="A1:S107"/>
    </sheetView>
  </sheetViews>
  <sheetFormatPr defaultRowHeight="12.75" x14ac:dyDescent="0.2"/>
  <cols>
    <col min="1" max="1" width="13.83203125" style="783" customWidth="1"/>
    <col min="2" max="2" width="36.6640625" customWidth="1"/>
    <col min="3" max="3" width="14.5" style="1" hidden="1" customWidth="1"/>
    <col min="4" max="12" width="14.5" style="106" hidden="1" customWidth="1"/>
    <col min="13" max="15" width="14.5" style="106" customWidth="1"/>
    <col min="16" max="16" width="14.5" customWidth="1"/>
    <col min="17" max="19" width="14.5" style="1" customWidth="1"/>
    <col min="20" max="22" width="14.5" customWidth="1"/>
    <col min="23" max="23" width="14.6640625" style="2" customWidth="1"/>
    <col min="24" max="24" width="13.5" bestFit="1" customWidth="1"/>
  </cols>
  <sheetData>
    <row r="1" spans="1:22" x14ac:dyDescent="0.2">
      <c r="A1" s="772" t="s">
        <v>847</v>
      </c>
      <c r="B1" s="308" t="s">
        <v>197</v>
      </c>
      <c r="D1" s="212"/>
      <c r="E1" s="212"/>
      <c r="F1" s="212"/>
      <c r="G1" s="212"/>
      <c r="H1" s="212"/>
      <c r="I1" s="212"/>
      <c r="J1" s="212"/>
      <c r="K1" s="212"/>
      <c r="L1" s="212"/>
      <c r="M1" s="212"/>
      <c r="N1" s="212"/>
      <c r="O1" s="212"/>
    </row>
    <row r="2" spans="1:22" ht="15" x14ac:dyDescent="0.25">
      <c r="A2" s="773" t="s">
        <v>1459</v>
      </c>
      <c r="B2" s="43"/>
      <c r="D2" s="212"/>
      <c r="E2" s="126"/>
      <c r="F2" s="212"/>
      <c r="G2" s="212"/>
      <c r="H2" s="212"/>
      <c r="I2" s="126" t="s">
        <v>816</v>
      </c>
      <c r="J2" s="126"/>
      <c r="K2" s="126"/>
      <c r="L2" s="126"/>
      <c r="M2" s="126"/>
      <c r="N2" s="126"/>
      <c r="O2" s="126"/>
      <c r="P2" s="58" t="s">
        <v>661</v>
      </c>
      <c r="Q2" s="217"/>
      <c r="R2" s="217"/>
      <c r="S2" s="44" t="s">
        <v>1460</v>
      </c>
    </row>
    <row r="3" spans="1:22" ht="13.5" thickBot="1" x14ac:dyDescent="0.25">
      <c r="A3" s="774"/>
      <c r="B3" s="4"/>
      <c r="C3" s="23"/>
      <c r="D3" s="23"/>
      <c r="E3" s="23"/>
      <c r="F3" s="23"/>
      <c r="G3" s="23"/>
      <c r="H3" s="23"/>
      <c r="I3" s="23"/>
      <c r="J3" s="23"/>
      <c r="K3" s="23"/>
      <c r="L3" s="23"/>
      <c r="M3" s="23"/>
      <c r="N3" s="23"/>
      <c r="O3" s="23"/>
      <c r="P3" s="4"/>
      <c r="Q3" s="23"/>
      <c r="R3" s="23"/>
      <c r="S3" s="4"/>
      <c r="T3" s="4"/>
      <c r="V3" s="4"/>
    </row>
    <row r="4" spans="1:22"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2"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2" x14ac:dyDescent="0.2">
      <c r="A6" s="776"/>
      <c r="B6" s="202"/>
      <c r="C6" s="113"/>
      <c r="D6" s="113"/>
      <c r="E6" s="113"/>
      <c r="F6" s="113"/>
      <c r="G6" s="113"/>
      <c r="H6" s="113"/>
      <c r="I6" s="83"/>
      <c r="J6" s="83"/>
      <c r="K6" s="83"/>
      <c r="L6" s="83"/>
      <c r="M6" s="83"/>
      <c r="N6" s="83"/>
      <c r="O6" s="83"/>
      <c r="P6" s="113"/>
      <c r="Q6" s="83" t="s">
        <v>823</v>
      </c>
      <c r="R6" s="83" t="s">
        <v>585</v>
      </c>
      <c r="S6" s="45" t="s">
        <v>824</v>
      </c>
    </row>
    <row r="7" spans="1:22"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2" ht="13.5" thickTop="1" x14ac:dyDescent="0.2">
      <c r="A8" s="778"/>
      <c r="B8" s="157"/>
      <c r="C8" s="115"/>
      <c r="D8" s="268"/>
      <c r="E8" s="268"/>
      <c r="F8" s="268"/>
      <c r="G8" s="268"/>
      <c r="H8" s="268"/>
      <c r="I8" s="268"/>
      <c r="J8" s="268"/>
      <c r="K8" s="146"/>
      <c r="L8" s="146"/>
      <c r="M8" s="146"/>
      <c r="N8" s="146"/>
      <c r="O8" s="146"/>
      <c r="P8" s="59"/>
      <c r="Q8" s="10"/>
      <c r="R8" s="10"/>
      <c r="S8" s="10"/>
    </row>
    <row r="9" spans="1:22" x14ac:dyDescent="0.2">
      <c r="A9" s="779">
        <v>5111</v>
      </c>
      <c r="B9" s="102" t="s">
        <v>849</v>
      </c>
      <c r="C9" s="116">
        <v>117196.8</v>
      </c>
      <c r="D9" s="13">
        <v>130066.4</v>
      </c>
      <c r="E9" s="13">
        <v>130758.41</v>
      </c>
      <c r="F9" s="13">
        <v>135465.42000000001</v>
      </c>
      <c r="G9" s="13">
        <v>139776.63</v>
      </c>
      <c r="H9" s="13">
        <v>144545.66</v>
      </c>
      <c r="I9" s="13">
        <f>25801.3+117025.1</f>
        <v>142826.4</v>
      </c>
      <c r="J9" s="13">
        <v>150898.46</v>
      </c>
      <c r="K9" s="14">
        <v>158651</v>
      </c>
      <c r="L9" s="13">
        <v>158650.54999999999</v>
      </c>
      <c r="M9" s="14">
        <v>164309</v>
      </c>
      <c r="N9" s="13">
        <v>166129.4</v>
      </c>
      <c r="O9" s="14">
        <f>2650+2228+166245</f>
        <v>171123</v>
      </c>
      <c r="P9" s="13">
        <v>82610.820000000007</v>
      </c>
      <c r="Q9" s="14">
        <f>ROUND((SUM(P55:P58)),0)</f>
        <v>178979</v>
      </c>
      <c r="R9" s="14"/>
      <c r="S9" s="14"/>
    </row>
    <row r="10" spans="1:22" x14ac:dyDescent="0.2">
      <c r="A10" s="779">
        <v>5113</v>
      </c>
      <c r="B10" s="60" t="s">
        <v>850</v>
      </c>
      <c r="C10" s="116">
        <v>90290.59</v>
      </c>
      <c r="D10" s="13">
        <v>72415.990000000005</v>
      </c>
      <c r="E10" s="13">
        <v>96098.85</v>
      </c>
      <c r="F10" s="13">
        <v>96540.9</v>
      </c>
      <c r="G10" s="13">
        <v>103043.3</v>
      </c>
      <c r="H10" s="13">
        <v>103709.41</v>
      </c>
      <c r="I10" s="13">
        <f>-25801.3+132712.7</f>
        <v>106911.40000000001</v>
      </c>
      <c r="J10" s="13">
        <v>119619.97</v>
      </c>
      <c r="K10" s="14">
        <v>124243</v>
      </c>
      <c r="L10" s="128">
        <v>120294.17</v>
      </c>
      <c r="M10" s="14">
        <v>127719</v>
      </c>
      <c r="N10" s="128">
        <v>132332.06</v>
      </c>
      <c r="O10" s="14">
        <f>4144+130124</f>
        <v>134268</v>
      </c>
      <c r="P10" s="13">
        <v>58169.84</v>
      </c>
      <c r="Q10" s="14">
        <f>ROUND((SUM(P59:P68)),0)</f>
        <v>148612</v>
      </c>
      <c r="R10" s="14"/>
      <c r="S10" s="14"/>
    </row>
    <row r="11" spans="1:22" x14ac:dyDescent="0.2">
      <c r="A11" s="779">
        <v>5114</v>
      </c>
      <c r="B11" s="60" t="s">
        <v>1461</v>
      </c>
      <c r="C11" s="116"/>
      <c r="D11" s="13"/>
      <c r="E11" s="13"/>
      <c r="F11" s="13"/>
      <c r="G11" s="13"/>
      <c r="H11" s="13"/>
      <c r="I11" s="13"/>
      <c r="J11" s="13"/>
      <c r="K11" s="14"/>
      <c r="L11" s="128"/>
      <c r="M11" s="14"/>
      <c r="N11" s="128"/>
      <c r="O11" s="14"/>
      <c r="P11" s="13">
        <v>7145.75</v>
      </c>
      <c r="Q11" s="14">
        <f>ROUND((+P69),0)</f>
        <v>8295</v>
      </c>
      <c r="R11" s="14"/>
      <c r="S11" s="14"/>
    </row>
    <row r="12" spans="1:22" x14ac:dyDescent="0.2">
      <c r="A12" s="779">
        <v>5142</v>
      </c>
      <c r="B12" s="60" t="s">
        <v>1146</v>
      </c>
      <c r="C12" s="116">
        <v>453.6</v>
      </c>
      <c r="D12" s="13">
        <v>480.12</v>
      </c>
      <c r="E12" s="13">
        <v>475.91</v>
      </c>
      <c r="F12" s="13">
        <v>465.95</v>
      </c>
      <c r="G12" s="13">
        <v>464.19</v>
      </c>
      <c r="H12" s="13">
        <f>25.2+430.68</f>
        <v>455.88</v>
      </c>
      <c r="I12" s="13">
        <v>452.2</v>
      </c>
      <c r="J12" s="13">
        <v>548.23</v>
      </c>
      <c r="K12" s="14">
        <v>750</v>
      </c>
      <c r="L12" s="13">
        <v>50</v>
      </c>
      <c r="M12" s="14">
        <v>750</v>
      </c>
      <c r="N12" s="13">
        <v>429.75</v>
      </c>
      <c r="O12" s="14">
        <v>750</v>
      </c>
      <c r="P12" s="13">
        <v>217.25</v>
      </c>
      <c r="Q12" s="14">
        <v>750</v>
      </c>
      <c r="R12" s="14"/>
      <c r="S12" s="14"/>
    </row>
    <row r="13" spans="1:22" x14ac:dyDescent="0.2">
      <c r="A13" s="779">
        <v>5144</v>
      </c>
      <c r="B13" s="60" t="s">
        <v>27</v>
      </c>
      <c r="C13" s="228">
        <v>750</v>
      </c>
      <c r="D13" s="35">
        <v>900</v>
      </c>
      <c r="E13" s="35">
        <v>900</v>
      </c>
      <c r="F13" s="35">
        <v>900</v>
      </c>
      <c r="G13" s="35">
        <v>2500</v>
      </c>
      <c r="H13" s="35">
        <v>2700</v>
      </c>
      <c r="I13" s="35">
        <v>1600</v>
      </c>
      <c r="J13" s="35">
        <v>1400</v>
      </c>
      <c r="K13" s="36">
        <v>2200</v>
      </c>
      <c r="L13" s="35">
        <v>1400</v>
      </c>
      <c r="M13" s="36">
        <v>1400</v>
      </c>
      <c r="N13" s="35">
        <v>900</v>
      </c>
      <c r="O13" s="36">
        <f>100+1400</f>
        <v>1500</v>
      </c>
      <c r="P13" s="35">
        <v>1399.5</v>
      </c>
      <c r="Q13" s="36">
        <f>+S70</f>
        <v>3100</v>
      </c>
      <c r="R13" s="36"/>
      <c r="S13" s="36"/>
    </row>
    <row r="14" spans="1:22" x14ac:dyDescent="0.2">
      <c r="A14" s="779">
        <v>5193</v>
      </c>
      <c r="B14" s="60" t="s">
        <v>941</v>
      </c>
      <c r="C14" s="228"/>
      <c r="D14" s="35">
        <v>6487.78</v>
      </c>
      <c r="E14" s="35"/>
      <c r="F14" s="35">
        <v>707.13</v>
      </c>
      <c r="G14" s="35"/>
      <c r="H14" s="35">
        <v>2715.6</v>
      </c>
      <c r="I14" s="35">
        <v>1817.29</v>
      </c>
      <c r="J14" s="35"/>
      <c r="K14" s="36"/>
      <c r="L14" s="35">
        <v>1172.48</v>
      </c>
      <c r="M14" s="36"/>
      <c r="N14" s="35">
        <v>6983.01</v>
      </c>
      <c r="O14" s="36"/>
      <c r="P14" s="35"/>
      <c r="Q14" s="36"/>
      <c r="R14" s="36"/>
      <c r="S14" s="36"/>
    </row>
    <row r="15" spans="1:22" ht="13.5" thickBot="1" x14ac:dyDescent="0.25">
      <c r="A15" s="779">
        <v>5194</v>
      </c>
      <c r="B15" s="60" t="s">
        <v>942</v>
      </c>
      <c r="C15" s="117"/>
      <c r="D15" s="15">
        <v>2500</v>
      </c>
      <c r="E15" s="15"/>
      <c r="F15" s="15">
        <v>410.14</v>
      </c>
      <c r="G15" s="15"/>
      <c r="H15" s="15">
        <v>3188.64</v>
      </c>
      <c r="I15" s="15"/>
      <c r="J15" s="15"/>
      <c r="K15" s="16"/>
      <c r="L15" s="15"/>
      <c r="M15" s="16"/>
      <c r="N15" s="15">
        <v>3500</v>
      </c>
      <c r="O15" s="16"/>
      <c r="P15" s="15"/>
      <c r="Q15" s="16"/>
      <c r="R15" s="16"/>
      <c r="S15" s="16"/>
    </row>
    <row r="16" spans="1:22" x14ac:dyDescent="0.2">
      <c r="A16" s="779"/>
      <c r="B16" s="61" t="s">
        <v>828</v>
      </c>
      <c r="C16" s="118">
        <f t="shared" ref="C16:P16" si="0">SUM(C9:C15)</f>
        <v>208690.99000000002</v>
      </c>
      <c r="D16" s="18">
        <f t="shared" si="0"/>
        <v>212850.29</v>
      </c>
      <c r="E16" s="18">
        <f t="shared" si="0"/>
        <v>228233.17</v>
      </c>
      <c r="F16" s="18">
        <f>SUM(F9:F15)</f>
        <v>234489.54000000004</v>
      </c>
      <c r="G16" s="18">
        <f>SUM(G9:G15)</f>
        <v>245784.12</v>
      </c>
      <c r="H16" s="18">
        <f>SUM(H9:H15)</f>
        <v>257315.19000000003</v>
      </c>
      <c r="I16" s="18">
        <f t="shared" si="0"/>
        <v>253607.29</v>
      </c>
      <c r="J16" s="18">
        <f t="shared" si="0"/>
        <v>272466.65999999997</v>
      </c>
      <c r="K16" s="19">
        <f>SUM(K9:K15)</f>
        <v>285844</v>
      </c>
      <c r="L16" s="18">
        <f t="shared" ref="L16:O16" si="1">SUM(L9:L15)</f>
        <v>281567.19999999995</v>
      </c>
      <c r="M16" s="19">
        <f t="shared" si="1"/>
        <v>294178</v>
      </c>
      <c r="N16" s="18">
        <f t="shared" si="1"/>
        <v>310274.21999999997</v>
      </c>
      <c r="O16" s="19">
        <f t="shared" si="1"/>
        <v>307641</v>
      </c>
      <c r="P16" s="18">
        <f t="shared" si="0"/>
        <v>149543.16</v>
      </c>
      <c r="Q16" s="19">
        <f>SUM(Q9:Q15)</f>
        <v>339736</v>
      </c>
      <c r="R16" s="19"/>
      <c r="S16" s="19">
        <f>SUM(S9:S15)</f>
        <v>0</v>
      </c>
      <c r="V16" s="84"/>
    </row>
    <row r="17" spans="1:22" x14ac:dyDescent="0.2">
      <c r="A17" s="779"/>
      <c r="B17" s="60"/>
      <c r="C17" s="116"/>
      <c r="D17" s="13"/>
      <c r="E17" s="13"/>
      <c r="F17" s="13"/>
      <c r="G17" s="13"/>
      <c r="H17" s="13"/>
      <c r="I17" s="13"/>
      <c r="J17" s="13"/>
      <c r="K17" s="14"/>
      <c r="L17" s="13"/>
      <c r="M17" s="14"/>
      <c r="N17" s="13"/>
      <c r="O17" s="14"/>
      <c r="P17" s="13"/>
      <c r="Q17" s="14"/>
      <c r="R17" s="14"/>
      <c r="S17" s="14"/>
      <c r="V17" s="84"/>
    </row>
    <row r="18" spans="1:22" x14ac:dyDescent="0.2">
      <c r="A18" s="779">
        <v>5211</v>
      </c>
      <c r="B18" s="60" t="s">
        <v>1410</v>
      </c>
      <c r="C18" s="116">
        <v>6528.19</v>
      </c>
      <c r="D18" s="13">
        <v>7238.61</v>
      </c>
      <c r="E18" s="13">
        <v>6501.22</v>
      </c>
      <c r="F18" s="13">
        <v>7216.42</v>
      </c>
      <c r="G18" s="13">
        <v>6797.06</v>
      </c>
      <c r="H18" s="13">
        <v>7120.37</v>
      </c>
      <c r="I18" s="128">
        <v>7747.08</v>
      </c>
      <c r="J18" s="128">
        <v>6640.35</v>
      </c>
      <c r="K18" s="14">
        <v>8000</v>
      </c>
      <c r="L18" s="128">
        <v>7158.57</v>
      </c>
      <c r="M18" s="14">
        <v>8000</v>
      </c>
      <c r="N18" s="128">
        <v>8634.43</v>
      </c>
      <c r="O18" s="14">
        <f>4000+8000</f>
        <v>12000</v>
      </c>
      <c r="P18" s="13">
        <v>3343.39</v>
      </c>
      <c r="Q18" s="14">
        <v>12500</v>
      </c>
      <c r="R18" s="14"/>
      <c r="S18" s="14"/>
      <c r="V18" s="2"/>
    </row>
    <row r="19" spans="1:22" x14ac:dyDescent="0.2">
      <c r="A19" s="779">
        <v>5213</v>
      </c>
      <c r="B19" s="60" t="s">
        <v>1462</v>
      </c>
      <c r="C19" s="116">
        <v>10256.49</v>
      </c>
      <c r="D19" s="13">
        <v>12343.26</v>
      </c>
      <c r="E19" s="13">
        <v>11693.15</v>
      </c>
      <c r="F19" s="13">
        <v>7640.51</v>
      </c>
      <c r="G19" s="13">
        <v>5614.06</v>
      </c>
      <c r="H19" s="13">
        <v>7122.89</v>
      </c>
      <c r="I19" s="128">
        <v>9577.5300000000007</v>
      </c>
      <c r="J19" s="128">
        <v>7786.05</v>
      </c>
      <c r="K19" s="14">
        <v>10700</v>
      </c>
      <c r="L19" s="128">
        <v>5704.58</v>
      </c>
      <c r="M19" s="14">
        <v>10700</v>
      </c>
      <c r="N19" s="128">
        <v>8573.01</v>
      </c>
      <c r="O19" s="14">
        <v>10700</v>
      </c>
      <c r="P19" s="13">
        <v>287.7</v>
      </c>
      <c r="Q19" s="14">
        <v>16100</v>
      </c>
      <c r="R19" s="14"/>
      <c r="S19" s="14"/>
      <c r="V19" s="2"/>
    </row>
    <row r="20" spans="1:22" x14ac:dyDescent="0.2">
      <c r="A20" s="779">
        <v>5231</v>
      </c>
      <c r="B20" s="12" t="s">
        <v>1444</v>
      </c>
      <c r="C20" s="13">
        <v>138</v>
      </c>
      <c r="D20" s="13">
        <v>135</v>
      </c>
      <c r="E20" s="13">
        <v>145.6</v>
      </c>
      <c r="F20" s="13">
        <v>139.19999999999999</v>
      </c>
      <c r="G20" s="13">
        <v>135.6</v>
      </c>
      <c r="H20" s="13">
        <v>133.19999999999999</v>
      </c>
      <c r="I20" s="128">
        <v>135.6</v>
      </c>
      <c r="J20" s="128">
        <v>184.5</v>
      </c>
      <c r="K20" s="14">
        <v>150</v>
      </c>
      <c r="L20" s="128">
        <v>132</v>
      </c>
      <c r="M20" s="14">
        <v>150</v>
      </c>
      <c r="N20" s="128">
        <v>191.8</v>
      </c>
      <c r="O20" s="14">
        <v>150</v>
      </c>
      <c r="P20" s="13">
        <v>70</v>
      </c>
      <c r="Q20" s="14">
        <v>200</v>
      </c>
      <c r="R20" s="14"/>
      <c r="S20" s="14"/>
    </row>
    <row r="21" spans="1:22" x14ac:dyDescent="0.2">
      <c r="A21" s="779">
        <v>5232</v>
      </c>
      <c r="B21" s="12" t="s">
        <v>581</v>
      </c>
      <c r="C21" s="13">
        <v>252</v>
      </c>
      <c r="D21" s="13">
        <v>246.16</v>
      </c>
      <c r="E21" s="13">
        <v>233.72</v>
      </c>
      <c r="F21" s="13">
        <v>277.2</v>
      </c>
      <c r="G21" s="13">
        <v>280</v>
      </c>
      <c r="H21" s="13">
        <v>204.48</v>
      </c>
      <c r="I21" s="128">
        <v>322.08</v>
      </c>
      <c r="J21" s="128">
        <v>352.64</v>
      </c>
      <c r="K21" s="14">
        <v>350</v>
      </c>
      <c r="L21" s="128">
        <v>457.84</v>
      </c>
      <c r="M21" s="14">
        <v>350</v>
      </c>
      <c r="N21" s="128">
        <v>416.82</v>
      </c>
      <c r="O21" s="14">
        <v>350</v>
      </c>
      <c r="P21" s="13">
        <v>244.42</v>
      </c>
      <c r="Q21" s="14">
        <v>450</v>
      </c>
      <c r="R21" s="14"/>
      <c r="S21" s="14"/>
    </row>
    <row r="22" spans="1:22" x14ac:dyDescent="0.2">
      <c r="A22" s="779">
        <v>5241</v>
      </c>
      <c r="B22" s="12" t="s">
        <v>1463</v>
      </c>
      <c r="C22" s="13"/>
      <c r="D22" s="13"/>
      <c r="E22" s="13"/>
      <c r="F22" s="13"/>
      <c r="G22" s="13"/>
      <c r="H22" s="13"/>
      <c r="I22" s="128"/>
      <c r="J22" s="128"/>
      <c r="K22" s="14">
        <v>715</v>
      </c>
      <c r="L22" s="128">
        <v>575</v>
      </c>
      <c r="M22" s="14"/>
      <c r="N22" s="128">
        <v>71.849999999999994</v>
      </c>
      <c r="O22" s="14">
        <v>4500</v>
      </c>
      <c r="P22" s="13">
        <v>2955</v>
      </c>
      <c r="Q22" s="14">
        <v>4500</v>
      </c>
      <c r="R22" s="14"/>
      <c r="S22" s="14"/>
    </row>
    <row r="23" spans="1:22" x14ac:dyDescent="0.2">
      <c r="A23" s="779">
        <v>5242</v>
      </c>
      <c r="B23" s="12" t="s">
        <v>1464</v>
      </c>
      <c r="C23" s="13"/>
      <c r="D23" s="13"/>
      <c r="E23" s="13"/>
      <c r="F23" s="13"/>
      <c r="G23" s="13"/>
      <c r="H23" s="13"/>
      <c r="I23" s="128"/>
      <c r="J23" s="128">
        <v>506.69</v>
      </c>
      <c r="K23" s="14"/>
      <c r="L23" s="128">
        <v>324</v>
      </c>
      <c r="M23" s="14">
        <v>715</v>
      </c>
      <c r="N23" s="128">
        <v>619</v>
      </c>
      <c r="O23" s="14">
        <v>715</v>
      </c>
      <c r="P23" s="13">
        <v>307.5</v>
      </c>
      <c r="Q23" s="14">
        <v>715</v>
      </c>
      <c r="R23" s="14"/>
      <c r="S23" s="14"/>
    </row>
    <row r="24" spans="1:22" x14ac:dyDescent="0.2">
      <c r="A24" s="779">
        <v>5247</v>
      </c>
      <c r="B24" s="12" t="s">
        <v>1465</v>
      </c>
      <c r="C24" s="13">
        <v>11095</v>
      </c>
      <c r="D24" s="13">
        <v>12472</v>
      </c>
      <c r="E24" s="13">
        <v>11895.93</v>
      </c>
      <c r="F24" s="13">
        <v>11092.95</v>
      </c>
      <c r="G24" s="13">
        <v>12025</v>
      </c>
      <c r="H24" s="13">
        <v>14542</v>
      </c>
      <c r="I24" s="128">
        <v>15438.4</v>
      </c>
      <c r="J24" s="128">
        <v>15168.13</v>
      </c>
      <c r="K24" s="14">
        <v>15500</v>
      </c>
      <c r="L24" s="128">
        <v>16158.81</v>
      </c>
      <c r="M24" s="14">
        <v>15500</v>
      </c>
      <c r="N24" s="128">
        <v>13688.5</v>
      </c>
      <c r="O24" s="14">
        <v>15500</v>
      </c>
      <c r="P24" s="13">
        <v>12541</v>
      </c>
      <c r="Q24" s="14">
        <v>15500</v>
      </c>
      <c r="R24" s="14"/>
      <c r="S24" s="14"/>
    </row>
    <row r="25" spans="1:22" x14ac:dyDescent="0.2">
      <c r="A25" s="779">
        <v>5248</v>
      </c>
      <c r="B25" s="12" t="s">
        <v>905</v>
      </c>
      <c r="C25" s="13"/>
      <c r="D25" s="13">
        <v>455.76</v>
      </c>
      <c r="E25" s="13"/>
      <c r="F25" s="13">
        <v>333.32</v>
      </c>
      <c r="G25" s="13">
        <v>703</v>
      </c>
      <c r="H25" s="13">
        <v>545</v>
      </c>
      <c r="I25" s="128">
        <v>917.23</v>
      </c>
      <c r="J25" s="128">
        <v>400</v>
      </c>
      <c r="K25" s="14">
        <v>700</v>
      </c>
      <c r="L25" s="128">
        <v>2034.57</v>
      </c>
      <c r="M25" s="14">
        <v>700</v>
      </c>
      <c r="N25" s="128"/>
      <c r="O25" s="14">
        <v>700</v>
      </c>
      <c r="P25" s="13">
        <v>341.56</v>
      </c>
      <c r="Q25" s="14">
        <v>700</v>
      </c>
      <c r="R25" s="14"/>
      <c r="S25" s="14"/>
    </row>
    <row r="26" spans="1:22" hidden="1" x14ac:dyDescent="0.2">
      <c r="A26" s="779">
        <v>5341</v>
      </c>
      <c r="B26" s="12" t="s">
        <v>862</v>
      </c>
      <c r="C26" s="13">
        <v>1126.05</v>
      </c>
      <c r="D26" s="13">
        <v>1122.06</v>
      </c>
      <c r="E26" s="13">
        <v>1125.47</v>
      </c>
      <c r="F26" s="13">
        <v>1252.81</v>
      </c>
      <c r="G26" s="13">
        <v>1280.8599999999999</v>
      </c>
      <c r="H26" s="13"/>
      <c r="I26" s="128"/>
      <c r="J26" s="128"/>
      <c r="K26" s="14"/>
      <c r="L26" s="128"/>
      <c r="M26" s="14"/>
      <c r="N26" s="128"/>
      <c r="O26" s="14"/>
      <c r="P26" s="13"/>
      <c r="Q26" s="14"/>
      <c r="R26" s="14"/>
      <c r="S26" s="14"/>
      <c r="V26" s="25"/>
    </row>
    <row r="27" spans="1:22" x14ac:dyDescent="0.2">
      <c r="A27" s="779">
        <v>5341</v>
      </c>
      <c r="B27" s="12" t="s">
        <v>1466</v>
      </c>
      <c r="C27" s="13"/>
      <c r="D27" s="13"/>
      <c r="E27" s="13"/>
      <c r="F27" s="13"/>
      <c r="G27" s="13"/>
      <c r="H27" s="13"/>
      <c r="I27" s="128"/>
      <c r="J27" s="128"/>
      <c r="K27" s="14"/>
      <c r="L27" s="128"/>
      <c r="M27" s="14">
        <v>2460</v>
      </c>
      <c r="N27" s="128">
        <v>2801.4</v>
      </c>
      <c r="O27" s="14">
        <v>4860</v>
      </c>
      <c r="P27" s="13">
        <v>1899.22</v>
      </c>
      <c r="Q27" s="14">
        <v>4860</v>
      </c>
      <c r="R27" s="14"/>
      <c r="S27" s="14"/>
      <c r="V27" s="25"/>
    </row>
    <row r="28" spans="1:22" x14ac:dyDescent="0.2">
      <c r="A28" s="779">
        <v>5344</v>
      </c>
      <c r="B28" s="12" t="s">
        <v>832</v>
      </c>
      <c r="C28" s="13">
        <v>179.19</v>
      </c>
      <c r="D28" s="13">
        <v>88.46</v>
      </c>
      <c r="E28" s="13">
        <v>176.99</v>
      </c>
      <c r="F28" s="13">
        <v>179.51</v>
      </c>
      <c r="G28" s="13">
        <v>213.48</v>
      </c>
      <c r="H28" s="13">
        <v>184.31</v>
      </c>
      <c r="I28" s="128">
        <v>216.19</v>
      </c>
      <c r="J28" s="128">
        <v>317.29000000000002</v>
      </c>
      <c r="K28" s="14">
        <v>200</v>
      </c>
      <c r="L28" s="128">
        <v>243.25</v>
      </c>
      <c r="M28" s="14">
        <v>200</v>
      </c>
      <c r="N28" s="128">
        <v>87.84</v>
      </c>
      <c r="O28" s="14">
        <v>500</v>
      </c>
      <c r="P28" s="13">
        <v>42.77</v>
      </c>
      <c r="Q28" s="14">
        <v>500</v>
      </c>
      <c r="R28" s="14"/>
      <c r="S28" s="14"/>
      <c r="V28" s="25"/>
    </row>
    <row r="29" spans="1:22" x14ac:dyDescent="0.2">
      <c r="A29" s="779">
        <v>5345</v>
      </c>
      <c r="B29" s="12" t="s">
        <v>863</v>
      </c>
      <c r="C29" s="13">
        <v>122.62</v>
      </c>
      <c r="D29" s="13">
        <v>321.16000000000003</v>
      </c>
      <c r="E29" s="13"/>
      <c r="F29" s="13">
        <v>138.38</v>
      </c>
      <c r="G29" s="13">
        <v>50</v>
      </c>
      <c r="H29" s="13">
        <v>234.93</v>
      </c>
      <c r="I29" s="128">
        <v>256.62</v>
      </c>
      <c r="J29" s="128">
        <v>66.09</v>
      </c>
      <c r="K29" s="14">
        <v>200</v>
      </c>
      <c r="L29" s="128">
        <v>288.5</v>
      </c>
      <c r="M29" s="14">
        <v>200</v>
      </c>
      <c r="N29" s="128">
        <v>989.35</v>
      </c>
      <c r="O29" s="14">
        <v>500</v>
      </c>
      <c r="P29" s="13">
        <v>163</v>
      </c>
      <c r="Q29" s="14">
        <v>200</v>
      </c>
      <c r="R29" s="14"/>
      <c r="S29" s="14"/>
      <c r="V29" s="25"/>
    </row>
    <row r="30" spans="1:22" x14ac:dyDescent="0.2">
      <c r="A30" s="779">
        <v>5350</v>
      </c>
      <c r="B30" s="12" t="s">
        <v>1467</v>
      </c>
      <c r="C30" s="94">
        <v>1000</v>
      </c>
      <c r="D30" s="94">
        <v>6050</v>
      </c>
      <c r="E30" s="94">
        <v>5055</v>
      </c>
      <c r="F30" s="94">
        <v>5650</v>
      </c>
      <c r="G30" s="94">
        <v>5290</v>
      </c>
      <c r="H30" s="13">
        <v>6025</v>
      </c>
      <c r="I30" s="265">
        <v>6815</v>
      </c>
      <c r="J30" s="265">
        <v>6655</v>
      </c>
      <c r="K30" s="32">
        <v>6000</v>
      </c>
      <c r="L30" s="265">
        <v>3790</v>
      </c>
      <c r="M30" s="32">
        <v>6000</v>
      </c>
      <c r="N30" s="265">
        <v>5972.66</v>
      </c>
      <c r="O30" s="32">
        <v>7500</v>
      </c>
      <c r="P30" s="94">
        <v>2301.46</v>
      </c>
      <c r="Q30" s="32">
        <v>7500</v>
      </c>
      <c r="R30" s="32"/>
      <c r="S30" s="14"/>
      <c r="V30" s="2"/>
    </row>
    <row r="31" spans="1:22" x14ac:dyDescent="0.2">
      <c r="A31" s="779">
        <v>5360</v>
      </c>
      <c r="B31" s="12" t="s">
        <v>1468</v>
      </c>
      <c r="C31" s="94"/>
      <c r="D31" s="94"/>
      <c r="E31" s="94"/>
      <c r="F31" s="94"/>
      <c r="G31" s="94"/>
      <c r="H31" s="94"/>
      <c r="I31" s="265">
        <v>1650</v>
      </c>
      <c r="J31" s="265">
        <v>1166</v>
      </c>
      <c r="K31" s="32">
        <v>1775</v>
      </c>
      <c r="L31" s="265">
        <v>1441</v>
      </c>
      <c r="M31" s="32">
        <v>1775</v>
      </c>
      <c r="N31" s="265">
        <v>1716</v>
      </c>
      <c r="O31" s="32">
        <v>1775</v>
      </c>
      <c r="P31" s="94">
        <v>583.20000000000005</v>
      </c>
      <c r="Q31" s="32">
        <v>1775</v>
      </c>
      <c r="R31" s="32"/>
      <c r="S31" s="14"/>
      <c r="V31" s="2"/>
    </row>
    <row r="32" spans="1:22" x14ac:dyDescent="0.2">
      <c r="A32" s="779">
        <v>5380</v>
      </c>
      <c r="B32" s="12" t="s">
        <v>1469</v>
      </c>
      <c r="C32" s="13">
        <v>100</v>
      </c>
      <c r="D32" s="13">
        <v>106</v>
      </c>
      <c r="E32" s="13">
        <v>112</v>
      </c>
      <c r="F32" s="13">
        <v>114</v>
      </c>
      <c r="G32" s="13">
        <v>110</v>
      </c>
      <c r="H32" s="13">
        <v>116</v>
      </c>
      <c r="I32" s="128">
        <v>116</v>
      </c>
      <c r="J32" s="128">
        <v>60</v>
      </c>
      <c r="K32" s="14">
        <v>116</v>
      </c>
      <c r="L32" s="128"/>
      <c r="M32" s="14">
        <v>116</v>
      </c>
      <c r="N32" s="128"/>
      <c r="O32" s="14">
        <v>116</v>
      </c>
      <c r="P32" s="13"/>
      <c r="Q32" s="14"/>
      <c r="R32" s="14"/>
      <c r="S32" s="14"/>
    </row>
    <row r="33" spans="1:22" x14ac:dyDescent="0.2">
      <c r="A33" s="779">
        <v>5420</v>
      </c>
      <c r="B33" s="12" t="s">
        <v>864</v>
      </c>
      <c r="C33" s="18">
        <v>3279.66</v>
      </c>
      <c r="D33" s="18">
        <v>6687.37</v>
      </c>
      <c r="E33" s="18">
        <v>3415.71</v>
      </c>
      <c r="F33" s="18">
        <v>5197</v>
      </c>
      <c r="G33" s="18">
        <v>5791.64</v>
      </c>
      <c r="H33" s="18">
        <v>5671.04</v>
      </c>
      <c r="I33" s="112">
        <v>9037.44</v>
      </c>
      <c r="J33" s="112">
        <v>8947.49</v>
      </c>
      <c r="K33" s="19">
        <v>6000</v>
      </c>
      <c r="L33" s="112">
        <v>13368.25</v>
      </c>
      <c r="M33" s="19">
        <v>6000</v>
      </c>
      <c r="N33" s="112">
        <v>8558.24</v>
      </c>
      <c r="O33" s="19">
        <v>7000</v>
      </c>
      <c r="P33" s="18">
        <v>2084.5500000000002</v>
      </c>
      <c r="Q33" s="19">
        <v>7000</v>
      </c>
      <c r="R33" s="19"/>
      <c r="S33" s="19"/>
    </row>
    <row r="34" spans="1:22" x14ac:dyDescent="0.2">
      <c r="A34" s="779">
        <v>5580</v>
      </c>
      <c r="B34" s="12" t="s">
        <v>1169</v>
      </c>
      <c r="C34" s="13">
        <v>1205.0999999999999</v>
      </c>
      <c r="D34" s="13">
        <v>1212.29</v>
      </c>
      <c r="E34" s="13">
        <v>1200</v>
      </c>
      <c r="F34" s="13">
        <v>1396.61</v>
      </c>
      <c r="G34" s="13">
        <v>1434.13</v>
      </c>
      <c r="H34" s="13">
        <v>1706.55</v>
      </c>
      <c r="I34" s="128">
        <v>2931.51</v>
      </c>
      <c r="J34" s="128">
        <v>1659.73</v>
      </c>
      <c r="K34" s="14">
        <v>1600</v>
      </c>
      <c r="L34" s="128">
        <v>5052.8500000000004</v>
      </c>
      <c r="M34" s="14">
        <v>1600</v>
      </c>
      <c r="N34" s="128">
        <v>2466.19</v>
      </c>
      <c r="O34" s="14">
        <v>1600</v>
      </c>
      <c r="P34" s="13">
        <v>1503.08</v>
      </c>
      <c r="Q34" s="14">
        <v>1600</v>
      </c>
      <c r="R34" s="14"/>
      <c r="S34" s="14"/>
    </row>
    <row r="35" spans="1:22" x14ac:dyDescent="0.2">
      <c r="A35" s="779">
        <v>5581</v>
      </c>
      <c r="B35" s="12" t="s">
        <v>866</v>
      </c>
      <c r="C35" s="13">
        <v>31287.93</v>
      </c>
      <c r="D35" s="13">
        <v>35475.230000000003</v>
      </c>
      <c r="E35" s="13">
        <v>37931.71</v>
      </c>
      <c r="F35" s="13">
        <v>39707.629999999997</v>
      </c>
      <c r="G35" s="13">
        <v>47074.11</v>
      </c>
      <c r="H35" s="13">
        <v>50317.24</v>
      </c>
      <c r="I35" s="128">
        <v>54607.29</v>
      </c>
      <c r="J35" s="128">
        <v>56273.09</v>
      </c>
      <c r="K35" s="14">
        <v>48800</v>
      </c>
      <c r="L35" s="128">
        <v>53497.66</v>
      </c>
      <c r="M35" s="14">
        <v>48800</v>
      </c>
      <c r="N35" s="128">
        <v>47675.360000000001</v>
      </c>
      <c r="O35" s="14">
        <v>49000</v>
      </c>
      <c r="P35" s="13">
        <v>24791.89</v>
      </c>
      <c r="Q35" s="14">
        <v>49000</v>
      </c>
      <c r="R35" s="14"/>
      <c r="S35" s="14"/>
    </row>
    <row r="36" spans="1:22" x14ac:dyDescent="0.2">
      <c r="A36" s="779">
        <v>5585</v>
      </c>
      <c r="B36" s="12" t="s">
        <v>2187</v>
      </c>
      <c r="C36" s="13"/>
      <c r="D36" s="13"/>
      <c r="E36" s="13"/>
      <c r="F36" s="13"/>
      <c r="G36" s="13"/>
      <c r="H36" s="13"/>
      <c r="I36" s="128"/>
      <c r="J36" s="128"/>
      <c r="K36" s="14"/>
      <c r="L36" s="128"/>
      <c r="M36" s="14"/>
      <c r="N36" s="128"/>
      <c r="O36" s="14"/>
      <c r="P36" s="13">
        <v>336.84</v>
      </c>
      <c r="Q36" s="14">
        <v>5000</v>
      </c>
      <c r="R36" s="14"/>
      <c r="S36" s="14"/>
    </row>
    <row r="37" spans="1:22" x14ac:dyDescent="0.2">
      <c r="A37" s="779">
        <v>5587</v>
      </c>
      <c r="B37" s="12" t="s">
        <v>1470</v>
      </c>
      <c r="C37" s="13">
        <v>26171.85</v>
      </c>
      <c r="D37" s="13">
        <v>26921.83</v>
      </c>
      <c r="E37" s="13">
        <v>29068.29</v>
      </c>
      <c r="F37" s="13">
        <v>33945.919999999998</v>
      </c>
      <c r="G37" s="13">
        <v>31235.09</v>
      </c>
      <c r="H37" s="13">
        <v>32881.35</v>
      </c>
      <c r="I37" s="128">
        <v>35090.83</v>
      </c>
      <c r="J37" s="128">
        <v>31435.41</v>
      </c>
      <c r="K37" s="14">
        <v>37800</v>
      </c>
      <c r="L37" s="128">
        <v>29396.58</v>
      </c>
      <c r="M37" s="14">
        <v>37800</v>
      </c>
      <c r="N37" s="128">
        <v>31776.31</v>
      </c>
      <c r="O37" s="14">
        <v>38000</v>
      </c>
      <c r="P37" s="13">
        <v>10102.040000000001</v>
      </c>
      <c r="Q37" s="14">
        <v>33000</v>
      </c>
      <c r="R37" s="14"/>
      <c r="S37" s="14"/>
    </row>
    <row r="38" spans="1:22" x14ac:dyDescent="0.2">
      <c r="A38" s="779">
        <v>5590</v>
      </c>
      <c r="B38" s="4" t="s">
        <v>1062</v>
      </c>
      <c r="C38" s="13">
        <v>839.2</v>
      </c>
      <c r="D38" s="13">
        <v>424.94</v>
      </c>
      <c r="E38" s="13">
        <v>64.989999999999995</v>
      </c>
      <c r="F38" s="13">
        <v>837.33</v>
      </c>
      <c r="G38" s="13"/>
      <c r="H38" s="13">
        <v>762.11</v>
      </c>
      <c r="I38" s="128">
        <v>2266.85</v>
      </c>
      <c r="J38" s="128">
        <v>38.69</v>
      </c>
      <c r="K38" s="14">
        <v>1000</v>
      </c>
      <c r="L38" s="128">
        <v>4465.55</v>
      </c>
      <c r="M38" s="14">
        <v>1000</v>
      </c>
      <c r="N38" s="128">
        <v>692.26</v>
      </c>
      <c r="O38" s="14">
        <v>1000</v>
      </c>
      <c r="P38" s="13"/>
      <c r="Q38" s="14">
        <v>1000</v>
      </c>
      <c r="R38" s="14"/>
      <c r="S38" s="14"/>
    </row>
    <row r="39" spans="1:22" x14ac:dyDescent="0.2">
      <c r="A39" s="779">
        <v>5710</v>
      </c>
      <c r="B39" s="12" t="s">
        <v>869</v>
      </c>
      <c r="C39" s="18">
        <v>1628.73</v>
      </c>
      <c r="D39" s="18">
        <v>1042.58</v>
      </c>
      <c r="E39" s="18">
        <v>790.05</v>
      </c>
      <c r="F39" s="18">
        <v>1440.67</v>
      </c>
      <c r="G39" s="18">
        <v>1047.8499999999999</v>
      </c>
      <c r="H39" s="18">
        <v>1446.34</v>
      </c>
      <c r="I39" s="112">
        <v>1229.06</v>
      </c>
      <c r="J39" s="112">
        <v>947.19</v>
      </c>
      <c r="K39" s="19">
        <v>1400</v>
      </c>
      <c r="L39" s="112">
        <v>797.72</v>
      </c>
      <c r="M39" s="19">
        <v>1400</v>
      </c>
      <c r="N39" s="112">
        <v>1135.03</v>
      </c>
      <c r="O39" s="19">
        <v>1400</v>
      </c>
      <c r="P39" s="18">
        <v>162.22</v>
      </c>
      <c r="Q39" s="19">
        <v>1400</v>
      </c>
      <c r="R39" s="19"/>
      <c r="S39" s="19"/>
    </row>
    <row r="40" spans="1:22" ht="13.5" thickBot="1" x14ac:dyDescent="0.25">
      <c r="A40" s="779">
        <v>5730</v>
      </c>
      <c r="B40" s="12" t="s">
        <v>870</v>
      </c>
      <c r="C40" s="15"/>
      <c r="D40" s="15">
        <v>40</v>
      </c>
      <c r="E40" s="15"/>
      <c r="F40" s="15">
        <v>100</v>
      </c>
      <c r="G40" s="15">
        <v>104</v>
      </c>
      <c r="H40" s="15"/>
      <c r="I40" s="270"/>
      <c r="J40" s="270"/>
      <c r="K40" s="16">
        <v>100</v>
      </c>
      <c r="L40" s="270"/>
      <c r="M40" s="16">
        <v>100</v>
      </c>
      <c r="N40" s="270">
        <v>50</v>
      </c>
      <c r="O40" s="16">
        <v>100</v>
      </c>
      <c r="P40" s="15"/>
      <c r="Q40" s="16">
        <v>100</v>
      </c>
      <c r="R40" s="16"/>
      <c r="S40" s="16"/>
    </row>
    <row r="41" spans="1:22" x14ac:dyDescent="0.2">
      <c r="A41" s="779"/>
      <c r="B41" s="17" t="s">
        <v>838</v>
      </c>
      <c r="C41" s="13">
        <f t="shared" ref="C41:S41" si="2">SUM(C18:C40)</f>
        <v>95210.00999999998</v>
      </c>
      <c r="D41" s="13">
        <f t="shared" si="2"/>
        <v>112382.71000000002</v>
      </c>
      <c r="E41" s="13">
        <f t="shared" si="2"/>
        <v>109409.83000000002</v>
      </c>
      <c r="F41" s="18">
        <f t="shared" si="2"/>
        <v>116659.46</v>
      </c>
      <c r="G41" s="18">
        <f t="shared" si="2"/>
        <v>119185.88</v>
      </c>
      <c r="H41" s="18">
        <f t="shared" si="2"/>
        <v>129012.81000000001</v>
      </c>
      <c r="I41" s="18">
        <f t="shared" si="2"/>
        <v>148354.71000000002</v>
      </c>
      <c r="J41" s="18">
        <f t="shared" si="2"/>
        <v>138604.34</v>
      </c>
      <c r="K41" s="19">
        <f t="shared" si="2"/>
        <v>141106</v>
      </c>
      <c r="L41" s="112">
        <f t="shared" ref="L41:O41" si="3">SUM(L18:L40)</f>
        <v>144886.73000000001</v>
      </c>
      <c r="M41" s="19">
        <f t="shared" si="3"/>
        <v>143566</v>
      </c>
      <c r="N41" s="112">
        <f t="shared" ref="N41" si="4">SUM(N18:N40)</f>
        <v>136116.04999999999</v>
      </c>
      <c r="O41" s="19">
        <f t="shared" si="3"/>
        <v>157966</v>
      </c>
      <c r="P41" s="13">
        <f t="shared" si="2"/>
        <v>64060.840000000004</v>
      </c>
      <c r="Q41" s="19">
        <f t="shared" si="2"/>
        <v>163600</v>
      </c>
      <c r="R41" s="19"/>
      <c r="S41" s="19">
        <f t="shared" si="2"/>
        <v>0</v>
      </c>
    </row>
    <row r="42" spans="1:22" x14ac:dyDescent="0.2">
      <c r="A42" s="779"/>
      <c r="B42" s="17"/>
      <c r="C42" s="13"/>
      <c r="D42" s="13"/>
      <c r="E42" s="13"/>
      <c r="F42" s="13"/>
      <c r="G42" s="13"/>
      <c r="H42" s="13"/>
      <c r="I42" s="13"/>
      <c r="J42" s="13"/>
      <c r="K42" s="14"/>
      <c r="L42" s="13"/>
      <c r="M42" s="14"/>
      <c r="N42" s="13"/>
      <c r="O42" s="14"/>
      <c r="P42" s="13"/>
      <c r="Q42" s="14"/>
      <c r="R42" s="14"/>
      <c r="S42" s="14"/>
    </row>
    <row r="43" spans="1:22" ht="13.5" hidden="1" thickBot="1" x14ac:dyDescent="0.25">
      <c r="A43" s="808">
        <v>5800</v>
      </c>
      <c r="B43" s="60" t="s">
        <v>1417</v>
      </c>
      <c r="C43" s="15"/>
      <c r="D43" s="15"/>
      <c r="E43" s="15"/>
      <c r="F43" s="15"/>
      <c r="G43" s="15"/>
      <c r="H43" s="15"/>
      <c r="I43" s="15"/>
      <c r="J43" s="15"/>
      <c r="K43" s="41"/>
      <c r="L43" s="15"/>
      <c r="M43" s="41"/>
      <c r="N43" s="15"/>
      <c r="O43" s="41"/>
      <c r="P43" s="16"/>
      <c r="Q43" s="41"/>
      <c r="R43" s="41"/>
      <c r="S43" s="41"/>
    </row>
    <row r="44" spans="1:22" hidden="1" x14ac:dyDescent="0.2">
      <c r="A44" s="808"/>
      <c r="B44" s="108" t="s">
        <v>952</v>
      </c>
      <c r="C44" s="28">
        <f t="shared" ref="C44:P44" si="5">+C43</f>
        <v>0</v>
      </c>
      <c r="D44" s="28">
        <f t="shared" si="5"/>
        <v>0</v>
      </c>
      <c r="E44" s="28">
        <f>+E43</f>
        <v>0</v>
      </c>
      <c r="F44" s="28"/>
      <c r="G44" s="28"/>
      <c r="H44" s="28"/>
      <c r="I44" s="28">
        <f>+I43</f>
        <v>0</v>
      </c>
      <c r="J44" s="28">
        <f>+J43</f>
        <v>0</v>
      </c>
      <c r="K44" s="29">
        <f>+K43</f>
        <v>0</v>
      </c>
      <c r="L44" s="28">
        <f t="shared" ref="L44:O44" si="6">+L43</f>
        <v>0</v>
      </c>
      <c r="M44" s="29">
        <f t="shared" si="6"/>
        <v>0</v>
      </c>
      <c r="N44" s="28">
        <f t="shared" ref="N44" si="7">+N43</f>
        <v>0</v>
      </c>
      <c r="O44" s="29">
        <f t="shared" si="6"/>
        <v>0</v>
      </c>
      <c r="P44" s="28">
        <f t="shared" si="5"/>
        <v>0</v>
      </c>
      <c r="Q44" s="29">
        <f>+Q43</f>
        <v>0</v>
      </c>
      <c r="R44" s="29"/>
      <c r="S44" s="29">
        <f>+S43</f>
        <v>0</v>
      </c>
    </row>
    <row r="45" spans="1:22" hidden="1" x14ac:dyDescent="0.2">
      <c r="A45" s="808"/>
      <c r="B45" s="108"/>
      <c r="C45" s="35"/>
      <c r="D45" s="35"/>
      <c r="E45" s="35"/>
      <c r="F45" s="35"/>
      <c r="G45" s="35"/>
      <c r="H45" s="35"/>
      <c r="I45" s="35"/>
      <c r="J45" s="35"/>
      <c r="K45" s="36"/>
      <c r="L45" s="35"/>
      <c r="M45" s="36"/>
      <c r="N45" s="35"/>
      <c r="O45" s="36"/>
      <c r="P45" s="35"/>
      <c r="Q45" s="36"/>
      <c r="R45" s="36"/>
      <c r="S45" s="36"/>
    </row>
    <row r="46" spans="1:22" ht="13.5" thickBot="1" x14ac:dyDescent="0.25">
      <c r="A46" s="780"/>
      <c r="B46" s="20" t="s">
        <v>1471</v>
      </c>
      <c r="C46" s="21">
        <f>+C41+C16+C44</f>
        <v>303901</v>
      </c>
      <c r="D46" s="21">
        <f>+D41+D16+D44</f>
        <v>325233</v>
      </c>
      <c r="E46" s="21">
        <f>+E41+E16+E44</f>
        <v>337643</v>
      </c>
      <c r="F46" s="21">
        <f>+F41+F16</f>
        <v>351149.00000000006</v>
      </c>
      <c r="G46" s="21">
        <f>+G41+G16</f>
        <v>364970</v>
      </c>
      <c r="H46" s="21">
        <f>+H41+H16</f>
        <v>386328.00000000006</v>
      </c>
      <c r="I46" s="21">
        <f>+I41+I16+I44</f>
        <v>401962</v>
      </c>
      <c r="J46" s="21">
        <f>+J41+J16+J44</f>
        <v>411071</v>
      </c>
      <c r="K46" s="39">
        <f>+K41+K16+K44</f>
        <v>426950</v>
      </c>
      <c r="L46" s="21">
        <f t="shared" ref="L46:O46" si="8">+L41+L16+L44</f>
        <v>426453.92999999993</v>
      </c>
      <c r="M46" s="39">
        <f t="shared" si="8"/>
        <v>437744</v>
      </c>
      <c r="N46" s="21">
        <f t="shared" ref="N46" si="9">+N41+N16+N44</f>
        <v>446390.26999999996</v>
      </c>
      <c r="O46" s="39">
        <f t="shared" si="8"/>
        <v>465607</v>
      </c>
      <c r="P46" s="21">
        <f>+P41+P16+P44</f>
        <v>213604</v>
      </c>
      <c r="Q46" s="39">
        <f>+Q41+Q16+Q44</f>
        <v>503336</v>
      </c>
      <c r="R46" s="39">
        <f>+Q46</f>
        <v>503336</v>
      </c>
      <c r="S46" s="39">
        <f>+Q46</f>
        <v>503336</v>
      </c>
    </row>
    <row r="47" spans="1:22" ht="13.5" thickTop="1" x14ac:dyDescent="0.2">
      <c r="A47" s="774"/>
      <c r="B47" s="74"/>
      <c r="C47" s="24"/>
      <c r="D47" s="24"/>
      <c r="E47" s="24"/>
      <c r="F47" s="24"/>
      <c r="G47" s="24"/>
      <c r="H47" s="24"/>
      <c r="I47" s="206"/>
      <c r="J47" s="206"/>
      <c r="K47" s="206"/>
      <c r="L47" s="206"/>
      <c r="M47" s="206"/>
      <c r="N47" s="206"/>
      <c r="O47" s="206"/>
      <c r="P47" s="199" t="s">
        <v>843</v>
      </c>
      <c r="Q47" s="1116">
        <f>+Q46-O46</f>
        <v>37729</v>
      </c>
      <c r="R47" s="1117">
        <f>ROUND((+Q47/O46),4)</f>
        <v>8.1000000000000003E-2</v>
      </c>
      <c r="S47" s="206"/>
    </row>
    <row r="48" spans="1:22" ht="15.75" x14ac:dyDescent="0.25">
      <c r="A48" s="774"/>
      <c r="B48" s="4"/>
      <c r="C48" s="23"/>
      <c r="D48" s="23"/>
      <c r="E48" s="23"/>
      <c r="F48" s="23"/>
      <c r="G48" s="23"/>
      <c r="H48" s="23"/>
      <c r="I48" s="23"/>
      <c r="J48" s="23"/>
      <c r="K48" s="23"/>
      <c r="L48" s="23"/>
      <c r="M48" s="23"/>
      <c r="N48" s="23"/>
      <c r="O48" s="23"/>
      <c r="P48" s="25"/>
      <c r="Q48" s="23"/>
      <c r="R48" s="23"/>
      <c r="S48" s="23"/>
      <c r="T48" s="25"/>
      <c r="U48" s="201"/>
      <c r="V48" s="25"/>
    </row>
    <row r="49" spans="1:22" x14ac:dyDescent="0.2">
      <c r="A49" s="774"/>
      <c r="B49" s="4"/>
      <c r="C49" s="23"/>
      <c r="D49" s="23"/>
      <c r="E49" s="23"/>
      <c r="F49" s="23"/>
      <c r="G49" s="23"/>
      <c r="H49" s="23"/>
      <c r="I49" s="23"/>
      <c r="J49" s="23"/>
      <c r="K49" s="23"/>
      <c r="L49" s="23"/>
      <c r="M49" s="23"/>
      <c r="N49" s="23"/>
      <c r="O49" s="23"/>
      <c r="P49" s="25"/>
      <c r="Q49" s="23"/>
      <c r="R49" s="23"/>
      <c r="S49" s="25"/>
      <c r="T49" s="25"/>
      <c r="U49" s="25"/>
      <c r="V49" s="25"/>
    </row>
    <row r="50" spans="1:22" x14ac:dyDescent="0.2">
      <c r="A50" s="774" t="s">
        <v>911</v>
      </c>
      <c r="B50" s="4"/>
      <c r="D50" s="212"/>
      <c r="E50" s="212"/>
      <c r="F50" s="212"/>
      <c r="G50" s="212"/>
      <c r="H50" s="212"/>
      <c r="I50" s="212"/>
      <c r="J50" s="212"/>
      <c r="K50" s="212"/>
      <c r="L50" s="212"/>
      <c r="M50" s="212"/>
      <c r="N50" s="212"/>
      <c r="O50" s="212"/>
    </row>
    <row r="51" spans="1:22" x14ac:dyDescent="0.2">
      <c r="A51" s="774"/>
      <c r="B51" s="4"/>
      <c r="D51" s="212"/>
      <c r="E51" s="212"/>
      <c r="F51" s="212"/>
      <c r="G51" s="212"/>
      <c r="H51" s="212"/>
      <c r="I51" s="212"/>
      <c r="J51" s="212"/>
      <c r="K51" s="212"/>
      <c r="L51" s="212"/>
      <c r="M51" s="212"/>
      <c r="N51" s="212"/>
      <c r="O51" s="212"/>
    </row>
    <row r="52" spans="1:22" ht="13.5" thickBot="1" x14ac:dyDescent="0.25">
      <c r="A52" s="774"/>
      <c r="B52" s="4"/>
      <c r="D52" s="212"/>
      <c r="E52" s="212"/>
      <c r="F52" s="212"/>
      <c r="G52" s="212"/>
      <c r="H52" s="212"/>
      <c r="I52" s="212"/>
      <c r="J52" s="212"/>
      <c r="K52" s="212"/>
      <c r="L52" s="212"/>
      <c r="M52" s="212"/>
      <c r="N52" s="212"/>
      <c r="O52" s="212"/>
    </row>
    <row r="53" spans="1:22" ht="13.5" thickTop="1" x14ac:dyDescent="0.2">
      <c r="A53" s="781" t="s">
        <v>872</v>
      </c>
      <c r="B53" s="99"/>
      <c r="D53" s="212"/>
      <c r="E53" s="212"/>
      <c r="F53" s="212"/>
      <c r="G53" s="212"/>
      <c r="H53" s="212"/>
      <c r="I53" s="212"/>
      <c r="J53" s="212"/>
      <c r="K53" s="212"/>
      <c r="L53" s="212"/>
      <c r="M53" s="269" t="s">
        <v>873</v>
      </c>
      <c r="N53" s="138" t="s">
        <v>874</v>
      </c>
      <c r="O53" s="150"/>
      <c r="P53" s="140" t="s">
        <v>875</v>
      </c>
      <c r="Q53"/>
      <c r="R53" s="205" t="s">
        <v>876</v>
      </c>
      <c r="S53" s="205" t="s">
        <v>27</v>
      </c>
    </row>
    <row r="54" spans="1:22" ht="13.5" thickBot="1" x14ac:dyDescent="0.25">
      <c r="A54" s="782" t="s">
        <v>877</v>
      </c>
      <c r="B54" s="101" t="s">
        <v>878</v>
      </c>
      <c r="D54" s="212"/>
      <c r="E54" s="212"/>
      <c r="F54" s="212"/>
      <c r="G54" s="212"/>
      <c r="H54" s="212"/>
      <c r="I54" s="212"/>
      <c r="J54" s="212"/>
      <c r="K54" s="212"/>
      <c r="L54" s="212"/>
      <c r="M54" s="287">
        <v>45108</v>
      </c>
      <c r="N54" s="141" t="s">
        <v>879</v>
      </c>
      <c r="O54" s="142" t="s">
        <v>1175</v>
      </c>
      <c r="P54" s="142" t="s">
        <v>881</v>
      </c>
      <c r="Q54" s="107" t="s">
        <v>882</v>
      </c>
      <c r="R54" s="107" t="s">
        <v>571</v>
      </c>
      <c r="S54" s="1086"/>
    </row>
    <row r="55" spans="1:22" ht="13.5" thickTop="1" x14ac:dyDescent="0.2">
      <c r="A55" s="903">
        <v>44487</v>
      </c>
      <c r="B55" s="102" t="s">
        <v>1472</v>
      </c>
      <c r="D55" s="212"/>
      <c r="E55" s="212"/>
      <c r="F55" s="212"/>
      <c r="G55" s="212"/>
      <c r="H55" s="212"/>
      <c r="I55" s="212"/>
      <c r="J55" s="212"/>
      <c r="K55" s="212"/>
      <c r="L55" s="212"/>
      <c r="M55" s="18" t="s">
        <v>915</v>
      </c>
      <c r="N55" s="18"/>
      <c r="O55" s="151"/>
      <c r="P55" s="137">
        <f>+'NAGE &amp; Non-Union Wages'!L10</f>
        <v>80384</v>
      </c>
      <c r="Q55" s="153"/>
      <c r="R55" s="2"/>
      <c r="S55" s="612"/>
    </row>
    <row r="56" spans="1:22" x14ac:dyDescent="0.2">
      <c r="A56" s="903">
        <v>41722</v>
      </c>
      <c r="B56" s="60" t="s">
        <v>1473</v>
      </c>
      <c r="D56" s="212"/>
      <c r="E56" s="212"/>
      <c r="F56" s="212"/>
      <c r="G56" s="212"/>
      <c r="H56" s="212"/>
      <c r="I56" s="212"/>
      <c r="J56" s="212"/>
      <c r="K56" s="212"/>
      <c r="L56" s="212"/>
      <c r="M56" s="128" t="s">
        <v>889</v>
      </c>
      <c r="N56" s="13">
        <f>+'NAGE &amp; Non-Union Wages'!L8</f>
        <v>30.02</v>
      </c>
      <c r="O56" s="14">
        <f>+'To Do and Changes'!$E$21</f>
        <v>1820</v>
      </c>
      <c r="P56" s="137">
        <f>ROUND((+O56*N56),2)</f>
        <v>54636.4</v>
      </c>
      <c r="Q56" s="153">
        <v>41722</v>
      </c>
      <c r="R56" s="2">
        <v>10</v>
      </c>
      <c r="S56" s="612">
        <v>500</v>
      </c>
    </row>
    <row r="57" spans="1:22" x14ac:dyDescent="0.2">
      <c r="A57" s="903"/>
      <c r="B57" s="60" t="s">
        <v>1474</v>
      </c>
      <c r="D57" s="212"/>
      <c r="E57" s="212"/>
      <c r="F57" s="212"/>
      <c r="G57" s="212"/>
      <c r="H57" s="212"/>
      <c r="I57" s="212"/>
      <c r="J57" s="212"/>
      <c r="K57" s="212"/>
      <c r="L57" s="212"/>
      <c r="M57" s="1064"/>
      <c r="N57" s="13"/>
      <c r="O57" s="14"/>
      <c r="P57" s="137">
        <v>3500</v>
      </c>
      <c r="Q57" s="153"/>
      <c r="R57" s="2"/>
      <c r="S57" s="612"/>
    </row>
    <row r="58" spans="1:22" x14ac:dyDescent="0.2">
      <c r="A58" s="903">
        <v>41849</v>
      </c>
      <c r="B58" s="60" t="s">
        <v>1475</v>
      </c>
      <c r="D58" s="212"/>
      <c r="E58" s="212"/>
      <c r="F58" s="212"/>
      <c r="G58" s="212"/>
      <c r="H58" s="212"/>
      <c r="I58" s="212"/>
      <c r="J58" s="212"/>
      <c r="K58" s="212"/>
      <c r="L58" s="212"/>
      <c r="M58" s="13" t="s">
        <v>1476</v>
      </c>
      <c r="N58" s="136">
        <f>+'NAGE &amp; Non-Union Wages'!I5</f>
        <v>22.23</v>
      </c>
      <c r="O58" s="14">
        <f>+'To Do and Changes'!$E$21</f>
        <v>1820</v>
      </c>
      <c r="P58" s="137">
        <f t="shared" ref="P58:P69" si="10">ROUND((+O58*N58),2)</f>
        <v>40458.6</v>
      </c>
      <c r="Q58" s="153">
        <v>41849</v>
      </c>
      <c r="R58" s="2">
        <v>9</v>
      </c>
      <c r="S58" s="612">
        <v>300</v>
      </c>
    </row>
    <row r="59" spans="1:22" x14ac:dyDescent="0.2">
      <c r="A59" s="903">
        <v>44817</v>
      </c>
      <c r="B59" s="60" t="s">
        <v>2177</v>
      </c>
      <c r="D59" s="212"/>
      <c r="E59" s="212"/>
      <c r="F59" s="212"/>
      <c r="G59" s="212"/>
      <c r="H59" s="212"/>
      <c r="I59" s="212"/>
      <c r="J59" s="212"/>
      <c r="K59" s="212"/>
      <c r="L59" s="212"/>
      <c r="M59" s="13" t="s">
        <v>1477</v>
      </c>
      <c r="N59" s="13">
        <f>+'NAGE &amp; Non-Union Wages'!D4</f>
        <v>16.75</v>
      </c>
      <c r="O59" s="14">
        <v>637</v>
      </c>
      <c r="P59" s="137">
        <f t="shared" si="10"/>
        <v>10669.75</v>
      </c>
      <c r="Q59" s="153">
        <v>44118</v>
      </c>
      <c r="R59" s="2">
        <v>2</v>
      </c>
      <c r="S59" s="944"/>
    </row>
    <row r="60" spans="1:22" x14ac:dyDescent="0.2">
      <c r="A60" s="903">
        <v>43223</v>
      </c>
      <c r="B60" s="60" t="s">
        <v>2178</v>
      </c>
      <c r="D60" s="212"/>
      <c r="E60" s="212"/>
      <c r="F60" s="212"/>
      <c r="G60" s="212"/>
      <c r="H60" s="212"/>
      <c r="I60" s="212"/>
      <c r="J60" s="212"/>
      <c r="K60" s="212"/>
      <c r="L60" s="212"/>
      <c r="M60" s="13" t="s">
        <v>1478</v>
      </c>
      <c r="N60" s="13">
        <f>+'NAGE &amp; Non-Union Wages'!G4</f>
        <v>18.04</v>
      </c>
      <c r="O60" s="14">
        <v>1367</v>
      </c>
      <c r="P60" s="137">
        <f t="shared" si="10"/>
        <v>24660.68</v>
      </c>
      <c r="Q60" s="153">
        <v>43223</v>
      </c>
      <c r="R60" s="2">
        <v>7</v>
      </c>
      <c r="S60" s="944">
        <v>300</v>
      </c>
    </row>
    <row r="61" spans="1:22" x14ac:dyDescent="0.2">
      <c r="A61" s="903">
        <v>39335</v>
      </c>
      <c r="B61" s="60" t="s">
        <v>2179</v>
      </c>
      <c r="D61" s="212"/>
      <c r="E61" s="212"/>
      <c r="F61" s="212"/>
      <c r="G61" s="212"/>
      <c r="H61" s="212"/>
      <c r="I61" s="212"/>
      <c r="J61" s="212"/>
      <c r="K61" s="212"/>
      <c r="L61" s="212"/>
      <c r="M61" s="13" t="s">
        <v>1333</v>
      </c>
      <c r="N61" s="13">
        <f>+'NAGE &amp; Non-Union Wages'!L4</f>
        <v>20.12</v>
      </c>
      <c r="O61" s="14">
        <v>483</v>
      </c>
      <c r="P61" s="137">
        <f t="shared" si="10"/>
        <v>9717.9599999999991</v>
      </c>
      <c r="Q61" s="153">
        <v>39335</v>
      </c>
      <c r="R61" s="2">
        <v>16</v>
      </c>
      <c r="S61" s="944">
        <v>900</v>
      </c>
    </row>
    <row r="62" spans="1:22" x14ac:dyDescent="0.2">
      <c r="A62" s="903">
        <v>41729</v>
      </c>
      <c r="B62" s="60" t="s">
        <v>2180</v>
      </c>
      <c r="D62" s="212"/>
      <c r="E62" s="212"/>
      <c r="F62" s="212"/>
      <c r="G62" s="212"/>
      <c r="H62" s="212"/>
      <c r="I62" s="212"/>
      <c r="J62" s="212"/>
      <c r="K62" s="212"/>
      <c r="L62" s="212"/>
      <c r="M62" s="13" t="s">
        <v>1333</v>
      </c>
      <c r="N62" s="13">
        <f>+'NAGE &amp; Non-Union Wages'!L4</f>
        <v>20.12</v>
      </c>
      <c r="O62" s="14">
        <v>1450</v>
      </c>
      <c r="P62" s="137">
        <f t="shared" si="10"/>
        <v>29174</v>
      </c>
      <c r="Q62" s="153">
        <v>41729</v>
      </c>
      <c r="R62" s="2">
        <v>10</v>
      </c>
      <c r="S62" s="944">
        <v>500</v>
      </c>
    </row>
    <row r="63" spans="1:22" x14ac:dyDescent="0.2">
      <c r="A63" s="903">
        <v>43641</v>
      </c>
      <c r="B63" s="60" t="s">
        <v>2181</v>
      </c>
      <c r="D63" s="212"/>
      <c r="E63" s="212"/>
      <c r="F63" s="212"/>
      <c r="G63" s="212"/>
      <c r="H63" s="212"/>
      <c r="I63" s="212"/>
      <c r="J63" s="212"/>
      <c r="K63" s="212"/>
      <c r="L63" s="212"/>
      <c r="M63" s="135" t="s">
        <v>1478</v>
      </c>
      <c r="N63" s="136">
        <f>+'NAGE &amp; Non-Union Wages'!G4</f>
        <v>18.04</v>
      </c>
      <c r="O63" s="14">
        <v>1107</v>
      </c>
      <c r="P63" s="137">
        <f t="shared" si="10"/>
        <v>19970.28</v>
      </c>
      <c r="Q63" s="153">
        <v>43641</v>
      </c>
      <c r="R63" s="2">
        <v>5</v>
      </c>
      <c r="S63" s="612">
        <v>300</v>
      </c>
    </row>
    <row r="64" spans="1:22" x14ac:dyDescent="0.2">
      <c r="A64" s="903">
        <v>43865</v>
      </c>
      <c r="B64" s="60" t="s">
        <v>2182</v>
      </c>
      <c r="D64" s="212"/>
      <c r="E64" s="212"/>
      <c r="F64" s="212"/>
      <c r="G64" s="212"/>
      <c r="H64" s="212"/>
      <c r="I64" s="212"/>
      <c r="J64" s="212"/>
      <c r="K64" s="212"/>
      <c r="L64" s="212"/>
      <c r="M64" s="13" t="s">
        <v>1479</v>
      </c>
      <c r="N64" s="136">
        <f>+'NAGE &amp; Non-Union Wages'!F4</f>
        <v>17.59</v>
      </c>
      <c r="O64" s="14">
        <v>847</v>
      </c>
      <c r="P64" s="137">
        <f t="shared" si="10"/>
        <v>14898.73</v>
      </c>
      <c r="Q64" s="153">
        <v>43865</v>
      </c>
      <c r="R64" s="2">
        <v>2</v>
      </c>
      <c r="S64" s="612"/>
    </row>
    <row r="65" spans="1:22" x14ac:dyDescent="0.2">
      <c r="A65" s="903">
        <v>43404</v>
      </c>
      <c r="B65" s="60" t="s">
        <v>2183</v>
      </c>
      <c r="D65" s="212"/>
      <c r="E65" s="212"/>
      <c r="F65" s="212"/>
      <c r="G65" s="212"/>
      <c r="H65" s="212"/>
      <c r="I65" s="212"/>
      <c r="J65" s="212"/>
      <c r="K65" s="212"/>
      <c r="L65" s="212"/>
      <c r="M65" s="13" t="s">
        <v>1480</v>
      </c>
      <c r="N65" s="13">
        <f>+'NAGE &amp; Non-Union Wages'!I4</f>
        <v>18.86</v>
      </c>
      <c r="O65" s="14">
        <v>380</v>
      </c>
      <c r="P65" s="137">
        <f t="shared" si="10"/>
        <v>7166.8</v>
      </c>
      <c r="Q65" s="153">
        <v>43404</v>
      </c>
      <c r="R65" s="2">
        <v>5</v>
      </c>
      <c r="S65" s="612">
        <v>300</v>
      </c>
      <c r="T65" s="220" t="s">
        <v>1481</v>
      </c>
    </row>
    <row r="66" spans="1:22" x14ac:dyDescent="0.2">
      <c r="A66" s="903"/>
      <c r="B66" s="60" t="s">
        <v>2184</v>
      </c>
      <c r="D66" s="212"/>
      <c r="E66" s="212"/>
      <c r="F66" s="212"/>
      <c r="G66" s="212"/>
      <c r="H66" s="212"/>
      <c r="I66" s="212"/>
      <c r="J66" s="212"/>
      <c r="K66" s="212"/>
      <c r="L66" s="212"/>
      <c r="M66" s="13" t="s">
        <v>1477</v>
      </c>
      <c r="N66" s="13">
        <f>+'NAGE &amp; Non-Union Wages'!D4</f>
        <v>16.75</v>
      </c>
      <c r="O66" s="14">
        <v>691</v>
      </c>
      <c r="P66" s="137">
        <f t="shared" si="10"/>
        <v>11574.25</v>
      </c>
      <c r="Q66" s="153"/>
      <c r="R66" s="2"/>
      <c r="S66" s="612"/>
      <c r="T66" s="220"/>
    </row>
    <row r="67" spans="1:22" x14ac:dyDescent="0.2">
      <c r="A67" s="903">
        <v>44111</v>
      </c>
      <c r="B67" s="60" t="s">
        <v>2423</v>
      </c>
      <c r="D67" s="212"/>
      <c r="E67" s="212"/>
      <c r="F67" s="212"/>
      <c r="G67" s="212"/>
      <c r="H67" s="212"/>
      <c r="I67" s="212"/>
      <c r="J67" s="212"/>
      <c r="K67" s="212"/>
      <c r="L67" s="212"/>
      <c r="M67" s="13" t="s">
        <v>891</v>
      </c>
      <c r="N67" s="13">
        <f>+'NAGE &amp; Non-Union Wages'!D5</f>
        <v>19.75</v>
      </c>
      <c r="O67" s="14">
        <v>752</v>
      </c>
      <c r="P67" s="137">
        <f t="shared" si="10"/>
        <v>14852</v>
      </c>
      <c r="Q67" s="153">
        <v>44111</v>
      </c>
      <c r="R67" s="2">
        <v>1</v>
      </c>
      <c r="S67" s="612"/>
    </row>
    <row r="68" spans="1:22" x14ac:dyDescent="0.2">
      <c r="A68" s="903"/>
      <c r="B68" s="60" t="s">
        <v>2185</v>
      </c>
      <c r="D68" s="212"/>
      <c r="E68" s="212"/>
      <c r="F68" s="212"/>
      <c r="G68" s="212"/>
      <c r="H68" s="212"/>
      <c r="I68" s="212"/>
      <c r="J68" s="212"/>
      <c r="K68" s="212"/>
      <c r="L68" s="212"/>
      <c r="M68" s="13"/>
      <c r="N68" s="13">
        <v>19</v>
      </c>
      <c r="O68" s="14">
        <v>312</v>
      </c>
      <c r="P68" s="137">
        <f t="shared" si="10"/>
        <v>5928</v>
      </c>
      <c r="Q68" s="153"/>
      <c r="R68" s="2"/>
      <c r="S68" s="612"/>
    </row>
    <row r="69" spans="1:22" x14ac:dyDescent="0.2">
      <c r="B69" s="60" t="s">
        <v>2186</v>
      </c>
      <c r="D69" s="212"/>
      <c r="E69" s="212"/>
      <c r="F69" s="212"/>
      <c r="G69" s="212"/>
      <c r="H69" s="212"/>
      <c r="I69" s="212"/>
      <c r="J69" s="212"/>
      <c r="K69" s="212"/>
      <c r="L69" s="212"/>
      <c r="M69" s="13"/>
      <c r="N69" s="13">
        <v>15</v>
      </c>
      <c r="O69" s="14">
        <v>553</v>
      </c>
      <c r="P69" s="137">
        <f t="shared" si="10"/>
        <v>8295</v>
      </c>
      <c r="Q69" s="153">
        <v>41729</v>
      </c>
      <c r="R69" s="2"/>
      <c r="S69" s="612"/>
    </row>
    <row r="70" spans="1:22" x14ac:dyDescent="0.2">
      <c r="A70" s="774"/>
      <c r="B70" s="4"/>
      <c r="C70" s="23"/>
      <c r="D70" s="23"/>
      <c r="E70" s="23"/>
      <c r="F70" s="212"/>
      <c r="G70" s="212"/>
      <c r="H70" s="212"/>
      <c r="I70" s="23"/>
      <c r="J70" s="23"/>
      <c r="K70" s="25"/>
      <c r="L70" s="25"/>
      <c r="M70" s="25"/>
      <c r="N70" s="25"/>
      <c r="O70" s="25"/>
      <c r="P70" s="25"/>
      <c r="Q70" s="25"/>
      <c r="R70" s="2" t="s">
        <v>193</v>
      </c>
      <c r="S70" s="612">
        <f>SUM(S54:S69)</f>
        <v>3100</v>
      </c>
    </row>
    <row r="71" spans="1:22" x14ac:dyDescent="0.2">
      <c r="C71" s="1087"/>
      <c r="D71" s="1097"/>
      <c r="E71" s="1097"/>
      <c r="F71" s="212"/>
      <c r="G71" s="212"/>
      <c r="H71" s="212"/>
      <c r="I71" s="1097"/>
      <c r="J71" s="1097"/>
      <c r="K71" s="120"/>
      <c r="L71" s="120"/>
      <c r="M71" s="120"/>
      <c r="N71" s="120"/>
      <c r="O71" s="120"/>
      <c r="P71" s="149">
        <f>SUM(P55:P70)</f>
        <v>335886.44999999995</v>
      </c>
      <c r="Q71" s="4"/>
      <c r="R71" s="4"/>
      <c r="S71" s="2"/>
    </row>
    <row r="72" spans="1:22" ht="13.5" thickBot="1" x14ac:dyDescent="0.25">
      <c r="A72" s="774"/>
      <c r="B72" s="4"/>
      <c r="C72" s="23"/>
      <c r="D72" s="23"/>
      <c r="E72" s="23"/>
      <c r="F72" s="212"/>
      <c r="G72" s="212"/>
      <c r="H72" s="212"/>
      <c r="I72" s="23"/>
      <c r="J72" s="23"/>
      <c r="K72" s="23"/>
      <c r="L72" s="23"/>
      <c r="M72" s="23"/>
      <c r="N72" s="23"/>
      <c r="O72" s="23"/>
      <c r="P72" s="4"/>
      <c r="Q72" s="23"/>
      <c r="R72" s="23"/>
      <c r="S72" s="23"/>
      <c r="T72" s="4"/>
      <c r="U72" s="4"/>
      <c r="V72" s="4"/>
    </row>
    <row r="73" spans="1:22" ht="13.5" thickTop="1" x14ac:dyDescent="0.2">
      <c r="A73" s="789"/>
      <c r="B73" s="367"/>
      <c r="C73" s="368" t="s">
        <v>280</v>
      </c>
      <c r="D73" s="369" t="s">
        <v>280</v>
      </c>
      <c r="E73" s="369" t="s">
        <v>280</v>
      </c>
      <c r="F73" s="212"/>
      <c r="G73" s="212"/>
      <c r="H73" s="212"/>
      <c r="I73" s="212"/>
      <c r="J73" s="212"/>
      <c r="K73" s="212"/>
      <c r="L73" s="212"/>
      <c r="M73" s="370" t="s">
        <v>279</v>
      </c>
      <c r="N73" s="371" t="s">
        <v>826</v>
      </c>
      <c r="O73" s="372" t="s">
        <v>840</v>
      </c>
      <c r="P73" s="371" t="s">
        <v>841</v>
      </c>
      <c r="Q73" s="373"/>
      <c r="R73" s="569"/>
      <c r="S73" s="372"/>
      <c r="T73" s="4"/>
      <c r="U73" s="4"/>
      <c r="V73" s="4"/>
    </row>
    <row r="74" spans="1:22" ht="13.5" thickBot="1" x14ac:dyDescent="0.25">
      <c r="A74" s="790" t="s">
        <v>825</v>
      </c>
      <c r="B74" s="374"/>
      <c r="C74" s="375" t="s">
        <v>267</v>
      </c>
      <c r="D74" s="375" t="s">
        <v>268</v>
      </c>
      <c r="E74" s="376" t="s">
        <v>269</v>
      </c>
      <c r="F74" s="212"/>
      <c r="G74" s="212"/>
      <c r="H74" s="212"/>
      <c r="I74" s="212"/>
      <c r="J74" s="212"/>
      <c r="K74" s="212"/>
      <c r="L74" s="212"/>
      <c r="M74" s="377" t="s">
        <v>277</v>
      </c>
      <c r="N74" s="377" t="s">
        <v>571</v>
      </c>
      <c r="O74" s="376" t="s">
        <v>843</v>
      </c>
      <c r="P74" s="378" t="s">
        <v>843</v>
      </c>
      <c r="Q74" s="379" t="s">
        <v>844</v>
      </c>
      <c r="R74" s="570"/>
      <c r="S74" s="377"/>
      <c r="T74" s="4"/>
      <c r="U74" s="4"/>
      <c r="V74" s="4"/>
    </row>
    <row r="75" spans="1:22" ht="13.5" thickTop="1" x14ac:dyDescent="0.2">
      <c r="A75" s="794"/>
      <c r="B75" s="401"/>
      <c r="C75" s="402"/>
      <c r="D75" s="403"/>
      <c r="E75" s="403"/>
      <c r="F75" s="212"/>
      <c r="G75" s="212"/>
      <c r="H75" s="212"/>
      <c r="I75" s="212"/>
      <c r="J75" s="212"/>
      <c r="K75" s="212"/>
      <c r="L75" s="212"/>
      <c r="M75" s="404"/>
      <c r="N75" s="545"/>
      <c r="O75" s="414">
        <f t="shared" ref="O75:O104" si="11">+N75-M75</f>
        <v>0</v>
      </c>
      <c r="P75" s="392"/>
      <c r="Q75" s="385"/>
      <c r="R75" s="572"/>
      <c r="S75" s="386"/>
      <c r="T75" s="4"/>
      <c r="U75" s="4"/>
      <c r="V75" s="4"/>
    </row>
    <row r="76" spans="1:22" x14ac:dyDescent="0.2">
      <c r="A76" s="795">
        <v>5111</v>
      </c>
      <c r="B76" s="418" t="s">
        <v>849</v>
      </c>
      <c r="C76" s="391">
        <v>117196.8</v>
      </c>
      <c r="D76" s="391">
        <v>130066.4</v>
      </c>
      <c r="E76" s="391">
        <v>130758.41</v>
      </c>
      <c r="F76" s="212"/>
      <c r="G76" s="212"/>
      <c r="H76" s="212"/>
      <c r="I76" s="212"/>
      <c r="J76" s="212"/>
      <c r="K76" s="212"/>
      <c r="L76" s="212"/>
      <c r="M76" s="390">
        <f t="shared" ref="M76:M82" si="12">+O9</f>
        <v>171123</v>
      </c>
      <c r="N76" s="411">
        <f t="shared" ref="N76:N82" si="13">+Q9</f>
        <v>178979</v>
      </c>
      <c r="O76" s="414">
        <f t="shared" si="11"/>
        <v>7856</v>
      </c>
      <c r="P76" s="392">
        <f t="shared" ref="P76:P104" si="14">IF(M76+N76&lt;&gt;0,IF(M76&lt;&gt;0,IF(O76&lt;&gt;0,ROUND((+O76/M76),4),""),1),"")</f>
        <v>4.5900000000000003E-2</v>
      </c>
      <c r="Q76" s="385" t="s">
        <v>2188</v>
      </c>
      <c r="R76" s="572"/>
      <c r="S76" s="386"/>
      <c r="T76" s="4"/>
      <c r="U76" s="4"/>
      <c r="V76" s="4"/>
    </row>
    <row r="77" spans="1:22" x14ac:dyDescent="0.2">
      <c r="A77" s="795">
        <v>5113</v>
      </c>
      <c r="B77" s="387" t="s">
        <v>850</v>
      </c>
      <c r="C77" s="391">
        <v>90290.59</v>
      </c>
      <c r="D77" s="391">
        <v>72415.990000000005</v>
      </c>
      <c r="E77" s="391">
        <v>96098.85</v>
      </c>
      <c r="F77" s="212"/>
      <c r="G77" s="212"/>
      <c r="H77" s="212"/>
      <c r="I77" s="212"/>
      <c r="J77" s="212"/>
      <c r="K77" s="212"/>
      <c r="L77" s="212"/>
      <c r="M77" s="390">
        <f t="shared" si="12"/>
        <v>134268</v>
      </c>
      <c r="N77" s="411">
        <f t="shared" si="13"/>
        <v>148612</v>
      </c>
      <c r="O77" s="414">
        <f t="shared" si="11"/>
        <v>14344</v>
      </c>
      <c r="P77" s="392">
        <f t="shared" si="14"/>
        <v>0.10680000000000001</v>
      </c>
      <c r="Q77" s="385" t="s">
        <v>2189</v>
      </c>
      <c r="R77" s="572"/>
      <c r="S77" s="386"/>
      <c r="T77" s="4"/>
      <c r="U77" s="4"/>
      <c r="V77" s="4"/>
    </row>
    <row r="78" spans="1:22" x14ac:dyDescent="0.2">
      <c r="A78" s="795">
        <v>5114</v>
      </c>
      <c r="B78" s="415" t="s">
        <v>1461</v>
      </c>
      <c r="C78" s="391"/>
      <c r="D78" s="391"/>
      <c r="E78" s="391"/>
      <c r="F78" s="212"/>
      <c r="G78" s="212"/>
      <c r="H78" s="212"/>
      <c r="I78" s="212"/>
      <c r="J78" s="212"/>
      <c r="K78" s="212"/>
      <c r="L78" s="212"/>
      <c r="M78" s="390">
        <f t="shared" si="12"/>
        <v>0</v>
      </c>
      <c r="N78" s="411">
        <f t="shared" si="13"/>
        <v>8295</v>
      </c>
      <c r="O78" s="414">
        <f t="shared" ref="O78" si="15">+N78-M78</f>
        <v>8295</v>
      </c>
      <c r="P78" s="392">
        <f t="shared" ref="P78" si="16">IF(M78+N78&lt;&gt;0,IF(M78&lt;&gt;0,IF(O78&lt;&gt;0,ROUND((+O78/M78),4),""),1),"")</f>
        <v>1</v>
      </c>
      <c r="Q78" s="385" t="s">
        <v>2190</v>
      </c>
      <c r="R78" s="572"/>
      <c r="S78" s="386"/>
      <c r="T78" s="4"/>
      <c r="U78" s="4"/>
      <c r="V78" s="4"/>
    </row>
    <row r="79" spans="1:22" x14ac:dyDescent="0.2">
      <c r="A79" s="795">
        <v>5142</v>
      </c>
      <c r="B79" s="387" t="s">
        <v>1146</v>
      </c>
      <c r="C79" s="391">
        <v>453.6</v>
      </c>
      <c r="D79" s="391">
        <v>480.12</v>
      </c>
      <c r="E79" s="391">
        <v>475.91</v>
      </c>
      <c r="F79" s="212"/>
      <c r="G79" s="212"/>
      <c r="H79" s="212"/>
      <c r="I79" s="212"/>
      <c r="J79" s="212"/>
      <c r="K79" s="212"/>
      <c r="L79" s="212"/>
      <c r="M79" s="390">
        <f t="shared" si="12"/>
        <v>750</v>
      </c>
      <c r="N79" s="411">
        <f t="shared" si="13"/>
        <v>750</v>
      </c>
      <c r="O79" s="414">
        <f t="shared" si="11"/>
        <v>0</v>
      </c>
      <c r="P79" s="392" t="str">
        <f t="shared" si="14"/>
        <v/>
      </c>
      <c r="Q79" s="385"/>
      <c r="R79" s="572"/>
      <c r="S79" s="386"/>
      <c r="T79" s="4"/>
      <c r="U79" s="4"/>
      <c r="V79" s="4"/>
    </row>
    <row r="80" spans="1:22" x14ac:dyDescent="0.2">
      <c r="A80" s="795">
        <v>5144</v>
      </c>
      <c r="B80" s="387" t="s">
        <v>27</v>
      </c>
      <c r="C80" s="393">
        <v>750</v>
      </c>
      <c r="D80" s="393">
        <v>900</v>
      </c>
      <c r="E80" s="393">
        <v>900</v>
      </c>
      <c r="F80" s="212"/>
      <c r="G80" s="212"/>
      <c r="H80" s="212"/>
      <c r="I80" s="212"/>
      <c r="J80" s="212"/>
      <c r="K80" s="212"/>
      <c r="L80" s="212"/>
      <c r="M80" s="390">
        <f t="shared" si="12"/>
        <v>1500</v>
      </c>
      <c r="N80" s="411">
        <f t="shared" si="13"/>
        <v>3100</v>
      </c>
      <c r="O80" s="414">
        <f t="shared" si="11"/>
        <v>1600</v>
      </c>
      <c r="P80" s="392">
        <f t="shared" si="14"/>
        <v>1.0667</v>
      </c>
      <c r="Q80" s="385" t="s">
        <v>2191</v>
      </c>
      <c r="R80" s="572"/>
      <c r="S80" s="386"/>
      <c r="T80" s="4"/>
      <c r="U80" s="4"/>
      <c r="V80" s="4"/>
    </row>
    <row r="81" spans="1:22" x14ac:dyDescent="0.2">
      <c r="A81" s="795">
        <v>5193</v>
      </c>
      <c r="B81" s="387" t="s">
        <v>941</v>
      </c>
      <c r="C81" s="393"/>
      <c r="D81" s="393">
        <v>6487.78</v>
      </c>
      <c r="E81" s="393"/>
      <c r="F81" s="212"/>
      <c r="G81" s="212"/>
      <c r="H81" s="212"/>
      <c r="I81" s="212"/>
      <c r="J81" s="212"/>
      <c r="K81" s="212"/>
      <c r="L81" s="212"/>
      <c r="M81" s="390">
        <f t="shared" si="12"/>
        <v>0</v>
      </c>
      <c r="N81" s="411">
        <f t="shared" si="13"/>
        <v>0</v>
      </c>
      <c r="O81" s="414">
        <f t="shared" si="11"/>
        <v>0</v>
      </c>
      <c r="P81" s="392" t="str">
        <f t="shared" si="14"/>
        <v/>
      </c>
      <c r="Q81" s="385"/>
      <c r="R81" s="572"/>
      <c r="S81" s="386"/>
      <c r="T81" s="4"/>
      <c r="U81" s="4"/>
      <c r="V81" s="4"/>
    </row>
    <row r="82" spans="1:22" ht="13.5" thickBot="1" x14ac:dyDescent="0.25">
      <c r="A82" s="795">
        <v>5194</v>
      </c>
      <c r="B82" s="387" t="s">
        <v>942</v>
      </c>
      <c r="C82" s="389"/>
      <c r="D82" s="389">
        <v>2500</v>
      </c>
      <c r="E82" s="389"/>
      <c r="F82" s="212"/>
      <c r="G82" s="212"/>
      <c r="H82" s="212"/>
      <c r="I82" s="212"/>
      <c r="J82" s="212"/>
      <c r="K82" s="212"/>
      <c r="L82" s="212"/>
      <c r="M82" s="390">
        <f t="shared" si="12"/>
        <v>0</v>
      </c>
      <c r="N82" s="411">
        <f t="shared" si="13"/>
        <v>0</v>
      </c>
      <c r="O82" s="414">
        <f t="shared" si="11"/>
        <v>0</v>
      </c>
      <c r="P82" s="392" t="str">
        <f t="shared" si="14"/>
        <v/>
      </c>
      <c r="Q82" s="385"/>
      <c r="R82" s="572"/>
      <c r="S82" s="386"/>
      <c r="T82" s="4"/>
      <c r="U82" s="4"/>
      <c r="V82" s="4"/>
    </row>
    <row r="83" spans="1:22" x14ac:dyDescent="0.2">
      <c r="A83" s="795">
        <v>5211</v>
      </c>
      <c r="B83" s="387" t="s">
        <v>1410</v>
      </c>
      <c r="C83" s="391">
        <v>6528.19</v>
      </c>
      <c r="D83" s="391">
        <v>7238.61</v>
      </c>
      <c r="E83" s="391">
        <v>6501.22</v>
      </c>
      <c r="F83" s="212"/>
      <c r="G83" s="212"/>
      <c r="H83" s="212"/>
      <c r="I83" s="212"/>
      <c r="J83" s="212"/>
      <c r="K83" s="212"/>
      <c r="L83" s="212"/>
      <c r="M83" s="384">
        <f t="shared" ref="M83:M100" si="17">+O18</f>
        <v>12000</v>
      </c>
      <c r="N83" s="411">
        <f t="shared" ref="N83:N100" si="18">+Q18</f>
        <v>12500</v>
      </c>
      <c r="O83" s="414">
        <f t="shared" si="11"/>
        <v>500</v>
      </c>
      <c r="P83" s="392">
        <f t="shared" si="14"/>
        <v>4.1700000000000001E-2</v>
      </c>
      <c r="Q83" s="385" t="s">
        <v>2192</v>
      </c>
      <c r="R83" s="572"/>
      <c r="S83" s="386"/>
      <c r="T83" s="4"/>
      <c r="U83" s="4"/>
      <c r="V83" s="4"/>
    </row>
    <row r="84" spans="1:22" x14ac:dyDescent="0.2">
      <c r="A84" s="795">
        <v>5213</v>
      </c>
      <c r="B84" s="387" t="s">
        <v>1462</v>
      </c>
      <c r="C84" s="391">
        <v>10256.49</v>
      </c>
      <c r="D84" s="391">
        <v>12343.26</v>
      </c>
      <c r="E84" s="391">
        <v>11693.15</v>
      </c>
      <c r="F84" s="212"/>
      <c r="G84" s="212"/>
      <c r="H84" s="212"/>
      <c r="I84" s="212"/>
      <c r="J84" s="212"/>
      <c r="K84" s="212"/>
      <c r="L84" s="212"/>
      <c r="M84" s="384">
        <f t="shared" si="17"/>
        <v>10700</v>
      </c>
      <c r="N84" s="411">
        <f t="shared" si="18"/>
        <v>16100</v>
      </c>
      <c r="O84" s="414">
        <f t="shared" si="11"/>
        <v>5400</v>
      </c>
      <c r="P84" s="392">
        <f t="shared" si="14"/>
        <v>0.50470000000000004</v>
      </c>
      <c r="Q84" s="385" t="s">
        <v>2192</v>
      </c>
      <c r="R84" s="572"/>
      <c r="S84" s="386"/>
      <c r="T84" s="4"/>
      <c r="U84" s="4"/>
      <c r="V84" s="4"/>
    </row>
    <row r="85" spans="1:22" x14ac:dyDescent="0.2">
      <c r="A85" s="795">
        <v>5231</v>
      </c>
      <c r="B85" s="387" t="s">
        <v>1444</v>
      </c>
      <c r="C85" s="391">
        <v>138</v>
      </c>
      <c r="D85" s="391">
        <v>135</v>
      </c>
      <c r="E85" s="391">
        <v>145.6</v>
      </c>
      <c r="F85" s="212"/>
      <c r="G85" s="212"/>
      <c r="H85" s="212"/>
      <c r="I85" s="212"/>
      <c r="J85" s="212"/>
      <c r="K85" s="212"/>
      <c r="L85" s="212"/>
      <c r="M85" s="384">
        <f t="shared" si="17"/>
        <v>150</v>
      </c>
      <c r="N85" s="411">
        <f t="shared" si="18"/>
        <v>200</v>
      </c>
      <c r="O85" s="414">
        <f t="shared" si="11"/>
        <v>50</v>
      </c>
      <c r="P85" s="392">
        <f t="shared" si="14"/>
        <v>0.33329999999999999</v>
      </c>
      <c r="Q85" s="385" t="s">
        <v>2193</v>
      </c>
      <c r="R85" s="572"/>
      <c r="S85" s="386"/>
      <c r="T85" s="4"/>
      <c r="U85" s="4"/>
      <c r="V85" s="4"/>
    </row>
    <row r="86" spans="1:22" x14ac:dyDescent="0.2">
      <c r="A86" s="795">
        <v>5232</v>
      </c>
      <c r="B86" s="387" t="s">
        <v>581</v>
      </c>
      <c r="C86" s="391">
        <v>252</v>
      </c>
      <c r="D86" s="391">
        <v>246.16</v>
      </c>
      <c r="E86" s="391">
        <v>233.72</v>
      </c>
      <c r="F86" s="212"/>
      <c r="G86" s="212"/>
      <c r="H86" s="212"/>
      <c r="I86" s="212"/>
      <c r="J86" s="212"/>
      <c r="K86" s="212"/>
      <c r="L86" s="212"/>
      <c r="M86" s="384">
        <f t="shared" si="17"/>
        <v>350</v>
      </c>
      <c r="N86" s="411">
        <f t="shared" si="18"/>
        <v>450</v>
      </c>
      <c r="O86" s="414">
        <f t="shared" si="11"/>
        <v>100</v>
      </c>
      <c r="P86" s="392">
        <f t="shared" si="14"/>
        <v>0.28570000000000001</v>
      </c>
      <c r="Q86" s="385" t="s">
        <v>2193</v>
      </c>
      <c r="R86" s="572"/>
      <c r="S86" s="386"/>
      <c r="T86" s="4"/>
      <c r="U86" s="4"/>
      <c r="V86" s="4"/>
    </row>
    <row r="87" spans="1:22" x14ac:dyDescent="0.2">
      <c r="A87" s="795">
        <v>5241</v>
      </c>
      <c r="B87" s="387" t="s">
        <v>1463</v>
      </c>
      <c r="C87" s="391"/>
      <c r="D87" s="391"/>
      <c r="E87" s="391"/>
      <c r="F87" s="212"/>
      <c r="G87" s="212"/>
      <c r="H87" s="212"/>
      <c r="I87" s="212"/>
      <c r="J87" s="212"/>
      <c r="K87" s="212"/>
      <c r="L87" s="212"/>
      <c r="M87" s="384">
        <f t="shared" si="17"/>
        <v>4500</v>
      </c>
      <c r="N87" s="411">
        <f t="shared" si="18"/>
        <v>4500</v>
      </c>
      <c r="O87" s="414">
        <f t="shared" si="11"/>
        <v>0</v>
      </c>
      <c r="P87" s="392" t="str">
        <f t="shared" si="14"/>
        <v/>
      </c>
      <c r="Q87" s="385"/>
      <c r="R87" s="572"/>
      <c r="S87" s="386"/>
      <c r="T87" s="4"/>
      <c r="U87" s="4"/>
      <c r="V87" s="4"/>
    </row>
    <row r="88" spans="1:22" x14ac:dyDescent="0.2">
      <c r="A88" s="795">
        <v>5242</v>
      </c>
      <c r="B88" s="387" t="s">
        <v>1464</v>
      </c>
      <c r="C88" s="391"/>
      <c r="D88" s="391"/>
      <c r="E88" s="391"/>
      <c r="F88" s="212"/>
      <c r="G88" s="212"/>
      <c r="H88" s="212"/>
      <c r="I88" s="212"/>
      <c r="J88" s="212"/>
      <c r="K88" s="212"/>
      <c r="L88" s="212"/>
      <c r="M88" s="384">
        <f t="shared" si="17"/>
        <v>715</v>
      </c>
      <c r="N88" s="411">
        <f t="shared" si="18"/>
        <v>715</v>
      </c>
      <c r="O88" s="414">
        <f t="shared" si="11"/>
        <v>0</v>
      </c>
      <c r="P88" s="392" t="str">
        <f t="shared" si="14"/>
        <v/>
      </c>
      <c r="Q88" s="385"/>
      <c r="R88" s="572"/>
      <c r="S88" s="386"/>
      <c r="T88" s="4"/>
      <c r="U88" s="4"/>
      <c r="V88" s="4"/>
    </row>
    <row r="89" spans="1:22" x14ac:dyDescent="0.2">
      <c r="A89" s="795">
        <v>5247</v>
      </c>
      <c r="B89" s="387" t="s">
        <v>1483</v>
      </c>
      <c r="C89" s="391">
        <v>11095</v>
      </c>
      <c r="D89" s="391">
        <v>12472</v>
      </c>
      <c r="E89" s="391">
        <v>11895.93</v>
      </c>
      <c r="F89" s="212"/>
      <c r="G89" s="212"/>
      <c r="H89" s="212"/>
      <c r="I89" s="212"/>
      <c r="J89" s="212"/>
      <c r="K89" s="212"/>
      <c r="L89" s="212"/>
      <c r="M89" s="384">
        <f t="shared" si="17"/>
        <v>15500</v>
      </c>
      <c r="N89" s="411">
        <f t="shared" si="18"/>
        <v>15500</v>
      </c>
      <c r="O89" s="414">
        <f t="shared" si="11"/>
        <v>0</v>
      </c>
      <c r="P89" s="392" t="str">
        <f t="shared" si="14"/>
        <v/>
      </c>
      <c r="Q89" s="385"/>
      <c r="R89" s="572"/>
      <c r="S89" s="386"/>
    </row>
    <row r="90" spans="1:22" x14ac:dyDescent="0.2">
      <c r="A90" s="795">
        <v>5248</v>
      </c>
      <c r="B90" s="387" t="s">
        <v>905</v>
      </c>
      <c r="C90" s="391"/>
      <c r="D90" s="391">
        <v>455.76</v>
      </c>
      <c r="E90" s="391"/>
      <c r="F90" s="212"/>
      <c r="G90" s="212"/>
      <c r="H90" s="212"/>
      <c r="I90" s="212"/>
      <c r="J90" s="212"/>
      <c r="K90" s="212"/>
      <c r="L90" s="212"/>
      <c r="M90" s="384">
        <f t="shared" si="17"/>
        <v>700</v>
      </c>
      <c r="N90" s="411">
        <f t="shared" si="18"/>
        <v>700</v>
      </c>
      <c r="O90" s="414">
        <f t="shared" si="11"/>
        <v>0</v>
      </c>
      <c r="P90" s="392" t="str">
        <f t="shared" si="14"/>
        <v/>
      </c>
      <c r="Q90" s="385"/>
      <c r="R90" s="572"/>
      <c r="S90" s="386"/>
    </row>
    <row r="91" spans="1:22" x14ac:dyDescent="0.2">
      <c r="A91" s="795">
        <v>5341</v>
      </c>
      <c r="B91" s="387" t="s">
        <v>862</v>
      </c>
      <c r="C91" s="391">
        <v>1126.05</v>
      </c>
      <c r="D91" s="391">
        <v>1122.06</v>
      </c>
      <c r="E91" s="391">
        <v>1125.47</v>
      </c>
      <c r="F91" s="212"/>
      <c r="G91" s="212"/>
      <c r="H91" s="212"/>
      <c r="I91" s="212"/>
      <c r="J91" s="212"/>
      <c r="K91" s="212"/>
      <c r="L91" s="212"/>
      <c r="M91" s="384">
        <f t="shared" si="17"/>
        <v>0</v>
      </c>
      <c r="N91" s="411">
        <f t="shared" si="18"/>
        <v>0</v>
      </c>
      <c r="O91" s="414">
        <f t="shared" si="11"/>
        <v>0</v>
      </c>
      <c r="P91" s="392" t="str">
        <f t="shared" si="14"/>
        <v/>
      </c>
      <c r="Q91" s="385"/>
      <c r="R91" s="572"/>
      <c r="S91" s="386"/>
    </row>
    <row r="92" spans="1:22" x14ac:dyDescent="0.2">
      <c r="A92" s="795">
        <v>5341</v>
      </c>
      <c r="B92" s="387" t="s">
        <v>1484</v>
      </c>
      <c r="C92" s="391"/>
      <c r="D92" s="391"/>
      <c r="E92" s="391"/>
      <c r="F92" s="212"/>
      <c r="G92" s="212"/>
      <c r="H92" s="212"/>
      <c r="I92" s="212"/>
      <c r="J92" s="212"/>
      <c r="K92" s="212"/>
      <c r="L92" s="212"/>
      <c r="M92" s="384">
        <f t="shared" si="17"/>
        <v>4860</v>
      </c>
      <c r="N92" s="411">
        <f t="shared" si="18"/>
        <v>4860</v>
      </c>
      <c r="O92" s="414">
        <f t="shared" si="11"/>
        <v>0</v>
      </c>
      <c r="P92" s="392" t="str">
        <f t="shared" si="14"/>
        <v/>
      </c>
      <c r="Q92" s="385"/>
      <c r="R92" s="572"/>
      <c r="S92" s="386"/>
    </row>
    <row r="93" spans="1:22" x14ac:dyDescent="0.2">
      <c r="A93" s="795">
        <v>5344</v>
      </c>
      <c r="B93" s="387" t="s">
        <v>832</v>
      </c>
      <c r="C93" s="391">
        <v>179.19</v>
      </c>
      <c r="D93" s="391">
        <v>88.46</v>
      </c>
      <c r="E93" s="391">
        <v>176.99</v>
      </c>
      <c r="F93" s="212"/>
      <c r="G93" s="212"/>
      <c r="H93" s="212"/>
      <c r="I93" s="212"/>
      <c r="J93" s="212"/>
      <c r="K93" s="212"/>
      <c r="L93" s="212"/>
      <c r="M93" s="384">
        <f t="shared" si="17"/>
        <v>500</v>
      </c>
      <c r="N93" s="411">
        <f t="shared" si="18"/>
        <v>500</v>
      </c>
      <c r="O93" s="414">
        <f t="shared" si="11"/>
        <v>0</v>
      </c>
      <c r="P93" s="392" t="str">
        <f t="shared" si="14"/>
        <v/>
      </c>
      <c r="Q93" s="385"/>
      <c r="R93" s="572"/>
      <c r="S93" s="386"/>
    </row>
    <row r="94" spans="1:22" x14ac:dyDescent="0.2">
      <c r="A94" s="795">
        <v>5345</v>
      </c>
      <c r="B94" s="387" t="s">
        <v>863</v>
      </c>
      <c r="C94" s="391">
        <v>122.62</v>
      </c>
      <c r="D94" s="391">
        <v>321.16000000000003</v>
      </c>
      <c r="E94" s="391"/>
      <c r="F94" s="212"/>
      <c r="G94" s="212"/>
      <c r="H94" s="212"/>
      <c r="I94" s="212"/>
      <c r="J94" s="212"/>
      <c r="K94" s="212"/>
      <c r="L94" s="212"/>
      <c r="M94" s="384">
        <f t="shared" si="17"/>
        <v>500</v>
      </c>
      <c r="N94" s="411">
        <f t="shared" si="18"/>
        <v>200</v>
      </c>
      <c r="O94" s="414">
        <f t="shared" si="11"/>
        <v>-300</v>
      </c>
      <c r="P94" s="392">
        <f t="shared" si="14"/>
        <v>-0.6</v>
      </c>
      <c r="Q94" s="385" t="s">
        <v>2194</v>
      </c>
      <c r="R94" s="572"/>
      <c r="S94" s="386"/>
    </row>
    <row r="95" spans="1:22" x14ac:dyDescent="0.2">
      <c r="A95" s="795">
        <v>5350</v>
      </c>
      <c r="B95" s="387" t="s">
        <v>1467</v>
      </c>
      <c r="C95" s="398">
        <v>1000</v>
      </c>
      <c r="D95" s="398">
        <v>6050</v>
      </c>
      <c r="E95" s="398">
        <v>5055</v>
      </c>
      <c r="F95" s="212"/>
      <c r="G95" s="212"/>
      <c r="H95" s="212"/>
      <c r="I95" s="212"/>
      <c r="J95" s="212"/>
      <c r="K95" s="212"/>
      <c r="L95" s="212"/>
      <c r="M95" s="384">
        <f t="shared" si="17"/>
        <v>7500</v>
      </c>
      <c r="N95" s="411">
        <f t="shared" si="18"/>
        <v>7500</v>
      </c>
      <c r="O95" s="414">
        <f t="shared" si="11"/>
        <v>0</v>
      </c>
      <c r="P95" s="392" t="str">
        <f t="shared" si="14"/>
        <v/>
      </c>
      <c r="Q95" s="385"/>
      <c r="R95" s="572"/>
      <c r="S95" s="386"/>
    </row>
    <row r="96" spans="1:22" x14ac:dyDescent="0.2">
      <c r="A96" s="795">
        <v>5360</v>
      </c>
      <c r="B96" s="387" t="s">
        <v>1485</v>
      </c>
      <c r="C96" s="398"/>
      <c r="D96" s="398"/>
      <c r="E96" s="398"/>
      <c r="F96" s="212"/>
      <c r="G96" s="212"/>
      <c r="H96" s="212"/>
      <c r="I96" s="212"/>
      <c r="J96" s="212"/>
      <c r="K96" s="212"/>
      <c r="L96" s="212"/>
      <c r="M96" s="384">
        <f t="shared" si="17"/>
        <v>1775</v>
      </c>
      <c r="N96" s="411">
        <f t="shared" si="18"/>
        <v>1775</v>
      </c>
      <c r="O96" s="414">
        <f t="shared" si="11"/>
        <v>0</v>
      </c>
      <c r="P96" s="392" t="str">
        <f t="shared" si="14"/>
        <v/>
      </c>
      <c r="Q96" s="385"/>
      <c r="R96" s="572"/>
      <c r="S96" s="386"/>
    </row>
    <row r="97" spans="1:19" x14ac:dyDescent="0.2">
      <c r="A97" s="795">
        <v>5380</v>
      </c>
      <c r="B97" s="387" t="s">
        <v>1469</v>
      </c>
      <c r="C97" s="391">
        <v>100</v>
      </c>
      <c r="D97" s="391">
        <v>106</v>
      </c>
      <c r="E97" s="391">
        <v>112</v>
      </c>
      <c r="F97" s="212"/>
      <c r="G97" s="212"/>
      <c r="H97" s="212"/>
      <c r="I97" s="212"/>
      <c r="J97" s="212"/>
      <c r="K97" s="212"/>
      <c r="L97" s="212"/>
      <c r="M97" s="384">
        <f t="shared" si="17"/>
        <v>116</v>
      </c>
      <c r="N97" s="411">
        <f t="shared" si="18"/>
        <v>0</v>
      </c>
      <c r="O97" s="414">
        <f t="shared" si="11"/>
        <v>-116</v>
      </c>
      <c r="P97" s="392">
        <f t="shared" si="14"/>
        <v>-1</v>
      </c>
      <c r="Q97" s="385"/>
      <c r="R97" s="572"/>
      <c r="S97" s="386"/>
    </row>
    <row r="98" spans="1:19" x14ac:dyDescent="0.2">
      <c r="A98" s="795">
        <v>5420</v>
      </c>
      <c r="B98" s="387" t="s">
        <v>864</v>
      </c>
      <c r="C98" s="383">
        <v>3279.66</v>
      </c>
      <c r="D98" s="383">
        <v>6687.37</v>
      </c>
      <c r="E98" s="383">
        <v>3415.71</v>
      </c>
      <c r="F98" s="212"/>
      <c r="G98" s="212"/>
      <c r="H98" s="212"/>
      <c r="I98" s="212"/>
      <c r="J98" s="212"/>
      <c r="K98" s="212"/>
      <c r="L98" s="212"/>
      <c r="M98" s="384">
        <f t="shared" si="17"/>
        <v>7000</v>
      </c>
      <c r="N98" s="411">
        <f t="shared" si="18"/>
        <v>7000</v>
      </c>
      <c r="O98" s="414">
        <f t="shared" si="11"/>
        <v>0</v>
      </c>
      <c r="P98" s="392" t="str">
        <f t="shared" si="14"/>
        <v/>
      </c>
      <c r="Q98" s="385" t="s">
        <v>2195</v>
      </c>
      <c r="R98" s="572"/>
      <c r="S98" s="386"/>
    </row>
    <row r="99" spans="1:19" x14ac:dyDescent="0.2">
      <c r="A99" s="795">
        <v>5580</v>
      </c>
      <c r="B99" s="387" t="s">
        <v>1169</v>
      </c>
      <c r="C99" s="391">
        <v>1205.0999999999999</v>
      </c>
      <c r="D99" s="391">
        <v>1212.29</v>
      </c>
      <c r="E99" s="391">
        <v>1200</v>
      </c>
      <c r="F99" s="212"/>
      <c r="G99" s="212"/>
      <c r="H99" s="212"/>
      <c r="I99" s="212"/>
      <c r="J99" s="212"/>
      <c r="K99" s="212"/>
      <c r="L99" s="212"/>
      <c r="M99" s="384">
        <f t="shared" si="17"/>
        <v>1600</v>
      </c>
      <c r="N99" s="411">
        <f t="shared" si="18"/>
        <v>1600</v>
      </c>
      <c r="O99" s="414">
        <f t="shared" si="11"/>
        <v>0</v>
      </c>
      <c r="P99" s="392" t="str">
        <f t="shared" si="14"/>
        <v/>
      </c>
      <c r="Q99" s="385"/>
      <c r="R99" s="572"/>
      <c r="S99" s="386"/>
    </row>
    <row r="100" spans="1:19" x14ac:dyDescent="0.2">
      <c r="A100" s="795">
        <v>5581</v>
      </c>
      <c r="B100" s="387" t="s">
        <v>866</v>
      </c>
      <c r="C100" s="391">
        <v>31287.93</v>
      </c>
      <c r="D100" s="391">
        <v>35475.230000000003</v>
      </c>
      <c r="E100" s="391">
        <v>37931.71</v>
      </c>
      <c r="F100" s="212"/>
      <c r="G100" s="212"/>
      <c r="H100" s="212"/>
      <c r="I100" s="212"/>
      <c r="J100" s="212"/>
      <c r="K100" s="212"/>
      <c r="L100" s="212"/>
      <c r="M100" s="384">
        <f t="shared" si="17"/>
        <v>49000</v>
      </c>
      <c r="N100" s="411">
        <f t="shared" si="18"/>
        <v>49000</v>
      </c>
      <c r="O100" s="414">
        <f t="shared" si="11"/>
        <v>0</v>
      </c>
      <c r="P100" s="392" t="str">
        <f t="shared" si="14"/>
        <v/>
      </c>
      <c r="Q100" s="385"/>
      <c r="R100" s="572"/>
      <c r="S100" s="386"/>
    </row>
    <row r="101" spans="1:19" x14ac:dyDescent="0.2">
      <c r="A101" s="795">
        <v>5587</v>
      </c>
      <c r="B101" s="387" t="s">
        <v>1470</v>
      </c>
      <c r="C101" s="391">
        <v>26171.85</v>
      </c>
      <c r="D101" s="391">
        <v>26921.83</v>
      </c>
      <c r="E101" s="391">
        <v>29068.29</v>
      </c>
      <c r="F101" s="212"/>
      <c r="G101" s="212"/>
      <c r="H101" s="212"/>
      <c r="I101" s="212"/>
      <c r="J101" s="212"/>
      <c r="K101" s="212"/>
      <c r="L101" s="212"/>
      <c r="M101" s="384">
        <f t="shared" ref="M101:M104" si="19">+O37</f>
        <v>38000</v>
      </c>
      <c r="N101" s="411">
        <f t="shared" ref="N101:N104" si="20">+Q37</f>
        <v>33000</v>
      </c>
      <c r="O101" s="414">
        <f t="shared" si="11"/>
        <v>-5000</v>
      </c>
      <c r="P101" s="392">
        <f t="shared" si="14"/>
        <v>-0.13159999999999999</v>
      </c>
      <c r="Q101" s="385"/>
      <c r="R101" s="572"/>
      <c r="S101" s="386"/>
    </row>
    <row r="102" spans="1:19" x14ac:dyDescent="0.2">
      <c r="A102" s="795">
        <v>5590</v>
      </c>
      <c r="B102" s="406" t="s">
        <v>1062</v>
      </c>
      <c r="C102" s="391">
        <v>839.2</v>
      </c>
      <c r="D102" s="391">
        <v>424.94</v>
      </c>
      <c r="E102" s="391">
        <v>64.989999999999995</v>
      </c>
      <c r="F102" s="212"/>
      <c r="G102" s="212"/>
      <c r="H102" s="212"/>
      <c r="I102" s="212"/>
      <c r="J102" s="212"/>
      <c r="K102" s="212"/>
      <c r="L102" s="212"/>
      <c r="M102" s="384">
        <f t="shared" si="19"/>
        <v>1000</v>
      </c>
      <c r="N102" s="411">
        <f t="shared" si="20"/>
        <v>1000</v>
      </c>
      <c r="O102" s="414">
        <f t="shared" si="11"/>
        <v>0</v>
      </c>
      <c r="P102" s="392" t="str">
        <f t="shared" si="14"/>
        <v/>
      </c>
      <c r="Q102" s="385"/>
      <c r="R102" s="572"/>
      <c r="S102" s="386"/>
    </row>
    <row r="103" spans="1:19" x14ac:dyDescent="0.2">
      <c r="A103" s="795">
        <v>5710</v>
      </c>
      <c r="B103" s="387" t="s">
        <v>869</v>
      </c>
      <c r="C103" s="383">
        <v>1628.73</v>
      </c>
      <c r="D103" s="383">
        <v>1042.58</v>
      </c>
      <c r="E103" s="383">
        <v>790.05</v>
      </c>
      <c r="F103" s="212"/>
      <c r="G103" s="212"/>
      <c r="H103" s="212"/>
      <c r="I103" s="212"/>
      <c r="J103" s="212"/>
      <c r="K103" s="212"/>
      <c r="L103" s="212"/>
      <c r="M103" s="384">
        <f t="shared" si="19"/>
        <v>1400</v>
      </c>
      <c r="N103" s="411">
        <f t="shared" si="20"/>
        <v>1400</v>
      </c>
      <c r="O103" s="414">
        <f t="shared" si="11"/>
        <v>0</v>
      </c>
      <c r="P103" s="392" t="str">
        <f t="shared" si="14"/>
        <v/>
      </c>
      <c r="Q103" s="385"/>
      <c r="R103" s="572"/>
      <c r="S103" s="386"/>
    </row>
    <row r="104" spans="1:19" ht="13.5" thickBot="1" x14ac:dyDescent="0.25">
      <c r="A104" s="795">
        <v>5730</v>
      </c>
      <c r="B104" s="387" t="s">
        <v>870</v>
      </c>
      <c r="C104" s="389"/>
      <c r="D104" s="389">
        <v>40</v>
      </c>
      <c r="E104" s="389"/>
      <c r="F104" s="212"/>
      <c r="G104" s="212"/>
      <c r="H104" s="212"/>
      <c r="I104" s="212"/>
      <c r="J104" s="212"/>
      <c r="K104" s="212"/>
      <c r="L104" s="212"/>
      <c r="M104" s="384">
        <f t="shared" si="19"/>
        <v>100</v>
      </c>
      <c r="N104" s="411">
        <f t="shared" si="20"/>
        <v>100</v>
      </c>
      <c r="O104" s="414">
        <f t="shared" si="11"/>
        <v>0</v>
      </c>
      <c r="P104" s="392" t="str">
        <f t="shared" si="14"/>
        <v/>
      </c>
      <c r="Q104" s="385"/>
      <c r="R104" s="572"/>
      <c r="S104" s="386"/>
    </row>
    <row r="105" spans="1:19" x14ac:dyDescent="0.2">
      <c r="C105" s="212"/>
      <c r="D105" s="212"/>
      <c r="E105" s="212"/>
      <c r="F105" s="212"/>
      <c r="G105" s="212"/>
      <c r="H105" s="212"/>
      <c r="I105" s="212"/>
      <c r="J105" s="212"/>
      <c r="K105" s="212"/>
      <c r="L105" s="212"/>
      <c r="M105" s="212"/>
      <c r="N105" s="212"/>
      <c r="O105" s="212"/>
    </row>
    <row r="106" spans="1:19" x14ac:dyDescent="0.2">
      <c r="B106" s="4" t="s">
        <v>846</v>
      </c>
      <c r="C106" s="23"/>
      <c r="D106" s="23"/>
      <c r="E106" s="23"/>
      <c r="F106" s="23"/>
      <c r="G106" s="23"/>
      <c r="H106" s="212"/>
      <c r="I106" s="616">
        <f>SUM(M76:M104)</f>
        <v>465607</v>
      </c>
      <c r="J106" s="616">
        <f>SUM(N76:N104)</f>
        <v>498336</v>
      </c>
      <c r="K106" s="212"/>
      <c r="L106" s="212"/>
      <c r="M106" s="25">
        <f>+J106-I106</f>
        <v>32729</v>
      </c>
      <c r="N106" s="25">
        <f>+M106-J106</f>
        <v>-465607</v>
      </c>
      <c r="O106" s="25"/>
      <c r="P106" s="617">
        <f>IF(I106+J106&lt;&gt;0,IF(I106&lt;&gt;0,IF(M106&lt;&gt;0,ROUND((+M106/I106),4),""),1),"")</f>
        <v>7.0300000000000001E-2</v>
      </c>
    </row>
    <row r="107" spans="1:19" x14ac:dyDescent="0.2">
      <c r="C107" s="212"/>
      <c r="D107" s="212"/>
      <c r="E107" s="212"/>
      <c r="F107" s="212"/>
      <c r="G107" s="212"/>
      <c r="H107" s="212"/>
      <c r="I107" s="212"/>
      <c r="J107" s="212"/>
      <c r="K107" s="212"/>
      <c r="L107" s="212"/>
      <c r="M107" s="212"/>
      <c r="N107" s="212"/>
      <c r="O107" s="212"/>
    </row>
    <row r="108" spans="1:19" x14ac:dyDescent="0.2">
      <c r="C108" s="212"/>
      <c r="D108" s="212"/>
      <c r="E108" s="212"/>
      <c r="F108" s="212"/>
      <c r="G108" s="212"/>
      <c r="H108" s="212"/>
      <c r="I108" s="212"/>
      <c r="J108" s="212"/>
      <c r="K108" s="212"/>
      <c r="L108" s="212"/>
      <c r="M108" s="212"/>
      <c r="N108" s="212"/>
      <c r="O108" s="212"/>
    </row>
    <row r="109" spans="1:19" x14ac:dyDescent="0.2">
      <c r="C109" s="212"/>
      <c r="D109" s="212"/>
      <c r="E109" s="212"/>
      <c r="F109" s="212"/>
      <c r="G109" s="212"/>
      <c r="H109" s="212"/>
      <c r="I109" s="212"/>
      <c r="J109" s="212"/>
      <c r="K109" s="212"/>
      <c r="L109" s="212"/>
      <c r="M109" s="212"/>
      <c r="N109" s="212"/>
      <c r="O109" s="212"/>
    </row>
    <row r="110" spans="1:19" x14ac:dyDescent="0.2">
      <c r="C110" s="212"/>
      <c r="D110" s="212"/>
      <c r="E110" s="212"/>
      <c r="F110" s="212"/>
      <c r="G110" s="212"/>
      <c r="H110" s="212"/>
      <c r="I110" s="212"/>
      <c r="J110" s="212"/>
      <c r="K110" s="212"/>
      <c r="L110" s="212"/>
      <c r="M110" s="212"/>
      <c r="N110" s="212"/>
      <c r="O110" s="212"/>
    </row>
    <row r="111" spans="1:19" x14ac:dyDescent="0.2">
      <c r="C111" s="212"/>
      <c r="D111" s="212"/>
      <c r="E111" s="212"/>
      <c r="F111" s="212"/>
      <c r="G111" s="212"/>
      <c r="H111" s="212"/>
      <c r="I111" s="212"/>
      <c r="J111" s="212"/>
      <c r="K111" s="212"/>
      <c r="L111" s="212"/>
      <c r="M111" s="212"/>
      <c r="N111" s="212"/>
      <c r="O111" s="212"/>
    </row>
    <row r="112" spans="1:19" x14ac:dyDescent="0.2">
      <c r="C112" s="212"/>
      <c r="D112" s="212"/>
      <c r="E112" s="212"/>
      <c r="F112" s="212"/>
      <c r="G112" s="212"/>
      <c r="H112" s="212"/>
      <c r="I112" s="212"/>
      <c r="J112" s="212"/>
      <c r="K112" s="212"/>
      <c r="L112" s="212"/>
      <c r="M112" s="212"/>
      <c r="N112" s="212"/>
      <c r="O112" s="212"/>
    </row>
    <row r="113" spans="3:15" x14ac:dyDescent="0.2">
      <c r="C113" s="212"/>
      <c r="D113" s="212"/>
      <c r="E113" s="212"/>
      <c r="F113" s="212"/>
      <c r="G113" s="212"/>
      <c r="H113" s="212"/>
      <c r="I113" s="212"/>
      <c r="J113" s="212"/>
      <c r="K113" s="212"/>
      <c r="L113" s="212"/>
      <c r="M113" s="212"/>
      <c r="N113" s="212"/>
      <c r="O113" s="212"/>
    </row>
    <row r="114" spans="3:15" x14ac:dyDescent="0.2">
      <c r="C114" s="212"/>
      <c r="D114" s="212"/>
      <c r="E114" s="212"/>
      <c r="F114" s="212"/>
      <c r="G114" s="212"/>
      <c r="H114" s="212"/>
      <c r="I114" s="212"/>
      <c r="J114" s="212"/>
      <c r="K114" s="212"/>
      <c r="L114" s="212"/>
      <c r="M114" s="212"/>
      <c r="N114" s="212"/>
      <c r="O114" s="212"/>
    </row>
    <row r="115" spans="3:15" x14ac:dyDescent="0.2">
      <c r="C115" s="212"/>
      <c r="D115" s="212"/>
      <c r="E115" s="212"/>
      <c r="F115" s="212"/>
      <c r="G115" s="212"/>
      <c r="H115" s="212"/>
      <c r="I115" s="212"/>
      <c r="J115" s="212"/>
      <c r="K115" s="212"/>
      <c r="L115" s="212"/>
      <c r="M115" s="212"/>
      <c r="N115" s="212"/>
      <c r="O115" s="212"/>
    </row>
    <row r="116" spans="3:15" x14ac:dyDescent="0.2">
      <c r="C116" s="212"/>
      <c r="D116" s="212"/>
      <c r="E116" s="212"/>
      <c r="F116" s="212"/>
      <c r="G116" s="212"/>
      <c r="H116" s="212"/>
      <c r="I116" s="212"/>
      <c r="J116" s="212"/>
      <c r="K116" s="212"/>
      <c r="L116" s="212"/>
      <c r="M116" s="212"/>
      <c r="N116" s="212"/>
      <c r="O116" s="212"/>
    </row>
    <row r="117" spans="3:15" x14ac:dyDescent="0.2">
      <c r="C117" s="212"/>
    </row>
    <row r="118" spans="3:15" x14ac:dyDescent="0.2">
      <c r="C118" s="212"/>
    </row>
    <row r="119" spans="3:15" x14ac:dyDescent="0.2">
      <c r="C119" s="212"/>
    </row>
    <row r="120" spans="3:15" x14ac:dyDescent="0.2">
      <c r="C120" s="212"/>
    </row>
    <row r="121" spans="3:15" x14ac:dyDescent="0.2">
      <c r="C121" s="212"/>
    </row>
    <row r="122" spans="3:15" x14ac:dyDescent="0.2">
      <c r="C122" s="212"/>
    </row>
    <row r="123" spans="3:15" x14ac:dyDescent="0.2">
      <c r="C123" s="212"/>
    </row>
    <row r="124" spans="3:15" x14ac:dyDescent="0.2">
      <c r="C124" s="212"/>
    </row>
    <row r="125" spans="3:15" x14ac:dyDescent="0.2">
      <c r="C125" s="212"/>
    </row>
    <row r="126" spans="3:15" x14ac:dyDescent="0.2">
      <c r="C126" s="212"/>
    </row>
    <row r="127" spans="3:15" x14ac:dyDescent="0.2">
      <c r="C127" s="212"/>
    </row>
    <row r="128" spans="3:15" x14ac:dyDescent="0.2">
      <c r="C128" s="212"/>
    </row>
    <row r="129" spans="3:3" x14ac:dyDescent="0.2">
      <c r="C129" s="212"/>
    </row>
    <row r="130" spans="3:3" x14ac:dyDescent="0.2">
      <c r="C130" s="212"/>
    </row>
    <row r="131" spans="3:3" x14ac:dyDescent="0.2">
      <c r="C131" s="212"/>
    </row>
    <row r="132" spans="3:3" x14ac:dyDescent="0.2">
      <c r="C132" s="212"/>
    </row>
    <row r="133" spans="3:3" x14ac:dyDescent="0.2">
      <c r="C133" s="212"/>
    </row>
    <row r="134" spans="3:3" x14ac:dyDescent="0.2">
      <c r="C134" s="212"/>
    </row>
    <row r="135" spans="3:3" x14ac:dyDescent="0.2">
      <c r="C135" s="212"/>
    </row>
    <row r="136" spans="3:3" x14ac:dyDescent="0.2">
      <c r="C136" s="212"/>
    </row>
    <row r="137" spans="3:3" x14ac:dyDescent="0.2">
      <c r="C137" s="212"/>
    </row>
    <row r="138" spans="3:3" x14ac:dyDescent="0.2">
      <c r="C138" s="212"/>
    </row>
  </sheetData>
  <phoneticPr fontId="0" type="noConversion"/>
  <hyperlinks>
    <hyperlink ref="A1" location="'Working Budget with funding det'!A1" display="Main " xr:uid="{00000000-0004-0000-2D00-000000000000}"/>
    <hyperlink ref="B1" location="'Table of Contents'!A1" display="TOC" xr:uid="{00000000-0004-0000-2D00-000001000000}"/>
  </hyperlinks>
  <pageMargins left="0.75" right="0.75" top="1" bottom="0" header="0.5" footer="0.5"/>
  <pageSetup scale="78" fitToHeight="2" orientation="landscape" r:id="rId1"/>
  <headerFooter alignWithMargins="0">
    <oddFooter>&amp;L&amp;D     &amp;T&amp;C&amp;P&amp;R&amp;A   &amp;P</oddFooter>
  </headerFooter>
  <rowBreaks count="1" manualBreakCount="1">
    <brk id="49" max="1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19"/>
  <sheetViews>
    <sheetView workbookViewId="0">
      <selection activeCell="M18" sqref="M18"/>
    </sheetView>
  </sheetViews>
  <sheetFormatPr defaultRowHeight="12.75" x14ac:dyDescent="0.2"/>
  <cols>
    <col min="1" max="1" width="4.5" customWidth="1"/>
  </cols>
  <sheetData>
    <row r="1" spans="1:2" x14ac:dyDescent="0.2">
      <c r="A1" t="s">
        <v>248</v>
      </c>
    </row>
    <row r="2" spans="1:2" x14ac:dyDescent="0.2">
      <c r="A2" t="s">
        <v>249</v>
      </c>
    </row>
    <row r="3" spans="1:2" x14ac:dyDescent="0.2">
      <c r="B3" t="s">
        <v>250</v>
      </c>
    </row>
    <row r="4" spans="1:2" x14ac:dyDescent="0.2">
      <c r="B4" t="s">
        <v>251</v>
      </c>
    </row>
    <row r="5" spans="1:2" x14ac:dyDescent="0.2">
      <c r="B5" t="s">
        <v>252</v>
      </c>
    </row>
    <row r="6" spans="1:2" x14ac:dyDescent="0.2">
      <c r="B6" t="s">
        <v>253</v>
      </c>
    </row>
    <row r="7" spans="1:2" x14ac:dyDescent="0.2">
      <c r="B7" t="s">
        <v>254</v>
      </c>
    </row>
    <row r="8" spans="1:2" x14ac:dyDescent="0.2">
      <c r="B8" t="s">
        <v>255</v>
      </c>
    </row>
    <row r="9" spans="1:2" x14ac:dyDescent="0.2">
      <c r="B9" t="s">
        <v>256</v>
      </c>
    </row>
    <row r="10" spans="1:2" x14ac:dyDescent="0.2">
      <c r="B10" t="s">
        <v>257</v>
      </c>
    </row>
    <row r="11" spans="1:2" x14ac:dyDescent="0.2">
      <c r="B11" t="s">
        <v>258</v>
      </c>
    </row>
    <row r="12" spans="1:2" x14ac:dyDescent="0.2">
      <c r="B12" t="s">
        <v>259</v>
      </c>
    </row>
    <row r="13" spans="1:2" x14ac:dyDescent="0.2">
      <c r="B13" t="s">
        <v>260</v>
      </c>
    </row>
    <row r="14" spans="1:2" x14ac:dyDescent="0.2">
      <c r="B14" t="s">
        <v>261</v>
      </c>
    </row>
    <row r="15" spans="1:2" x14ac:dyDescent="0.2">
      <c r="B15" t="s">
        <v>262</v>
      </c>
    </row>
    <row r="16" spans="1:2" x14ac:dyDescent="0.2">
      <c r="B16" t="s">
        <v>263</v>
      </c>
    </row>
    <row r="17" spans="2:2" x14ac:dyDescent="0.2">
      <c r="B17" t="s">
        <v>264</v>
      </c>
    </row>
    <row r="18" spans="2:2" x14ac:dyDescent="0.2">
      <c r="B18" t="s">
        <v>265</v>
      </c>
    </row>
    <row r="19" spans="2:2" x14ac:dyDescent="0.2">
      <c r="B19" t="s">
        <v>266</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50"/>
    <pageSetUpPr fitToPage="1"/>
  </sheetPr>
  <dimension ref="A1:X170"/>
  <sheetViews>
    <sheetView workbookViewId="0">
      <selection activeCell="P15" sqref="P15"/>
    </sheetView>
  </sheetViews>
  <sheetFormatPr defaultRowHeight="12.75" x14ac:dyDescent="0.2"/>
  <cols>
    <col min="1" max="1" width="10.6640625" style="783" customWidth="1"/>
    <col min="2" max="2" width="36.6640625" customWidth="1"/>
    <col min="3" max="3" width="14.5" style="1" hidden="1" customWidth="1"/>
    <col min="4" max="12" width="14.5" style="106" hidden="1" customWidth="1"/>
    <col min="13" max="15" width="14.5" style="106" customWidth="1"/>
    <col min="16" max="16" width="14.5" customWidth="1"/>
    <col min="17" max="20" width="14.5" style="1" customWidth="1"/>
    <col min="21" max="23" width="14.5" customWidth="1"/>
    <col min="24" max="24" width="14.6640625" style="2" customWidth="1"/>
  </cols>
  <sheetData>
    <row r="1" spans="1:24" x14ac:dyDescent="0.2">
      <c r="A1" s="772" t="s">
        <v>847</v>
      </c>
      <c r="B1" s="308" t="s">
        <v>197</v>
      </c>
      <c r="D1" s="212"/>
      <c r="E1" s="212"/>
      <c r="F1" s="212"/>
      <c r="G1" s="212"/>
      <c r="H1" s="212"/>
      <c r="I1" s="212"/>
      <c r="J1" s="212"/>
      <c r="K1" s="212"/>
      <c r="L1" s="212"/>
      <c r="M1" s="212"/>
      <c r="N1" s="212"/>
      <c r="O1" s="212"/>
      <c r="T1"/>
    </row>
    <row r="2" spans="1:24" ht="15" x14ac:dyDescent="0.25">
      <c r="A2" s="773" t="s">
        <v>1459</v>
      </c>
      <c r="B2" s="43"/>
      <c r="D2" s="212"/>
      <c r="E2" s="126"/>
      <c r="F2" s="212"/>
      <c r="G2" s="212"/>
      <c r="H2" s="212"/>
      <c r="I2" s="126" t="s">
        <v>816</v>
      </c>
      <c r="J2" s="126"/>
      <c r="K2" s="126"/>
      <c r="L2" s="126"/>
      <c r="M2" s="126"/>
      <c r="N2" s="126"/>
      <c r="O2" s="126"/>
      <c r="P2" s="58" t="s">
        <v>1486</v>
      </c>
      <c r="S2" s="44" t="s">
        <v>1487</v>
      </c>
    </row>
    <row r="3" spans="1:24" ht="13.5" thickBot="1" x14ac:dyDescent="0.25">
      <c r="A3" s="774"/>
      <c r="B3" s="4"/>
      <c r="C3" s="23"/>
      <c r="D3" s="23"/>
      <c r="E3" s="23"/>
      <c r="F3" s="23"/>
      <c r="G3" s="23"/>
      <c r="H3" s="23"/>
      <c r="I3" s="23"/>
      <c r="J3" s="23"/>
      <c r="K3" s="23"/>
      <c r="L3" s="23"/>
      <c r="M3" s="23"/>
      <c r="N3" s="23"/>
      <c r="O3" s="23"/>
      <c r="P3" s="4"/>
      <c r="Q3" s="23"/>
      <c r="R3" s="23"/>
      <c r="S3" s="4"/>
      <c r="T3" s="4"/>
      <c r="W3" s="4"/>
    </row>
    <row r="4" spans="1:24"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4"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4" x14ac:dyDescent="0.2">
      <c r="A6" s="776"/>
      <c r="B6" s="202"/>
      <c r="C6" s="113"/>
      <c r="D6" s="113"/>
      <c r="E6" s="113"/>
      <c r="F6" s="82"/>
      <c r="G6" s="113"/>
      <c r="H6" s="113"/>
      <c r="I6" s="83"/>
      <c r="J6" s="83"/>
      <c r="K6" s="83"/>
      <c r="L6" s="83"/>
      <c r="M6" s="83"/>
      <c r="N6" s="83"/>
      <c r="O6" s="83"/>
      <c r="P6" s="113"/>
      <c r="Q6" s="83" t="s">
        <v>823</v>
      </c>
      <c r="R6" s="83" t="s">
        <v>585</v>
      </c>
      <c r="S6" s="45" t="s">
        <v>824</v>
      </c>
    </row>
    <row r="7" spans="1:24"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4" ht="13.5" thickTop="1" x14ac:dyDescent="0.2">
      <c r="A8" s="796"/>
      <c r="B8" s="203"/>
      <c r="C8" s="118"/>
      <c r="D8" s="18"/>
      <c r="E8" s="18"/>
      <c r="F8" s="18"/>
      <c r="G8" s="18"/>
      <c r="H8" s="18"/>
      <c r="I8" s="19"/>
      <c r="J8" s="19"/>
      <c r="K8" s="19"/>
      <c r="L8" s="19"/>
      <c r="M8" s="19"/>
      <c r="N8" s="19"/>
      <c r="O8" s="19"/>
      <c r="P8" s="18"/>
      <c r="Q8" s="19"/>
      <c r="R8" s="19"/>
      <c r="S8" s="19"/>
    </row>
    <row r="9" spans="1:24" x14ac:dyDescent="0.2">
      <c r="A9" s="779">
        <v>5111</v>
      </c>
      <c r="B9" s="102" t="s">
        <v>1488</v>
      </c>
      <c r="C9" s="116">
        <v>56733.95</v>
      </c>
      <c r="D9" s="13">
        <v>61829</v>
      </c>
      <c r="E9" s="13">
        <v>63697</v>
      </c>
      <c r="F9" s="13">
        <v>65620</v>
      </c>
      <c r="G9" s="13">
        <v>67602</v>
      </c>
      <c r="H9" s="13">
        <v>69988</v>
      </c>
      <c r="I9" s="13">
        <v>71388</v>
      </c>
      <c r="J9" s="13">
        <v>73905</v>
      </c>
      <c r="K9" s="14">
        <v>75014</v>
      </c>
      <c r="L9" s="13">
        <v>75014</v>
      </c>
      <c r="M9" s="14">
        <v>76139</v>
      </c>
      <c r="N9" s="13">
        <v>76139</v>
      </c>
      <c r="O9" s="14">
        <f>2284+76139</f>
        <v>78423</v>
      </c>
      <c r="P9" s="13">
        <v>37859.279999999999</v>
      </c>
      <c r="Q9" s="14">
        <f>ROUND(+P38,0)</f>
        <v>80384</v>
      </c>
      <c r="R9" s="14"/>
      <c r="S9" s="14"/>
    </row>
    <row r="10" spans="1:24" x14ac:dyDescent="0.2">
      <c r="A10" s="779">
        <v>5113</v>
      </c>
      <c r="B10" s="60" t="s">
        <v>1489</v>
      </c>
      <c r="C10" s="116">
        <v>14204.61</v>
      </c>
      <c r="D10" s="13">
        <v>16756.2</v>
      </c>
      <c r="E10" s="13">
        <v>17207.96</v>
      </c>
      <c r="F10" s="13">
        <v>18025.599999999999</v>
      </c>
      <c r="G10" s="13">
        <v>18583.2</v>
      </c>
      <c r="H10" s="13">
        <v>19260.8</v>
      </c>
      <c r="I10" s="13">
        <v>20144.8</v>
      </c>
      <c r="J10" s="13">
        <v>21112.13</v>
      </c>
      <c r="K10" s="14">
        <v>21580</v>
      </c>
      <c r="L10" s="13">
        <v>21663</v>
      </c>
      <c r="M10" s="14">
        <v>22360</v>
      </c>
      <c r="N10" s="13">
        <v>22446</v>
      </c>
      <c r="O10" s="14">
        <f>692+22797</f>
        <v>23489</v>
      </c>
      <c r="P10" s="13">
        <v>11380.32</v>
      </c>
      <c r="Q10" s="14">
        <f>ROUND(+P39,0)</f>
        <v>24669</v>
      </c>
      <c r="R10" s="14"/>
      <c r="S10" s="14"/>
    </row>
    <row r="11" spans="1:24" x14ac:dyDescent="0.2">
      <c r="A11" s="779">
        <v>5124</v>
      </c>
      <c r="B11" s="60" t="s">
        <v>1234</v>
      </c>
      <c r="C11" s="116">
        <v>18920.04</v>
      </c>
      <c r="D11" s="13">
        <v>18869.12</v>
      </c>
      <c r="E11" s="13">
        <v>19350.96</v>
      </c>
      <c r="F11" s="13">
        <v>20507.150000000001</v>
      </c>
      <c r="G11" s="13">
        <v>22617.14</v>
      </c>
      <c r="H11" s="13">
        <v>24574.15</v>
      </c>
      <c r="I11" s="13">
        <v>25060.87</v>
      </c>
      <c r="J11" s="13">
        <v>27643.24</v>
      </c>
      <c r="K11" s="14">
        <v>29650</v>
      </c>
      <c r="L11" s="13">
        <v>9181.42</v>
      </c>
      <c r="M11" s="14">
        <v>31450</v>
      </c>
      <c r="N11" s="13">
        <v>29557.94</v>
      </c>
      <c r="O11" s="14">
        <v>32950</v>
      </c>
      <c r="P11" s="13">
        <v>32949.74</v>
      </c>
      <c r="Q11" s="14">
        <v>34450</v>
      </c>
      <c r="R11" s="14"/>
      <c r="S11" s="14"/>
    </row>
    <row r="12" spans="1:24" ht="13.5" thickBot="1" x14ac:dyDescent="0.25">
      <c r="A12" s="779">
        <v>5144</v>
      </c>
      <c r="B12" s="60" t="s">
        <v>27</v>
      </c>
      <c r="C12" s="117">
        <v>150</v>
      </c>
      <c r="D12" s="15">
        <v>150</v>
      </c>
      <c r="E12" s="15">
        <v>150</v>
      </c>
      <c r="F12" s="15">
        <v>150</v>
      </c>
      <c r="G12" s="15">
        <v>800</v>
      </c>
      <c r="H12" s="15">
        <v>1100</v>
      </c>
      <c r="I12" s="15">
        <v>1100</v>
      </c>
      <c r="J12" s="15">
        <v>1100</v>
      </c>
      <c r="K12" s="16">
        <v>1100</v>
      </c>
      <c r="L12" s="15">
        <v>1100</v>
      </c>
      <c r="M12" s="16">
        <v>1200</v>
      </c>
      <c r="N12" s="15">
        <v>1200</v>
      </c>
      <c r="O12" s="16">
        <f>100+1400</f>
        <v>1500</v>
      </c>
      <c r="P12" s="15">
        <v>1500</v>
      </c>
      <c r="Q12" s="16">
        <f>SUM(T38:T39)</f>
        <v>1500</v>
      </c>
      <c r="R12" s="16"/>
      <c r="S12" s="16"/>
    </row>
    <row r="13" spans="1:24" x14ac:dyDescent="0.2">
      <c r="A13" s="779"/>
      <c r="B13" s="61" t="s">
        <v>828</v>
      </c>
      <c r="C13" s="118">
        <f t="shared" ref="C13:P13" si="0">SUM(C9:C12)</f>
        <v>90008.6</v>
      </c>
      <c r="D13" s="18">
        <f t="shared" si="0"/>
        <v>97604.319999999992</v>
      </c>
      <c r="E13" s="18">
        <f t="shared" si="0"/>
        <v>100405.91999999998</v>
      </c>
      <c r="F13" s="18">
        <f>SUM(F9:F12)</f>
        <v>104302.75</v>
      </c>
      <c r="G13" s="18">
        <f>SUM(G9:G12)</f>
        <v>109602.34</v>
      </c>
      <c r="H13" s="18">
        <f>SUM(H9:H12)</f>
        <v>114922.95000000001</v>
      </c>
      <c r="I13" s="18">
        <f t="shared" si="0"/>
        <v>117693.67</v>
      </c>
      <c r="J13" s="18">
        <f t="shared" si="0"/>
        <v>123760.37000000001</v>
      </c>
      <c r="K13" s="19">
        <f>SUM(K9:K12)</f>
        <v>127344</v>
      </c>
      <c r="L13" s="18">
        <f t="shared" ref="L13:O13" si="1">SUM(L9:L12)</f>
        <v>106958.42</v>
      </c>
      <c r="M13" s="19">
        <f t="shared" si="1"/>
        <v>131149</v>
      </c>
      <c r="N13" s="18">
        <f t="shared" si="1"/>
        <v>129342.94</v>
      </c>
      <c r="O13" s="19">
        <f t="shared" si="1"/>
        <v>136362</v>
      </c>
      <c r="P13" s="18">
        <f t="shared" si="0"/>
        <v>83689.34</v>
      </c>
      <c r="Q13" s="19">
        <f>SUM(Q9:Q12)</f>
        <v>141003</v>
      </c>
      <c r="R13" s="19"/>
      <c r="S13" s="19">
        <f>SUM(S9:S12)</f>
        <v>0</v>
      </c>
    </row>
    <row r="14" spans="1:24" x14ac:dyDescent="0.2">
      <c r="A14" s="779"/>
      <c r="B14" s="60"/>
      <c r="C14" s="116"/>
      <c r="D14" s="13"/>
      <c r="E14" s="13"/>
      <c r="F14" s="13"/>
      <c r="G14" s="13"/>
      <c r="H14" s="13"/>
      <c r="I14" s="13"/>
      <c r="J14" s="13"/>
      <c r="K14" s="14"/>
      <c r="L14" s="13"/>
      <c r="M14" s="14"/>
      <c r="N14" s="13"/>
      <c r="O14" s="14"/>
      <c r="P14" s="13"/>
      <c r="Q14" s="14"/>
      <c r="R14" s="14"/>
      <c r="S14" s="14"/>
    </row>
    <row r="15" spans="1:24" x14ac:dyDescent="0.2">
      <c r="A15" s="779">
        <v>5242</v>
      </c>
      <c r="B15" s="60" t="s">
        <v>1490</v>
      </c>
      <c r="C15" s="116"/>
      <c r="D15" s="13"/>
      <c r="E15" s="13"/>
      <c r="F15" s="13">
        <v>6528.96</v>
      </c>
      <c r="G15" s="13">
        <v>5808.28</v>
      </c>
      <c r="H15" s="13">
        <v>9579.82</v>
      </c>
      <c r="I15" s="128">
        <v>8673.4599999999991</v>
      </c>
      <c r="J15" s="128">
        <v>14061.57</v>
      </c>
      <c r="K15" s="14">
        <f>3000+9095</f>
        <v>12095</v>
      </c>
      <c r="L15" s="128">
        <v>28152.67</v>
      </c>
      <c r="M15" s="14">
        <f>3000+9095</f>
        <v>12095</v>
      </c>
      <c r="N15" s="128">
        <v>15968.14</v>
      </c>
      <c r="O15" s="14">
        <f>3000+9095</f>
        <v>12095</v>
      </c>
      <c r="P15" s="13">
        <v>13610.03</v>
      </c>
      <c r="Q15" s="14">
        <v>15000</v>
      </c>
      <c r="R15" s="14"/>
      <c r="S15" s="14"/>
      <c r="X15"/>
    </row>
    <row r="16" spans="1:24" hidden="1" x14ac:dyDescent="0.2">
      <c r="A16" s="779">
        <v>5275</v>
      </c>
      <c r="B16" s="60" t="s">
        <v>1491</v>
      </c>
      <c r="C16" s="116">
        <v>3117</v>
      </c>
      <c r="D16" s="13">
        <v>3228</v>
      </c>
      <c r="E16" s="13">
        <v>3228</v>
      </c>
      <c r="F16" s="13"/>
      <c r="G16" s="13"/>
      <c r="H16" s="13"/>
      <c r="I16" s="128"/>
      <c r="J16" s="128"/>
      <c r="K16" s="14"/>
      <c r="L16" s="128"/>
      <c r="M16" s="14"/>
      <c r="N16" s="128"/>
      <c r="O16" s="14"/>
      <c r="P16" s="13"/>
      <c r="Q16" s="14"/>
      <c r="R16" s="14"/>
      <c r="S16" s="14"/>
      <c r="X16"/>
    </row>
    <row r="17" spans="1:24" hidden="1" x14ac:dyDescent="0.2">
      <c r="A17" s="779"/>
      <c r="B17" s="60" t="s">
        <v>1492</v>
      </c>
      <c r="C17" s="228"/>
      <c r="D17" s="35"/>
      <c r="E17" s="35"/>
      <c r="F17" s="35"/>
      <c r="G17" s="35"/>
      <c r="H17" s="35"/>
      <c r="I17" s="218"/>
      <c r="J17" s="218"/>
      <c r="K17" s="36"/>
      <c r="L17" s="218"/>
      <c r="M17" s="36"/>
      <c r="N17" s="218"/>
      <c r="O17" s="36"/>
      <c r="P17" s="35"/>
      <c r="Q17" s="36"/>
      <c r="R17" s="36"/>
      <c r="S17" s="36"/>
      <c r="X17"/>
    </row>
    <row r="18" spans="1:24" x14ac:dyDescent="0.2">
      <c r="A18" s="779">
        <v>5248</v>
      </c>
      <c r="B18" s="60" t="s">
        <v>1493</v>
      </c>
      <c r="C18" s="228"/>
      <c r="D18" s="35"/>
      <c r="E18" s="35"/>
      <c r="F18" s="35">
        <v>1332.34</v>
      </c>
      <c r="G18" s="35">
        <v>1321.17</v>
      </c>
      <c r="H18" s="35">
        <v>1386.9</v>
      </c>
      <c r="I18" s="218">
        <v>1134.21</v>
      </c>
      <c r="J18" s="218">
        <v>1434.1</v>
      </c>
      <c r="K18" s="36">
        <v>1400</v>
      </c>
      <c r="L18" s="218">
        <v>1487.65</v>
      </c>
      <c r="M18" s="36">
        <v>1400</v>
      </c>
      <c r="N18" s="218">
        <v>1559.56</v>
      </c>
      <c r="O18" s="36">
        <v>1400</v>
      </c>
      <c r="P18" s="35">
        <v>818.59</v>
      </c>
      <c r="Q18" s="36">
        <v>1400</v>
      </c>
      <c r="R18" s="36"/>
      <c r="S18" s="36"/>
      <c r="X18"/>
    </row>
    <row r="19" spans="1:24" x14ac:dyDescent="0.2">
      <c r="A19" s="779">
        <v>5314</v>
      </c>
      <c r="B19" s="12" t="s">
        <v>860</v>
      </c>
      <c r="C19" s="35"/>
      <c r="D19" s="35"/>
      <c r="E19" s="35"/>
      <c r="F19" s="35">
        <v>225</v>
      </c>
      <c r="G19" s="35">
        <v>440</v>
      </c>
      <c r="H19" s="35">
        <v>225</v>
      </c>
      <c r="I19" s="218">
        <v>402.91</v>
      </c>
      <c r="J19" s="218">
        <v>175</v>
      </c>
      <c r="K19" s="36">
        <v>700</v>
      </c>
      <c r="L19" s="218">
        <v>729</v>
      </c>
      <c r="M19" s="36">
        <v>700</v>
      </c>
      <c r="N19" s="218">
        <v>913.74</v>
      </c>
      <c r="O19" s="36">
        <v>700</v>
      </c>
      <c r="P19" s="35"/>
      <c r="Q19" s="36">
        <v>700</v>
      </c>
      <c r="R19" s="36"/>
      <c r="S19" s="36"/>
      <c r="X19"/>
    </row>
    <row r="20" spans="1:24" hidden="1" x14ac:dyDescent="0.2">
      <c r="A20" s="779">
        <v>5341</v>
      </c>
      <c r="B20" s="12" t="s">
        <v>862</v>
      </c>
      <c r="C20" s="13">
        <v>414.26</v>
      </c>
      <c r="D20" s="13">
        <v>403.42</v>
      </c>
      <c r="E20" s="13">
        <v>408.49</v>
      </c>
      <c r="F20" s="13">
        <v>423.79</v>
      </c>
      <c r="G20" s="13">
        <v>435.74</v>
      </c>
      <c r="H20" s="13"/>
      <c r="I20" s="128">
        <v>0</v>
      </c>
      <c r="J20" s="128"/>
      <c r="K20" s="14">
        <v>0</v>
      </c>
      <c r="L20" s="128"/>
      <c r="M20" s="14">
        <v>0</v>
      </c>
      <c r="N20" s="128"/>
      <c r="O20" s="14">
        <v>0</v>
      </c>
      <c r="P20" s="13"/>
      <c r="Q20" s="14">
        <v>0</v>
      </c>
      <c r="R20" s="14"/>
      <c r="S20" s="14"/>
      <c r="X20"/>
    </row>
    <row r="21" spans="1:24" x14ac:dyDescent="0.2">
      <c r="A21" s="779">
        <v>5342</v>
      </c>
      <c r="B21" s="12" t="s">
        <v>1484</v>
      </c>
      <c r="C21" s="13"/>
      <c r="D21" s="13"/>
      <c r="E21" s="13"/>
      <c r="F21" s="13">
        <v>1198.2</v>
      </c>
      <c r="G21" s="13">
        <v>1198.2</v>
      </c>
      <c r="H21" s="13">
        <v>1198.2</v>
      </c>
      <c r="I21" s="128">
        <v>1226.2</v>
      </c>
      <c r="J21" s="128">
        <v>1291.2</v>
      </c>
      <c r="K21" s="14">
        <v>1200</v>
      </c>
      <c r="L21" s="128">
        <v>1700.56</v>
      </c>
      <c r="M21" s="14">
        <v>1800</v>
      </c>
      <c r="N21" s="128">
        <v>2018.68</v>
      </c>
      <c r="O21" s="14">
        <v>1800</v>
      </c>
      <c r="P21" s="13">
        <v>769.61</v>
      </c>
      <c r="Q21" s="14">
        <v>1800</v>
      </c>
      <c r="R21" s="14"/>
      <c r="S21" s="14"/>
      <c r="X21"/>
    </row>
    <row r="22" spans="1:24" hidden="1" x14ac:dyDescent="0.2">
      <c r="A22" s="779">
        <v>5500</v>
      </c>
      <c r="B22" s="12" t="s">
        <v>1494</v>
      </c>
      <c r="C22" s="35"/>
      <c r="D22" s="35"/>
      <c r="E22" s="35"/>
      <c r="F22" s="35">
        <v>1176</v>
      </c>
      <c r="G22" s="35">
        <v>1625</v>
      </c>
      <c r="H22" s="35"/>
      <c r="I22" s="218">
        <v>0</v>
      </c>
      <c r="J22" s="218"/>
      <c r="K22" s="36">
        <v>0</v>
      </c>
      <c r="L22" s="218"/>
      <c r="M22" s="36">
        <v>0</v>
      </c>
      <c r="N22" s="218"/>
      <c r="O22" s="36">
        <v>0</v>
      </c>
      <c r="P22" s="35"/>
      <c r="Q22" s="36">
        <v>0</v>
      </c>
      <c r="R22" s="36"/>
      <c r="S22" s="36"/>
      <c r="X22"/>
    </row>
    <row r="23" spans="1:24" hidden="1" x14ac:dyDescent="0.2">
      <c r="A23" s="779"/>
      <c r="B23" s="12" t="s">
        <v>1495</v>
      </c>
      <c r="C23" s="35"/>
      <c r="D23" s="35"/>
      <c r="E23" s="35"/>
      <c r="F23" s="35"/>
      <c r="G23" s="35"/>
      <c r="H23" s="35"/>
      <c r="I23" s="218"/>
      <c r="J23" s="218"/>
      <c r="K23" s="36"/>
      <c r="L23" s="218">
        <v>2638.09</v>
      </c>
      <c r="M23" s="36"/>
      <c r="N23" s="218"/>
      <c r="O23" s="36"/>
      <c r="P23" s="35"/>
      <c r="Q23" s="36"/>
      <c r="R23" s="36"/>
      <c r="S23" s="36"/>
      <c r="X23"/>
    </row>
    <row r="24" spans="1:24" hidden="1" x14ac:dyDescent="0.2">
      <c r="A24" s="779"/>
      <c r="B24" s="12" t="s">
        <v>1172</v>
      </c>
      <c r="C24" s="35"/>
      <c r="D24" s="35"/>
      <c r="E24" s="35"/>
      <c r="F24" s="35"/>
      <c r="G24" s="35"/>
      <c r="H24" s="35"/>
      <c r="I24" s="218"/>
      <c r="J24" s="218"/>
      <c r="K24" s="36"/>
      <c r="L24" s="218">
        <v>1155.19</v>
      </c>
      <c r="M24" s="36"/>
      <c r="N24" s="218"/>
      <c r="O24" s="36"/>
      <c r="P24" s="35"/>
      <c r="Q24" s="36"/>
      <c r="R24" s="36"/>
      <c r="S24" s="36"/>
      <c r="X24"/>
    </row>
    <row r="25" spans="1:24" x14ac:dyDescent="0.2">
      <c r="A25" s="779">
        <v>5710</v>
      </c>
      <c r="B25" s="12" t="s">
        <v>869</v>
      </c>
      <c r="C25" s="35"/>
      <c r="D25" s="35"/>
      <c r="E25" s="35"/>
      <c r="F25" s="35">
        <v>409.6</v>
      </c>
      <c r="G25" s="35">
        <v>145.52000000000001</v>
      </c>
      <c r="H25" s="35">
        <v>465.13</v>
      </c>
      <c r="I25" s="218">
        <v>1073.92</v>
      </c>
      <c r="J25" s="218">
        <v>303.67</v>
      </c>
      <c r="K25" s="36">
        <v>400</v>
      </c>
      <c r="L25" s="218">
        <v>163.09</v>
      </c>
      <c r="M25" s="36">
        <v>400</v>
      </c>
      <c r="N25" s="218">
        <v>506.91</v>
      </c>
      <c r="O25" s="36">
        <v>400</v>
      </c>
      <c r="P25" s="35">
        <v>125.64</v>
      </c>
      <c r="Q25" s="36">
        <v>400</v>
      </c>
      <c r="R25" s="36"/>
      <c r="S25" s="36"/>
      <c r="X25"/>
    </row>
    <row r="26" spans="1:24" ht="13.5" thickBot="1" x14ac:dyDescent="0.25">
      <c r="A26" s="779">
        <v>5730</v>
      </c>
      <c r="B26" s="12" t="s">
        <v>1316</v>
      </c>
      <c r="C26" s="15"/>
      <c r="D26" s="15"/>
      <c r="E26" s="15"/>
      <c r="F26" s="15">
        <v>515</v>
      </c>
      <c r="G26" s="15">
        <v>335</v>
      </c>
      <c r="H26" s="15">
        <v>415</v>
      </c>
      <c r="I26" s="270">
        <v>335</v>
      </c>
      <c r="J26" s="270">
        <v>300</v>
      </c>
      <c r="K26" s="16">
        <v>400</v>
      </c>
      <c r="L26" s="270">
        <v>310</v>
      </c>
      <c r="M26" s="16">
        <v>400</v>
      </c>
      <c r="N26" s="270">
        <v>375</v>
      </c>
      <c r="O26" s="16">
        <v>400</v>
      </c>
      <c r="P26" s="15">
        <v>305</v>
      </c>
      <c r="Q26" s="16">
        <v>400</v>
      </c>
      <c r="R26" s="16"/>
      <c r="S26" s="16"/>
      <c r="X26"/>
    </row>
    <row r="27" spans="1:24" x14ac:dyDescent="0.2">
      <c r="A27" s="779"/>
      <c r="B27" s="17" t="s">
        <v>1433</v>
      </c>
      <c r="C27" s="18">
        <f t="shared" ref="C27:P27" si="2">SUM(C15:C26)</f>
        <v>3531.26</v>
      </c>
      <c r="D27" s="18">
        <f t="shared" si="2"/>
        <v>3631.42</v>
      </c>
      <c r="E27" s="18">
        <f t="shared" si="2"/>
        <v>3636.49</v>
      </c>
      <c r="F27" s="18">
        <f>SUM(F15:F26)</f>
        <v>11808.890000000001</v>
      </c>
      <c r="G27" s="18">
        <f>SUM(G15:G26)</f>
        <v>11308.91</v>
      </c>
      <c r="H27" s="18">
        <f>SUM(H15:H26)</f>
        <v>13270.05</v>
      </c>
      <c r="I27" s="18">
        <f t="shared" si="2"/>
        <v>12845.699999999999</v>
      </c>
      <c r="J27" s="18">
        <f t="shared" ref="J27" si="3">SUM(J15:J26)</f>
        <v>17565.539999999997</v>
      </c>
      <c r="K27" s="19">
        <f>SUM(K15:K26)</f>
        <v>16195</v>
      </c>
      <c r="L27" s="18">
        <f t="shared" ref="L27:O27" si="4">SUM(L15:L26)</f>
        <v>36336.25</v>
      </c>
      <c r="M27" s="19">
        <f t="shared" si="4"/>
        <v>16795</v>
      </c>
      <c r="N27" s="18">
        <f t="shared" ref="N27" si="5">SUM(N15:N26)</f>
        <v>21342.030000000002</v>
      </c>
      <c r="O27" s="19">
        <f t="shared" si="4"/>
        <v>16795</v>
      </c>
      <c r="P27" s="18">
        <f t="shared" si="2"/>
        <v>15628.87</v>
      </c>
      <c r="Q27" s="19">
        <f>SUM(Q15:Q26)</f>
        <v>19700</v>
      </c>
      <c r="R27" s="19"/>
      <c r="S27" s="19">
        <f>SUM(S15:S26)</f>
        <v>0</v>
      </c>
      <c r="X27"/>
    </row>
    <row r="28" spans="1:24" x14ac:dyDescent="0.2">
      <c r="A28" s="779"/>
      <c r="B28" s="12"/>
      <c r="C28" s="13"/>
      <c r="D28" s="13"/>
      <c r="E28" s="13"/>
      <c r="F28" s="13"/>
      <c r="G28" s="13"/>
      <c r="H28" s="13"/>
      <c r="I28" s="13"/>
      <c r="J28" s="13"/>
      <c r="K28" s="14"/>
      <c r="L28" s="13"/>
      <c r="M28" s="14"/>
      <c r="N28" s="13"/>
      <c r="O28" s="14"/>
      <c r="P28" s="13"/>
      <c r="Q28" s="14"/>
      <c r="R28" s="14"/>
      <c r="S28" s="14"/>
      <c r="X28"/>
    </row>
    <row r="29" spans="1:24" ht="13.5" thickBot="1" x14ac:dyDescent="0.25">
      <c r="A29" s="780"/>
      <c r="B29" s="20" t="s">
        <v>1010</v>
      </c>
      <c r="C29" s="21">
        <f t="shared" ref="C29:Q29" si="6">+C27+C13</f>
        <v>93539.86</v>
      </c>
      <c r="D29" s="21">
        <f t="shared" si="6"/>
        <v>101235.73999999999</v>
      </c>
      <c r="E29" s="21">
        <f>+E27+E13</f>
        <v>104042.40999999999</v>
      </c>
      <c r="F29" s="21">
        <f>+F27+F13</f>
        <v>116111.64</v>
      </c>
      <c r="G29" s="21">
        <f>+G27+G13</f>
        <v>120911.25</v>
      </c>
      <c r="H29" s="21">
        <f>+H27+H13</f>
        <v>128193.00000000001</v>
      </c>
      <c r="I29" s="21">
        <f t="shared" si="6"/>
        <v>130539.37</v>
      </c>
      <c r="J29" s="21">
        <f t="shared" ref="J29" si="7">+J27+J13</f>
        <v>141325.91</v>
      </c>
      <c r="K29" s="22">
        <f t="shared" ref="K29:O29" si="8">+K27+K13</f>
        <v>143539</v>
      </c>
      <c r="L29" s="21">
        <f t="shared" si="8"/>
        <v>143294.66999999998</v>
      </c>
      <c r="M29" s="22">
        <f t="shared" si="8"/>
        <v>147944</v>
      </c>
      <c r="N29" s="21">
        <f t="shared" ref="N29" si="9">+N27+N13</f>
        <v>150684.97</v>
      </c>
      <c r="O29" s="22">
        <f t="shared" si="8"/>
        <v>153157</v>
      </c>
      <c r="P29" s="21">
        <f t="shared" si="6"/>
        <v>99318.209999999992</v>
      </c>
      <c r="Q29" s="22">
        <f t="shared" si="6"/>
        <v>160703</v>
      </c>
      <c r="R29" s="22">
        <f>+Q29</f>
        <v>160703</v>
      </c>
      <c r="S29" s="22">
        <f>+Q29</f>
        <v>160703</v>
      </c>
      <c r="X29"/>
    </row>
    <row r="30" spans="1:24" ht="16.5" thickTop="1" x14ac:dyDescent="0.25">
      <c r="A30" s="774"/>
      <c r="B30" s="4"/>
      <c r="C30" s="23"/>
      <c r="D30" s="23"/>
      <c r="E30" s="23"/>
      <c r="F30" s="23"/>
      <c r="G30" s="23"/>
      <c r="H30" s="23"/>
      <c r="I30" s="23"/>
      <c r="J30" s="23"/>
      <c r="K30" s="23"/>
      <c r="L30" s="23"/>
      <c r="M30" s="23"/>
      <c r="N30" s="23"/>
      <c r="O30" s="23"/>
      <c r="P30" s="199" t="s">
        <v>843</v>
      </c>
      <c r="Q30" s="1116">
        <f>+Q29-O29</f>
        <v>7546</v>
      </c>
      <c r="R30" s="1117">
        <f>ROUND((+Q30/O29),4)</f>
        <v>4.9299999999999997E-2</v>
      </c>
      <c r="S30" s="73"/>
      <c r="T30" s="23"/>
      <c r="U30" s="25"/>
      <c r="V30" s="201"/>
      <c r="W30" s="25"/>
      <c r="X30"/>
    </row>
    <row r="31" spans="1:24" ht="15.75" x14ac:dyDescent="0.25">
      <c r="A31" s="774"/>
      <c r="B31" s="4"/>
      <c r="C31" s="23"/>
      <c r="D31" s="23"/>
      <c r="E31" s="23"/>
      <c r="F31" s="23"/>
      <c r="G31" s="23"/>
      <c r="H31" s="23"/>
      <c r="I31" s="23"/>
      <c r="J31" s="23"/>
      <c r="K31" s="23"/>
      <c r="L31" s="23"/>
      <c r="M31" s="23"/>
      <c r="N31" s="23"/>
      <c r="O31" s="23"/>
      <c r="P31" s="25"/>
      <c r="Q31" s="23"/>
      <c r="R31" s="23"/>
      <c r="S31" s="73"/>
      <c r="T31" s="23"/>
      <c r="U31" s="25"/>
      <c r="V31" s="201"/>
      <c r="W31" s="25"/>
      <c r="X31"/>
    </row>
    <row r="32" spans="1:24" x14ac:dyDescent="0.2">
      <c r="A32" s="153"/>
      <c r="B32" s="63"/>
      <c r="C32" s="23"/>
      <c r="D32" s="23"/>
      <c r="E32" s="23"/>
      <c r="F32" s="23"/>
      <c r="G32" s="23"/>
      <c r="H32" s="23"/>
      <c r="I32" s="23"/>
      <c r="J32" s="23"/>
      <c r="K32" s="23"/>
      <c r="L32" s="23"/>
      <c r="M32" s="23"/>
      <c r="N32" s="23"/>
      <c r="O32" s="23"/>
      <c r="P32" s="25"/>
      <c r="Q32" s="23"/>
      <c r="R32" s="23"/>
      <c r="S32" s="73"/>
      <c r="T32" s="25"/>
      <c r="U32" s="25"/>
      <c r="V32" s="25"/>
      <c r="W32" s="25"/>
      <c r="X32"/>
    </row>
    <row r="33" spans="1:24" x14ac:dyDescent="0.2">
      <c r="A33" s="54"/>
      <c r="B33" s="4"/>
      <c r="C33" s="23"/>
      <c r="D33" s="23"/>
      <c r="E33" s="23"/>
      <c r="F33" s="23"/>
      <c r="G33" s="23"/>
      <c r="H33" s="23"/>
      <c r="I33" s="23"/>
      <c r="J33" s="23"/>
      <c r="K33" s="23"/>
      <c r="L33" s="23"/>
      <c r="M33" s="23"/>
      <c r="N33" s="23"/>
      <c r="O33" s="23"/>
      <c r="P33" s="25"/>
      <c r="Q33" s="23"/>
      <c r="R33" s="23"/>
      <c r="S33" s="23"/>
      <c r="T33" s="23"/>
      <c r="U33" s="25"/>
      <c r="V33" s="25"/>
      <c r="W33" s="25"/>
      <c r="X33"/>
    </row>
    <row r="34" spans="1:24" x14ac:dyDescent="0.2">
      <c r="A34" s="54" t="s">
        <v>911</v>
      </c>
      <c r="B34" s="4"/>
      <c r="D34" s="212"/>
      <c r="E34" s="212"/>
      <c r="F34" s="212"/>
      <c r="G34" s="212"/>
      <c r="H34" s="212"/>
      <c r="I34" s="212"/>
      <c r="J34" s="212"/>
      <c r="K34" s="212"/>
      <c r="L34" s="212"/>
      <c r="M34" s="212"/>
      <c r="N34" s="212"/>
      <c r="O34" s="212"/>
      <c r="X34"/>
    </row>
    <row r="35" spans="1:24" ht="13.5" thickBot="1" x14ac:dyDescent="0.25">
      <c r="A35" s="54"/>
      <c r="B35" s="4"/>
      <c r="D35" s="212"/>
      <c r="E35" s="212"/>
      <c r="F35" s="212"/>
      <c r="G35" s="212"/>
      <c r="H35" s="212"/>
      <c r="I35" s="212"/>
      <c r="J35" s="212"/>
      <c r="K35" s="212"/>
      <c r="L35" s="212"/>
      <c r="M35" s="212"/>
      <c r="N35" s="212"/>
      <c r="O35" s="212"/>
      <c r="X35"/>
    </row>
    <row r="36" spans="1:24" ht="13.5" thickTop="1" x14ac:dyDescent="0.2">
      <c r="A36" s="826" t="s">
        <v>872</v>
      </c>
      <c r="B36" s="99"/>
      <c r="D36" s="212"/>
      <c r="E36" s="212"/>
      <c r="F36" s="212"/>
      <c r="G36" s="212"/>
      <c r="H36" s="212"/>
      <c r="I36" s="212"/>
      <c r="J36" s="212"/>
      <c r="K36" s="212"/>
      <c r="L36" s="212"/>
      <c r="M36" s="269" t="s">
        <v>873</v>
      </c>
      <c r="N36" s="138" t="s">
        <v>1496</v>
      </c>
      <c r="O36" s="150"/>
      <c r="P36" s="140" t="s">
        <v>875</v>
      </c>
      <c r="Q36"/>
      <c r="R36"/>
      <c r="S36" s="205" t="s">
        <v>876</v>
      </c>
      <c r="T36"/>
      <c r="X36"/>
    </row>
    <row r="37" spans="1:24" ht="13.5" thickBot="1" x14ac:dyDescent="0.25">
      <c r="A37" s="132" t="s">
        <v>877</v>
      </c>
      <c r="B37" s="101" t="s">
        <v>878</v>
      </c>
      <c r="D37" s="212"/>
      <c r="E37" s="212"/>
      <c r="F37" s="212"/>
      <c r="G37" s="212"/>
      <c r="H37" s="212"/>
      <c r="I37" s="212"/>
      <c r="J37" s="212"/>
      <c r="K37" s="212"/>
      <c r="L37" s="212"/>
      <c r="M37" s="287">
        <v>45108</v>
      </c>
      <c r="N37" s="141" t="s">
        <v>879</v>
      </c>
      <c r="O37" s="142" t="s">
        <v>1175</v>
      </c>
      <c r="P37" s="142" t="s">
        <v>881</v>
      </c>
      <c r="Q37" s="107" t="s">
        <v>882</v>
      </c>
      <c r="R37" s="107"/>
      <c r="S37" s="107" t="s">
        <v>571</v>
      </c>
      <c r="T37" s="107" t="s">
        <v>883</v>
      </c>
      <c r="X37"/>
    </row>
    <row r="38" spans="1:24" ht="13.5" thickTop="1" x14ac:dyDescent="0.2">
      <c r="A38" s="153">
        <v>37165</v>
      </c>
      <c r="B38" s="102" t="s">
        <v>1497</v>
      </c>
      <c r="D38" s="212"/>
      <c r="E38" s="212"/>
      <c r="F38" s="212"/>
      <c r="G38" s="212"/>
      <c r="H38" s="212"/>
      <c r="I38" s="212"/>
      <c r="J38" s="212"/>
      <c r="K38" s="212"/>
      <c r="L38" s="212"/>
      <c r="M38" s="18" t="s">
        <v>915</v>
      </c>
      <c r="N38" s="18"/>
      <c r="O38" s="19"/>
      <c r="P38" s="137">
        <f>+'NAGE &amp; Non-Union Wages'!L10</f>
        <v>80384</v>
      </c>
      <c r="Q38" s="153">
        <v>37165</v>
      </c>
      <c r="R38" s="153"/>
      <c r="S38" s="783">
        <v>22</v>
      </c>
      <c r="T38" s="2">
        <v>1000</v>
      </c>
      <c r="X38"/>
    </row>
    <row r="39" spans="1:24" x14ac:dyDescent="0.2">
      <c r="A39" s="153">
        <v>41186</v>
      </c>
      <c r="B39" s="60" t="s">
        <v>1498</v>
      </c>
      <c r="D39" s="212"/>
      <c r="E39" s="212"/>
      <c r="F39" s="212"/>
      <c r="G39" s="212"/>
      <c r="H39" s="212"/>
      <c r="I39" s="212"/>
      <c r="J39" s="212"/>
      <c r="K39" s="212"/>
      <c r="L39" s="212"/>
      <c r="M39" s="13" t="s">
        <v>990</v>
      </c>
      <c r="N39" s="13">
        <f>+'NAGE &amp; Non-Union Wages'!L5</f>
        <v>23.72</v>
      </c>
      <c r="O39" s="13">
        <v>1040</v>
      </c>
      <c r="P39" s="13">
        <f>ROUND((+N39*O39),2)</f>
        <v>24668.799999999999</v>
      </c>
      <c r="Q39" s="153">
        <v>41186</v>
      </c>
      <c r="R39" s="153"/>
      <c r="S39" s="783">
        <v>11</v>
      </c>
      <c r="T39" s="2">
        <v>500</v>
      </c>
      <c r="X39"/>
    </row>
    <row r="40" spans="1:24" x14ac:dyDescent="0.2">
      <c r="A40" s="774"/>
      <c r="B40" s="4"/>
      <c r="C40" s="23"/>
      <c r="D40" s="23"/>
      <c r="E40" s="23"/>
      <c r="F40" s="23"/>
      <c r="G40" s="212"/>
      <c r="H40" s="212"/>
      <c r="I40" s="23"/>
      <c r="J40" s="23"/>
      <c r="K40" s="23"/>
      <c r="L40" s="23"/>
      <c r="M40" s="23"/>
      <c r="N40" s="23"/>
      <c r="O40" s="23"/>
      <c r="P40" s="25"/>
      <c r="Q40" s="23"/>
      <c r="R40" s="23"/>
      <c r="S40" s="23"/>
      <c r="T40" s="23"/>
      <c r="U40" s="25"/>
      <c r="V40" s="25"/>
      <c r="W40" s="25"/>
      <c r="X40"/>
    </row>
    <row r="41" spans="1:24" x14ac:dyDescent="0.2">
      <c r="A41" s="774"/>
      <c r="B41" s="4"/>
      <c r="C41" s="23"/>
      <c r="D41" s="23"/>
      <c r="E41" s="23"/>
      <c r="F41" s="23"/>
      <c r="G41" s="212"/>
      <c r="H41" s="212"/>
      <c r="I41" s="23"/>
      <c r="J41" s="23"/>
      <c r="K41" s="23"/>
      <c r="L41" s="23"/>
      <c r="M41" s="23"/>
      <c r="N41" s="23"/>
      <c r="O41" s="23"/>
      <c r="P41" s="25"/>
      <c r="Q41" s="23"/>
      <c r="R41" s="23"/>
      <c r="S41" s="23"/>
      <c r="T41" s="23"/>
      <c r="U41" s="25"/>
      <c r="V41" s="25"/>
      <c r="W41" s="25"/>
      <c r="X41"/>
    </row>
    <row r="42" spans="1:24" ht="13.5" thickBot="1" x14ac:dyDescent="0.25">
      <c r="A42" s="774"/>
      <c r="B42" s="4"/>
      <c r="C42" s="23"/>
      <c r="D42" s="23"/>
      <c r="E42" s="23"/>
      <c r="F42" s="23"/>
      <c r="G42" s="212"/>
      <c r="H42" s="212"/>
      <c r="I42" s="23"/>
      <c r="J42" s="23"/>
      <c r="K42" s="23"/>
      <c r="L42" s="23"/>
      <c r="M42" s="23"/>
      <c r="N42" s="23"/>
      <c r="O42" s="23"/>
      <c r="P42" s="25"/>
      <c r="Q42" s="23"/>
      <c r="R42" s="23"/>
      <c r="S42" s="23"/>
      <c r="T42" s="23"/>
      <c r="U42" s="25"/>
      <c r="V42" s="25"/>
      <c r="W42" s="25"/>
      <c r="X42"/>
    </row>
    <row r="43" spans="1:24" ht="13.5" thickTop="1" x14ac:dyDescent="0.2">
      <c r="A43" s="789"/>
      <c r="B43" s="367"/>
      <c r="C43" s="368" t="s">
        <v>280</v>
      </c>
      <c r="D43" s="369" t="s">
        <v>280</v>
      </c>
      <c r="E43" s="369" t="s">
        <v>280</v>
      </c>
      <c r="F43" s="212"/>
      <c r="G43" s="212"/>
      <c r="H43" s="212"/>
      <c r="I43" s="212"/>
      <c r="J43" s="212"/>
      <c r="K43" s="212"/>
      <c r="L43" s="212"/>
      <c r="M43" s="370" t="s">
        <v>279</v>
      </c>
      <c r="N43" s="371" t="s">
        <v>826</v>
      </c>
      <c r="O43" s="372" t="s">
        <v>840</v>
      </c>
      <c r="P43" s="371" t="s">
        <v>841</v>
      </c>
      <c r="Q43" s="373"/>
      <c r="R43" s="569"/>
      <c r="S43" s="372"/>
      <c r="T43" s="23"/>
      <c r="U43" s="25"/>
      <c r="V43" s="25"/>
      <c r="W43" s="25"/>
      <c r="X43"/>
    </row>
    <row r="44" spans="1:24" ht="13.5" thickBot="1" x14ac:dyDescent="0.25">
      <c r="A44" s="790" t="s">
        <v>825</v>
      </c>
      <c r="B44" s="374"/>
      <c r="C44" s="375" t="s">
        <v>267</v>
      </c>
      <c r="D44" s="375" t="s">
        <v>268</v>
      </c>
      <c r="E44" s="376" t="s">
        <v>269</v>
      </c>
      <c r="F44" s="212"/>
      <c r="G44" s="212"/>
      <c r="H44" s="212"/>
      <c r="I44" s="212"/>
      <c r="J44" s="212"/>
      <c r="K44" s="212"/>
      <c r="L44" s="212"/>
      <c r="M44" s="377" t="s">
        <v>277</v>
      </c>
      <c r="N44" s="377" t="s">
        <v>571</v>
      </c>
      <c r="O44" s="376" t="s">
        <v>843</v>
      </c>
      <c r="P44" s="378" t="s">
        <v>843</v>
      </c>
      <c r="Q44" s="379" t="s">
        <v>844</v>
      </c>
      <c r="R44" s="570"/>
      <c r="S44" s="377"/>
      <c r="T44" s="23"/>
      <c r="U44" s="25"/>
      <c r="V44" s="25"/>
      <c r="W44" s="25"/>
      <c r="X44"/>
    </row>
    <row r="45" spans="1:24" ht="13.5" thickTop="1" x14ac:dyDescent="0.2">
      <c r="A45" s="797"/>
      <c r="B45" s="394"/>
      <c r="C45" s="383"/>
      <c r="D45" s="383"/>
      <c r="E45" s="383"/>
      <c r="F45" s="212"/>
      <c r="G45" s="212"/>
      <c r="H45" s="212"/>
      <c r="I45" s="212"/>
      <c r="J45" s="212"/>
      <c r="K45" s="212"/>
      <c r="L45" s="212"/>
      <c r="M45" s="384"/>
      <c r="N45" s="383"/>
      <c r="O45" s="414">
        <f t="shared" ref="O45:O57" si="10">+N45-M45</f>
        <v>0</v>
      </c>
      <c r="P45" s="392"/>
      <c r="Q45" s="385"/>
      <c r="R45" s="572"/>
      <c r="S45" s="386"/>
      <c r="T45" s="23"/>
      <c r="U45" s="25"/>
      <c r="V45" s="25"/>
      <c r="W45" s="25"/>
      <c r="X45"/>
    </row>
    <row r="46" spans="1:24" x14ac:dyDescent="0.2">
      <c r="A46" s="795">
        <v>5111</v>
      </c>
      <c r="B46" s="418" t="s">
        <v>1488</v>
      </c>
      <c r="C46" s="391">
        <v>56733.95</v>
      </c>
      <c r="D46" s="391">
        <v>61829</v>
      </c>
      <c r="E46" s="391">
        <v>63697</v>
      </c>
      <c r="F46" s="212"/>
      <c r="G46" s="212"/>
      <c r="H46" s="212"/>
      <c r="I46" s="212"/>
      <c r="J46" s="212"/>
      <c r="K46" s="212"/>
      <c r="L46" s="212"/>
      <c r="M46" s="390">
        <f>+O9</f>
        <v>78423</v>
      </c>
      <c r="N46" s="411">
        <f>+Q9</f>
        <v>80384</v>
      </c>
      <c r="O46" s="414">
        <f t="shared" si="10"/>
        <v>1961</v>
      </c>
      <c r="P46" s="392">
        <f t="shared" ref="P46:P57" si="11">IF(M46+N46&lt;&gt;0,IF(M46&lt;&gt;0,IF(O46&lt;&gt;0,ROUND((+O46/M46),4),""),1),"")</f>
        <v>2.5000000000000001E-2</v>
      </c>
      <c r="Q46" s="385"/>
      <c r="R46" s="572"/>
      <c r="S46" s="386"/>
      <c r="T46" s="23"/>
      <c r="U46" s="25"/>
      <c r="V46" s="25"/>
      <c r="W46" s="25"/>
      <c r="X46"/>
    </row>
    <row r="47" spans="1:24" x14ac:dyDescent="0.2">
      <c r="A47" s="795">
        <v>5113</v>
      </c>
      <c r="B47" s="415" t="s">
        <v>1498</v>
      </c>
      <c r="C47" s="391">
        <v>14204.61</v>
      </c>
      <c r="D47" s="391">
        <v>16756.2</v>
      </c>
      <c r="E47" s="391">
        <v>17207.96</v>
      </c>
      <c r="F47" s="212"/>
      <c r="G47" s="212"/>
      <c r="H47" s="212"/>
      <c r="I47" s="212"/>
      <c r="J47" s="212"/>
      <c r="K47" s="212"/>
      <c r="L47" s="212"/>
      <c r="M47" s="390">
        <f>+O10</f>
        <v>23489</v>
      </c>
      <c r="N47" s="411">
        <f>+Q10</f>
        <v>24669</v>
      </c>
      <c r="O47" s="414">
        <f t="shared" si="10"/>
        <v>1180</v>
      </c>
      <c r="P47" s="392">
        <f t="shared" si="11"/>
        <v>5.0200000000000002E-2</v>
      </c>
      <c r="Q47" s="385"/>
      <c r="R47" s="572"/>
      <c r="S47" s="386"/>
      <c r="T47" s="23"/>
      <c r="U47" s="25"/>
      <c r="V47" s="25"/>
      <c r="W47" s="25"/>
      <c r="X47"/>
    </row>
    <row r="48" spans="1:24" x14ac:dyDescent="0.2">
      <c r="A48" s="795">
        <v>5124</v>
      </c>
      <c r="B48" s="387" t="s">
        <v>1234</v>
      </c>
      <c r="C48" s="391">
        <v>18920.04</v>
      </c>
      <c r="D48" s="391">
        <v>18869.12</v>
      </c>
      <c r="E48" s="391">
        <v>19350.96</v>
      </c>
      <c r="F48" s="212"/>
      <c r="G48" s="212"/>
      <c r="H48" s="212"/>
      <c r="I48" s="212"/>
      <c r="J48" s="212"/>
      <c r="K48" s="212"/>
      <c r="L48" s="212"/>
      <c r="M48" s="390">
        <f>+O11</f>
        <v>32950</v>
      </c>
      <c r="N48" s="411">
        <f>+Q11</f>
        <v>34450</v>
      </c>
      <c r="O48" s="414">
        <f t="shared" si="10"/>
        <v>1500</v>
      </c>
      <c r="P48" s="392">
        <f t="shared" si="11"/>
        <v>4.5499999999999999E-2</v>
      </c>
      <c r="Q48" s="385" t="s">
        <v>2238</v>
      </c>
      <c r="R48" s="572"/>
      <c r="S48" s="386"/>
      <c r="T48" s="23"/>
      <c r="U48" s="25"/>
      <c r="V48" s="25"/>
      <c r="W48" s="25"/>
      <c r="X48"/>
    </row>
    <row r="49" spans="1:24" ht="13.5" thickBot="1" x14ac:dyDescent="0.25">
      <c r="A49" s="795">
        <v>5144</v>
      </c>
      <c r="B49" s="387" t="s">
        <v>27</v>
      </c>
      <c r="C49" s="389">
        <v>150</v>
      </c>
      <c r="D49" s="389">
        <v>150</v>
      </c>
      <c r="E49" s="389">
        <v>150</v>
      </c>
      <c r="F49" s="212"/>
      <c r="G49" s="212"/>
      <c r="H49" s="212"/>
      <c r="I49" s="212"/>
      <c r="J49" s="212"/>
      <c r="K49" s="212"/>
      <c r="L49" s="212"/>
      <c r="M49" s="390">
        <f>+O12</f>
        <v>1500</v>
      </c>
      <c r="N49" s="411">
        <f>+Q12</f>
        <v>1500</v>
      </c>
      <c r="O49" s="386">
        <f t="shared" si="10"/>
        <v>0</v>
      </c>
      <c r="P49" s="392" t="str">
        <f t="shared" si="11"/>
        <v/>
      </c>
      <c r="Q49" s="385"/>
      <c r="R49" s="572"/>
      <c r="S49" s="386"/>
      <c r="T49" s="23"/>
      <c r="U49" s="25"/>
      <c r="V49" s="25"/>
      <c r="W49" s="25"/>
      <c r="X49"/>
    </row>
    <row r="50" spans="1:24" x14ac:dyDescent="0.2">
      <c r="A50" s="795">
        <v>5242</v>
      </c>
      <c r="B50" s="387" t="s">
        <v>1490</v>
      </c>
      <c r="C50" s="391"/>
      <c r="D50" s="391"/>
      <c r="E50" s="391"/>
      <c r="F50" s="212"/>
      <c r="G50" s="212"/>
      <c r="H50" s="212"/>
      <c r="I50" s="212"/>
      <c r="J50" s="212"/>
      <c r="K50" s="212"/>
      <c r="L50" s="212"/>
      <c r="M50" s="384">
        <f>+O15</f>
        <v>12095</v>
      </c>
      <c r="N50" s="410">
        <f>+Q15</f>
        <v>15000</v>
      </c>
      <c r="O50" s="414">
        <f t="shared" si="10"/>
        <v>2905</v>
      </c>
      <c r="P50" s="392">
        <f t="shared" si="11"/>
        <v>0.2402</v>
      </c>
      <c r="Q50" s="397"/>
      <c r="R50" s="1018"/>
      <c r="S50" s="414"/>
      <c r="T50" s="23"/>
      <c r="U50" s="25"/>
      <c r="V50" s="25"/>
      <c r="W50" s="25"/>
      <c r="X50"/>
    </row>
    <row r="51" spans="1:24" x14ac:dyDescent="0.2">
      <c r="A51" s="795">
        <v>5248</v>
      </c>
      <c r="B51" s="387" t="s">
        <v>1493</v>
      </c>
      <c r="C51" s="393"/>
      <c r="D51" s="393"/>
      <c r="E51" s="393"/>
      <c r="F51" s="212"/>
      <c r="G51" s="212"/>
      <c r="H51" s="212"/>
      <c r="I51" s="212"/>
      <c r="J51" s="212"/>
      <c r="K51" s="212"/>
      <c r="L51" s="212"/>
      <c r="M51" s="384">
        <f>+O18</f>
        <v>1400</v>
      </c>
      <c r="N51" s="410">
        <f>+Q18</f>
        <v>1400</v>
      </c>
      <c r="O51" s="414">
        <f t="shared" si="10"/>
        <v>0</v>
      </c>
      <c r="P51" s="392" t="str">
        <f t="shared" si="11"/>
        <v/>
      </c>
      <c r="Q51" s="385"/>
      <c r="R51" s="572"/>
      <c r="S51" s="386"/>
      <c r="T51" s="23"/>
      <c r="U51" s="25"/>
      <c r="V51" s="25"/>
      <c r="W51" s="25"/>
      <c r="X51"/>
    </row>
    <row r="52" spans="1:24" x14ac:dyDescent="0.2">
      <c r="A52" s="795">
        <v>5314</v>
      </c>
      <c r="B52" s="387" t="s">
        <v>860</v>
      </c>
      <c r="C52" s="393"/>
      <c r="D52" s="393"/>
      <c r="E52" s="393"/>
      <c r="F52" s="212"/>
      <c r="G52" s="212"/>
      <c r="H52" s="212"/>
      <c r="I52" s="212"/>
      <c r="J52" s="212"/>
      <c r="K52" s="212"/>
      <c r="L52" s="212"/>
      <c r="M52" s="384">
        <f>+O19</f>
        <v>700</v>
      </c>
      <c r="N52" s="410">
        <f>+Q19</f>
        <v>700</v>
      </c>
      <c r="O52" s="414">
        <f t="shared" si="10"/>
        <v>0</v>
      </c>
      <c r="P52" s="392" t="str">
        <f t="shared" si="11"/>
        <v/>
      </c>
      <c r="Q52" s="385"/>
      <c r="R52" s="572"/>
      <c r="S52" s="386"/>
      <c r="T52" s="23"/>
      <c r="U52" s="25"/>
      <c r="V52" s="25"/>
      <c r="W52" s="25"/>
      <c r="X52"/>
    </row>
    <row r="53" spans="1:24" x14ac:dyDescent="0.2">
      <c r="A53" s="795">
        <v>5341</v>
      </c>
      <c r="B53" s="387" t="s">
        <v>862</v>
      </c>
      <c r="C53" s="391">
        <v>414.26</v>
      </c>
      <c r="D53" s="391">
        <v>403.42</v>
      </c>
      <c r="E53" s="391">
        <v>408.49</v>
      </c>
      <c r="F53" s="212"/>
      <c r="G53" s="212"/>
      <c r="H53" s="212"/>
      <c r="I53" s="212"/>
      <c r="J53" s="212"/>
      <c r="K53" s="212"/>
      <c r="L53" s="212"/>
      <c r="M53" s="384">
        <f>+O20</f>
        <v>0</v>
      </c>
      <c r="N53" s="410">
        <f>+Q20</f>
        <v>0</v>
      </c>
      <c r="O53" s="414">
        <f t="shared" si="10"/>
        <v>0</v>
      </c>
      <c r="P53" s="392" t="str">
        <f t="shared" si="11"/>
        <v/>
      </c>
      <c r="Q53" s="385"/>
      <c r="R53" s="572"/>
      <c r="S53" s="386"/>
      <c r="T53" s="23"/>
      <c r="U53" s="25"/>
      <c r="V53" s="25"/>
      <c r="W53" s="25"/>
      <c r="X53"/>
    </row>
    <row r="54" spans="1:24" x14ac:dyDescent="0.2">
      <c r="A54" s="795">
        <v>5342</v>
      </c>
      <c r="B54" s="387" t="s">
        <v>1484</v>
      </c>
      <c r="C54" s="391"/>
      <c r="D54" s="391"/>
      <c r="E54" s="391"/>
      <c r="F54" s="212"/>
      <c r="G54" s="212"/>
      <c r="H54" s="212"/>
      <c r="I54" s="212"/>
      <c r="J54" s="212"/>
      <c r="K54" s="212"/>
      <c r="L54" s="212"/>
      <c r="M54" s="384">
        <f>+O21</f>
        <v>1800</v>
      </c>
      <c r="N54" s="410">
        <f>+Q21</f>
        <v>1800</v>
      </c>
      <c r="O54" s="414">
        <f t="shared" si="10"/>
        <v>0</v>
      </c>
      <c r="P54" s="392" t="str">
        <f t="shared" si="11"/>
        <v/>
      </c>
      <c r="Q54" s="385"/>
      <c r="R54" s="572"/>
      <c r="S54" s="386"/>
      <c r="T54" s="23"/>
      <c r="U54" s="25"/>
      <c r="V54" s="25"/>
      <c r="W54" s="25"/>
      <c r="X54"/>
    </row>
    <row r="55" spans="1:24" x14ac:dyDescent="0.2">
      <c r="A55" s="795">
        <v>5500</v>
      </c>
      <c r="B55" s="387" t="s">
        <v>1494</v>
      </c>
      <c r="C55" s="393"/>
      <c r="D55" s="393"/>
      <c r="E55" s="393"/>
      <c r="F55" s="212"/>
      <c r="G55" s="212"/>
      <c r="H55" s="212"/>
      <c r="I55" s="212"/>
      <c r="J55" s="212"/>
      <c r="K55" s="212"/>
      <c r="L55" s="212"/>
      <c r="M55" s="384">
        <f>+O22</f>
        <v>0</v>
      </c>
      <c r="N55" s="410">
        <f>+Q22</f>
        <v>0</v>
      </c>
      <c r="O55" s="414">
        <f t="shared" si="10"/>
        <v>0</v>
      </c>
      <c r="P55" s="392" t="str">
        <f t="shared" si="11"/>
        <v/>
      </c>
      <c r="Q55" s="385"/>
      <c r="R55" s="572"/>
      <c r="S55" s="386"/>
      <c r="T55" s="23"/>
      <c r="U55" s="25"/>
      <c r="V55" s="25"/>
      <c r="W55" s="25"/>
      <c r="X55"/>
    </row>
    <row r="56" spans="1:24" x14ac:dyDescent="0.2">
      <c r="A56" s="795">
        <v>5710</v>
      </c>
      <c r="B56" s="387" t="s">
        <v>869</v>
      </c>
      <c r="C56" s="393"/>
      <c r="D56" s="393"/>
      <c r="E56" s="393"/>
      <c r="F56" s="212"/>
      <c r="G56" s="212"/>
      <c r="H56" s="212"/>
      <c r="I56" s="212"/>
      <c r="J56" s="212"/>
      <c r="K56" s="212"/>
      <c r="L56" s="212"/>
      <c r="M56" s="384">
        <f>+O25</f>
        <v>400</v>
      </c>
      <c r="N56" s="410">
        <f>+Q25</f>
        <v>400</v>
      </c>
      <c r="O56" s="414">
        <f t="shared" si="10"/>
        <v>0</v>
      </c>
      <c r="P56" s="392" t="str">
        <f t="shared" si="11"/>
        <v/>
      </c>
      <c r="Q56" s="385"/>
      <c r="R56" s="572"/>
      <c r="S56" s="386"/>
      <c r="T56" s="23"/>
      <c r="U56" s="25"/>
      <c r="V56" s="25"/>
      <c r="W56" s="25"/>
      <c r="X56"/>
    </row>
    <row r="57" spans="1:24" ht="13.5" thickBot="1" x14ac:dyDescent="0.25">
      <c r="A57" s="795">
        <v>5730</v>
      </c>
      <c r="B57" s="387" t="s">
        <v>1316</v>
      </c>
      <c r="C57" s="389"/>
      <c r="D57" s="389"/>
      <c r="E57" s="389"/>
      <c r="F57" s="212"/>
      <c r="G57" s="212"/>
      <c r="H57" s="212"/>
      <c r="I57" s="212"/>
      <c r="J57" s="212"/>
      <c r="K57" s="212"/>
      <c r="L57" s="212"/>
      <c r="M57" s="384">
        <f>+O26</f>
        <v>400</v>
      </c>
      <c r="N57" s="410">
        <f>+Q26</f>
        <v>400</v>
      </c>
      <c r="O57" s="419">
        <f t="shared" si="10"/>
        <v>0</v>
      </c>
      <c r="P57" s="392" t="str">
        <f t="shared" si="11"/>
        <v/>
      </c>
      <c r="Q57" s="420"/>
      <c r="R57" s="1029"/>
      <c r="S57" s="419"/>
      <c r="T57" s="23"/>
      <c r="U57" s="25"/>
      <c r="V57" s="25"/>
      <c r="W57" s="25"/>
      <c r="X57"/>
    </row>
    <row r="58" spans="1:24" x14ac:dyDescent="0.2">
      <c r="A58" s="774"/>
      <c r="B58" s="4"/>
      <c r="C58" s="23"/>
      <c r="D58" s="23"/>
      <c r="E58" s="23"/>
      <c r="F58" s="23"/>
      <c r="G58" s="23"/>
      <c r="H58" s="212"/>
      <c r="I58" s="212"/>
      <c r="J58" s="212"/>
      <c r="K58" s="212"/>
      <c r="L58" s="212"/>
      <c r="M58" s="23"/>
      <c r="N58" s="23"/>
      <c r="O58" s="23"/>
      <c r="P58" s="4"/>
      <c r="Q58" s="23"/>
      <c r="R58" s="23"/>
      <c r="S58" s="23"/>
      <c r="T58" s="23"/>
      <c r="U58" s="4"/>
      <c r="V58" s="4"/>
      <c r="W58" s="4"/>
      <c r="X58"/>
    </row>
    <row r="59" spans="1:24" x14ac:dyDescent="0.2">
      <c r="A59" s="774"/>
      <c r="B59" s="4" t="s">
        <v>846</v>
      </c>
      <c r="C59" s="23"/>
      <c r="D59" s="23"/>
      <c r="E59" s="23"/>
      <c r="F59" s="23"/>
      <c r="G59" s="23"/>
      <c r="H59" s="212"/>
      <c r="I59" s="212"/>
      <c r="J59" s="212"/>
      <c r="K59" s="212"/>
      <c r="L59" s="212"/>
      <c r="M59" s="616">
        <f>SUM(M46:M58)</f>
        <v>153157</v>
      </c>
      <c r="N59" s="616">
        <f>SUM(N46:N58)</f>
        <v>160703</v>
      </c>
      <c r="O59" s="25">
        <f>+N59-M59</f>
        <v>7546</v>
      </c>
      <c r="P59" s="617">
        <f>IF(M59+N59&lt;&gt;0,IF(M59&lt;&gt;0,IF(O59&lt;&gt;0,ROUND((+O59/M59),4),""),1),"")</f>
        <v>4.9299999999999997E-2</v>
      </c>
      <c r="Q59" s="23"/>
      <c r="R59" s="23"/>
      <c r="S59" s="23"/>
      <c r="T59" s="23"/>
      <c r="U59" s="4"/>
      <c r="V59" s="4"/>
      <c r="W59" s="4"/>
      <c r="X59"/>
    </row>
    <row r="60" spans="1:24" x14ac:dyDescent="0.2">
      <c r="A60" s="774"/>
      <c r="B60" s="4"/>
      <c r="C60" s="23"/>
      <c r="D60" s="23"/>
      <c r="E60" s="23"/>
      <c r="F60" s="23"/>
      <c r="G60" s="23"/>
      <c r="H60" s="212"/>
      <c r="I60" s="23"/>
      <c r="J60" s="23"/>
      <c r="K60" s="23"/>
      <c r="L60" s="23"/>
      <c r="M60" s="23"/>
      <c r="N60" s="23"/>
      <c r="O60" s="23"/>
      <c r="P60" s="4"/>
      <c r="Q60" s="23"/>
      <c r="R60" s="23"/>
      <c r="S60" s="23"/>
      <c r="T60" s="23"/>
      <c r="U60" s="4"/>
      <c r="V60" s="4"/>
      <c r="W60" s="4"/>
      <c r="X60"/>
    </row>
    <row r="61" spans="1:24" x14ac:dyDescent="0.2">
      <c r="A61" s="774"/>
      <c r="B61" s="4"/>
      <c r="C61" s="23"/>
      <c r="D61" s="23"/>
      <c r="E61" s="23"/>
      <c r="F61" s="23"/>
      <c r="G61" s="23"/>
      <c r="H61" s="23"/>
      <c r="I61" s="23"/>
      <c r="J61" s="23"/>
      <c r="K61" s="23"/>
      <c r="L61" s="23"/>
      <c r="M61" s="23"/>
      <c r="N61" s="23"/>
      <c r="O61" s="23"/>
      <c r="P61" s="4"/>
      <c r="Q61" s="23"/>
      <c r="R61" s="23"/>
      <c r="S61" s="23"/>
      <c r="T61" s="23"/>
      <c r="U61" s="4"/>
      <c r="V61" s="4"/>
      <c r="W61" s="4"/>
      <c r="X61"/>
    </row>
    <row r="62" spans="1:24" x14ac:dyDescent="0.2">
      <c r="A62" s="774"/>
      <c r="B62" s="4"/>
      <c r="C62" s="23"/>
      <c r="D62" s="23"/>
      <c r="E62" s="23"/>
      <c r="F62" s="23"/>
      <c r="G62" s="23"/>
      <c r="H62" s="23"/>
      <c r="I62" s="23"/>
      <c r="J62" s="23"/>
      <c r="K62" s="23"/>
      <c r="L62" s="23"/>
      <c r="M62" s="23"/>
      <c r="N62" s="23"/>
      <c r="O62" s="23"/>
      <c r="P62" s="4"/>
      <c r="Q62" s="23"/>
      <c r="R62" s="23"/>
      <c r="S62" s="23"/>
      <c r="T62" s="23"/>
      <c r="U62" s="4"/>
      <c r="V62" s="4"/>
      <c r="W62" s="4"/>
      <c r="X62"/>
    </row>
    <row r="63" spans="1:24" x14ac:dyDescent="0.2">
      <c r="A63" s="774"/>
      <c r="B63" s="4"/>
      <c r="C63" s="23"/>
      <c r="D63" s="23"/>
      <c r="E63" s="23"/>
      <c r="F63" s="23"/>
      <c r="G63" s="23"/>
      <c r="H63" s="23"/>
      <c r="I63" s="23"/>
      <c r="J63" s="23"/>
      <c r="K63" s="23"/>
      <c r="L63" s="23"/>
      <c r="M63" s="23"/>
      <c r="N63" s="23"/>
      <c r="O63" s="23"/>
      <c r="P63" s="4"/>
      <c r="Q63" s="23"/>
      <c r="R63" s="23"/>
      <c r="S63" s="23"/>
      <c r="T63" s="23"/>
      <c r="U63" s="4"/>
      <c r="V63" s="4"/>
      <c r="W63" s="4"/>
      <c r="X63"/>
    </row>
    <row r="64" spans="1:24" x14ac:dyDescent="0.2">
      <c r="A64" s="774"/>
      <c r="B64" s="4"/>
      <c r="C64" s="23"/>
      <c r="D64" s="23"/>
      <c r="E64" s="23"/>
      <c r="F64" s="23"/>
      <c r="G64" s="23"/>
      <c r="H64" s="23"/>
      <c r="I64" s="23"/>
      <c r="J64" s="23"/>
      <c r="K64" s="23"/>
      <c r="L64" s="23"/>
      <c r="M64" s="23"/>
      <c r="N64" s="23"/>
      <c r="O64" s="23"/>
      <c r="P64" s="4"/>
      <c r="Q64" s="23"/>
      <c r="R64" s="23"/>
      <c r="S64" s="23"/>
      <c r="T64" s="23"/>
      <c r="U64" s="4"/>
      <c r="V64" s="4"/>
      <c r="W64" s="4"/>
      <c r="X64"/>
    </row>
    <row r="65" spans="1:24" x14ac:dyDescent="0.2">
      <c r="A65" s="774"/>
      <c r="B65" s="4"/>
      <c r="C65" s="23"/>
      <c r="D65" s="23"/>
      <c r="E65" s="23"/>
      <c r="F65" s="23"/>
      <c r="G65" s="23"/>
      <c r="H65" s="23"/>
      <c r="I65" s="23"/>
      <c r="J65" s="23"/>
      <c r="K65" s="23"/>
      <c r="L65" s="23"/>
      <c r="M65" s="23"/>
      <c r="N65" s="23"/>
      <c r="O65" s="23"/>
      <c r="P65" s="4"/>
      <c r="Q65" s="23"/>
      <c r="R65" s="23"/>
      <c r="S65" s="23"/>
      <c r="T65" s="23"/>
      <c r="U65" s="4"/>
      <c r="V65" s="4"/>
      <c r="W65" s="4"/>
      <c r="X65"/>
    </row>
    <row r="66" spans="1:24" x14ac:dyDescent="0.2">
      <c r="A66" s="774"/>
      <c r="B66" s="4"/>
      <c r="C66" s="23"/>
      <c r="D66" s="23"/>
      <c r="E66" s="23"/>
      <c r="F66" s="23"/>
      <c r="G66" s="23"/>
      <c r="H66" s="23"/>
      <c r="I66" s="23"/>
      <c r="J66" s="23"/>
      <c r="K66" s="23"/>
      <c r="L66" s="23"/>
      <c r="M66" s="23"/>
      <c r="N66" s="23"/>
      <c r="O66" s="23"/>
      <c r="P66" s="4"/>
      <c r="Q66" s="23"/>
      <c r="R66" s="23"/>
      <c r="S66" s="23"/>
      <c r="T66" s="23"/>
      <c r="U66" s="4"/>
      <c r="V66" s="4"/>
      <c r="W66" s="4"/>
      <c r="X66"/>
    </row>
    <row r="67" spans="1:24" x14ac:dyDescent="0.2">
      <c r="A67" s="774"/>
      <c r="B67" s="4"/>
      <c r="C67" s="23"/>
      <c r="D67" s="23"/>
      <c r="E67" s="23"/>
      <c r="F67" s="23"/>
      <c r="G67" s="23"/>
      <c r="H67" s="23"/>
      <c r="I67" s="23"/>
      <c r="J67" s="23"/>
      <c r="K67" s="23"/>
      <c r="L67" s="23"/>
      <c r="M67" s="23"/>
      <c r="N67" s="23"/>
      <c r="O67" s="23"/>
      <c r="P67" s="4"/>
      <c r="Q67" s="23"/>
      <c r="R67" s="23"/>
      <c r="S67" s="23"/>
      <c r="T67" s="23"/>
      <c r="U67" s="4"/>
      <c r="V67" s="4"/>
      <c r="W67" s="4"/>
      <c r="X67"/>
    </row>
    <row r="68" spans="1:24" x14ac:dyDescent="0.2">
      <c r="A68" s="774"/>
      <c r="B68" s="4"/>
      <c r="C68" s="23"/>
      <c r="D68" s="23"/>
      <c r="E68" s="23"/>
      <c r="F68" s="23"/>
      <c r="G68" s="23"/>
      <c r="H68" s="23"/>
      <c r="I68" s="23"/>
      <c r="J68" s="23"/>
      <c r="K68" s="23"/>
      <c r="L68" s="23"/>
      <c r="M68" s="23"/>
      <c r="N68" s="23"/>
      <c r="O68" s="23"/>
      <c r="P68" s="4"/>
      <c r="Q68" s="23"/>
      <c r="R68" s="23"/>
      <c r="S68" s="23"/>
      <c r="T68" s="23"/>
      <c r="U68" s="4"/>
      <c r="V68" s="4"/>
      <c r="W68" s="4"/>
      <c r="X68"/>
    </row>
    <row r="69" spans="1:24" x14ac:dyDescent="0.2">
      <c r="A69" s="774"/>
      <c r="B69" s="4"/>
      <c r="C69" s="23"/>
      <c r="D69" s="23"/>
      <c r="E69" s="23"/>
      <c r="F69" s="23"/>
      <c r="G69" s="23"/>
      <c r="H69" s="23"/>
      <c r="I69" s="23"/>
      <c r="J69" s="23"/>
      <c r="K69" s="23"/>
      <c r="L69" s="23"/>
      <c r="M69" s="23"/>
      <c r="N69" s="23"/>
      <c r="O69" s="23"/>
      <c r="P69" s="4"/>
      <c r="Q69" s="23"/>
      <c r="R69" s="23"/>
      <c r="S69" s="23"/>
      <c r="T69" s="23"/>
      <c r="U69" s="4"/>
      <c r="V69" s="4"/>
      <c r="W69" s="4"/>
      <c r="X69"/>
    </row>
    <row r="70" spans="1:24" x14ac:dyDescent="0.2">
      <c r="A70" s="774"/>
      <c r="B70" s="4"/>
      <c r="C70" s="23"/>
      <c r="D70" s="23"/>
      <c r="E70" s="23"/>
      <c r="F70" s="23"/>
      <c r="G70" s="23"/>
      <c r="H70" s="23"/>
      <c r="I70" s="23"/>
      <c r="J70" s="23"/>
      <c r="K70" s="23"/>
      <c r="L70" s="23"/>
      <c r="M70" s="23"/>
      <c r="N70" s="23"/>
      <c r="O70" s="23"/>
      <c r="P70" s="4"/>
      <c r="Q70" s="23"/>
      <c r="R70" s="23"/>
      <c r="S70" s="23"/>
      <c r="T70" s="23"/>
      <c r="U70" s="4"/>
      <c r="V70" s="4"/>
      <c r="W70" s="4"/>
      <c r="X70"/>
    </row>
    <row r="71" spans="1:24" x14ac:dyDescent="0.2">
      <c r="A71" s="774"/>
      <c r="B71" s="4"/>
      <c r="C71" s="23"/>
      <c r="D71" s="23"/>
      <c r="E71" s="23"/>
      <c r="F71" s="23"/>
      <c r="G71" s="23"/>
      <c r="H71" s="23"/>
      <c r="I71" s="23"/>
      <c r="J71" s="23"/>
      <c r="K71" s="23"/>
      <c r="L71" s="23"/>
      <c r="M71" s="23"/>
      <c r="N71" s="23"/>
      <c r="O71" s="23"/>
      <c r="P71" s="4"/>
      <c r="Q71" s="23"/>
      <c r="R71" s="23"/>
      <c r="S71" s="23"/>
      <c r="T71" s="23"/>
      <c r="U71" s="4"/>
      <c r="V71" s="4"/>
      <c r="W71" s="4"/>
      <c r="X71"/>
    </row>
    <row r="72" spans="1:24" x14ac:dyDescent="0.2">
      <c r="A72" s="774"/>
      <c r="B72" s="4"/>
      <c r="C72" s="23"/>
      <c r="D72" s="23"/>
      <c r="E72" s="23"/>
      <c r="F72" s="23"/>
      <c r="G72" s="23"/>
      <c r="H72" s="23"/>
      <c r="I72" s="23"/>
      <c r="J72" s="23"/>
      <c r="K72" s="23"/>
      <c r="L72" s="23"/>
      <c r="M72" s="23"/>
      <c r="N72" s="23"/>
      <c r="O72" s="23"/>
      <c r="P72" s="4"/>
      <c r="Q72" s="23"/>
      <c r="R72" s="23"/>
      <c r="S72" s="23"/>
      <c r="T72" s="23"/>
      <c r="U72" s="4"/>
      <c r="V72" s="4"/>
      <c r="W72" s="4"/>
      <c r="X72"/>
    </row>
    <row r="73" spans="1:24" x14ac:dyDescent="0.2">
      <c r="A73" s="774"/>
      <c r="B73" s="4"/>
      <c r="C73" s="23"/>
      <c r="D73" s="23"/>
      <c r="E73" s="23"/>
      <c r="F73" s="23"/>
      <c r="G73" s="23"/>
      <c r="H73" s="23"/>
      <c r="I73" s="23"/>
      <c r="J73" s="23"/>
      <c r="K73" s="23"/>
      <c r="L73" s="23"/>
      <c r="M73" s="23"/>
      <c r="N73" s="23"/>
      <c r="O73" s="23"/>
      <c r="P73" s="4"/>
      <c r="Q73" s="23"/>
      <c r="R73" s="23"/>
      <c r="S73" s="23"/>
      <c r="T73" s="23"/>
      <c r="U73" s="4"/>
      <c r="V73" s="4"/>
      <c r="W73" s="4"/>
      <c r="X73"/>
    </row>
    <row r="74" spans="1:24" x14ac:dyDescent="0.2">
      <c r="A74" s="774"/>
      <c r="B74" s="4"/>
      <c r="C74" s="23"/>
      <c r="D74" s="23"/>
      <c r="E74" s="23"/>
      <c r="F74" s="23"/>
      <c r="G74" s="23"/>
      <c r="H74" s="23"/>
      <c r="I74" s="23"/>
      <c r="J74" s="23"/>
      <c r="K74" s="23"/>
      <c r="L74" s="23"/>
      <c r="M74" s="23"/>
      <c r="N74" s="23"/>
      <c r="O74" s="23"/>
      <c r="P74" s="4"/>
      <c r="Q74" s="23"/>
      <c r="R74" s="23"/>
      <c r="S74" s="23"/>
      <c r="T74" s="23"/>
      <c r="U74" s="4"/>
      <c r="V74" s="4"/>
      <c r="W74" s="4"/>
      <c r="X74"/>
    </row>
    <row r="75" spans="1:24" x14ac:dyDescent="0.2">
      <c r="A75" s="774"/>
      <c r="B75" s="4"/>
      <c r="C75" s="23"/>
      <c r="D75" s="23"/>
      <c r="E75" s="23"/>
      <c r="F75" s="23"/>
      <c r="G75" s="23"/>
      <c r="H75" s="23"/>
      <c r="I75" s="23"/>
      <c r="J75" s="23"/>
      <c r="K75" s="23"/>
      <c r="L75" s="23"/>
      <c r="M75" s="23"/>
      <c r="N75" s="23"/>
      <c r="O75" s="23"/>
      <c r="P75" s="4"/>
      <c r="Q75" s="23"/>
      <c r="R75" s="23"/>
      <c r="S75" s="23"/>
      <c r="T75" s="23"/>
      <c r="U75" s="4"/>
      <c r="V75" s="4"/>
      <c r="W75" s="4"/>
      <c r="X75"/>
    </row>
    <row r="76" spans="1:24" x14ac:dyDescent="0.2">
      <c r="A76" s="774"/>
      <c r="B76" s="4"/>
      <c r="C76" s="23"/>
      <c r="D76" s="23"/>
      <c r="E76" s="23"/>
      <c r="F76" s="23"/>
      <c r="G76" s="23"/>
      <c r="H76" s="23"/>
      <c r="I76" s="23"/>
      <c r="J76" s="23"/>
      <c r="K76" s="23"/>
      <c r="L76" s="23"/>
      <c r="M76" s="23"/>
      <c r="N76" s="23"/>
      <c r="O76" s="23"/>
      <c r="P76" s="4"/>
      <c r="Q76" s="23"/>
      <c r="R76" s="23"/>
      <c r="S76" s="23"/>
      <c r="T76" s="23"/>
      <c r="U76" s="4"/>
      <c r="V76" s="4"/>
      <c r="W76" s="4"/>
      <c r="X76"/>
    </row>
    <row r="77" spans="1:24" x14ac:dyDescent="0.2">
      <c r="A77" s="774"/>
      <c r="B77" s="4"/>
      <c r="C77" s="23"/>
      <c r="D77" s="23"/>
      <c r="E77" s="23"/>
      <c r="F77" s="23"/>
      <c r="G77" s="23"/>
      <c r="H77" s="23"/>
      <c r="I77" s="23"/>
      <c r="J77" s="23"/>
      <c r="K77" s="23"/>
      <c r="L77" s="23"/>
      <c r="M77" s="23"/>
      <c r="N77" s="23"/>
      <c r="O77" s="23"/>
      <c r="P77" s="4"/>
      <c r="Q77" s="23"/>
      <c r="R77" s="23"/>
      <c r="S77" s="23"/>
      <c r="T77" s="23"/>
      <c r="U77" s="4"/>
      <c r="V77" s="4"/>
      <c r="W77" s="4"/>
      <c r="X77"/>
    </row>
    <row r="78" spans="1:24" x14ac:dyDescent="0.2">
      <c r="A78" s="774"/>
      <c r="B78" s="4"/>
      <c r="C78" s="23"/>
      <c r="D78" s="23"/>
      <c r="E78" s="23"/>
      <c r="F78" s="23"/>
      <c r="G78" s="23"/>
      <c r="H78" s="23"/>
      <c r="I78" s="23"/>
      <c r="J78" s="23"/>
      <c r="K78" s="23"/>
      <c r="L78" s="23"/>
      <c r="M78" s="23"/>
      <c r="N78" s="23"/>
      <c r="O78" s="23"/>
      <c r="P78" s="4"/>
      <c r="Q78" s="23"/>
      <c r="R78" s="23"/>
      <c r="S78" s="23"/>
      <c r="T78" s="23"/>
      <c r="U78" s="4"/>
      <c r="V78" s="4"/>
      <c r="W78" s="4"/>
      <c r="X78"/>
    </row>
    <row r="79" spans="1:24" x14ac:dyDescent="0.2">
      <c r="A79" s="774"/>
      <c r="B79" s="4"/>
      <c r="C79" s="23"/>
      <c r="D79" s="23"/>
      <c r="E79" s="23"/>
      <c r="F79" s="23"/>
      <c r="G79" s="23"/>
      <c r="H79" s="23"/>
      <c r="I79" s="23"/>
      <c r="J79" s="23"/>
      <c r="K79" s="23"/>
      <c r="L79" s="23"/>
      <c r="M79" s="23"/>
      <c r="N79" s="23"/>
      <c r="O79" s="23"/>
      <c r="P79" s="4"/>
      <c r="Q79" s="23"/>
      <c r="R79" s="23"/>
      <c r="S79" s="23"/>
      <c r="T79" s="23"/>
      <c r="U79" s="4"/>
      <c r="V79" s="4"/>
      <c r="W79" s="4"/>
      <c r="X79"/>
    </row>
    <row r="80" spans="1:24" x14ac:dyDescent="0.2">
      <c r="A80" s="774"/>
      <c r="B80" s="4"/>
      <c r="C80" s="23"/>
      <c r="D80" s="23"/>
      <c r="E80" s="23"/>
      <c r="F80" s="23"/>
      <c r="G80" s="23"/>
      <c r="H80" s="23"/>
      <c r="I80" s="23"/>
      <c r="J80" s="23"/>
      <c r="K80" s="23"/>
      <c r="L80" s="23"/>
      <c r="M80" s="23"/>
      <c r="N80" s="23"/>
      <c r="O80" s="23"/>
      <c r="P80" s="4"/>
      <c r="Q80" s="23"/>
      <c r="R80" s="23"/>
      <c r="S80" s="23"/>
      <c r="T80" s="23"/>
      <c r="U80" s="4"/>
      <c r="V80" s="4"/>
      <c r="W80" s="4"/>
      <c r="X80"/>
    </row>
    <row r="81" spans="1:24" x14ac:dyDescent="0.2">
      <c r="A81" s="774"/>
      <c r="B81" s="4"/>
      <c r="C81" s="23"/>
      <c r="D81" s="23"/>
      <c r="E81" s="23"/>
      <c r="F81" s="23"/>
      <c r="G81" s="23"/>
      <c r="H81" s="23"/>
      <c r="I81" s="23"/>
      <c r="J81" s="23"/>
      <c r="K81" s="23"/>
      <c r="L81" s="23"/>
      <c r="M81" s="23"/>
      <c r="N81" s="23"/>
      <c r="O81" s="23"/>
      <c r="P81" s="4"/>
      <c r="Q81" s="23"/>
      <c r="R81" s="23"/>
      <c r="S81" s="23"/>
      <c r="T81" s="23"/>
      <c r="U81" s="4"/>
      <c r="V81" s="4"/>
      <c r="W81" s="4"/>
      <c r="X81"/>
    </row>
    <row r="82" spans="1:24" x14ac:dyDescent="0.2">
      <c r="A82" s="774"/>
      <c r="B82" s="4"/>
      <c r="C82" s="23"/>
      <c r="D82" s="23"/>
      <c r="E82" s="23"/>
      <c r="F82" s="23"/>
      <c r="G82" s="23"/>
      <c r="H82" s="23"/>
      <c r="I82" s="23"/>
      <c r="J82" s="23"/>
      <c r="K82" s="23"/>
      <c r="L82" s="23"/>
      <c r="M82" s="23"/>
      <c r="N82" s="23"/>
      <c r="O82" s="23"/>
      <c r="P82" s="4"/>
      <c r="Q82" s="23"/>
      <c r="R82" s="23"/>
      <c r="S82" s="23"/>
      <c r="T82" s="23"/>
      <c r="U82" s="4"/>
      <c r="V82" s="4"/>
      <c r="W82" s="4"/>
      <c r="X82"/>
    </row>
    <row r="83" spans="1:24" x14ac:dyDescent="0.2">
      <c r="A83" s="774"/>
      <c r="B83" s="4"/>
      <c r="C83" s="23"/>
      <c r="D83" s="23"/>
      <c r="E83" s="23"/>
      <c r="F83" s="23"/>
      <c r="G83" s="23"/>
      <c r="H83" s="23"/>
      <c r="I83" s="23"/>
      <c r="J83" s="23"/>
      <c r="K83" s="23"/>
      <c r="L83" s="23"/>
      <c r="M83" s="23"/>
      <c r="N83" s="23"/>
      <c r="O83" s="23"/>
      <c r="P83" s="4"/>
      <c r="Q83" s="23"/>
      <c r="R83" s="23"/>
      <c r="S83" s="23"/>
      <c r="T83" s="23"/>
      <c r="U83" s="4"/>
      <c r="V83" s="4"/>
      <c r="W83" s="4"/>
      <c r="X83"/>
    </row>
    <row r="84" spans="1:24" x14ac:dyDescent="0.2">
      <c r="A84" s="774"/>
      <c r="B84" s="4"/>
      <c r="C84" s="23"/>
      <c r="D84" s="23"/>
      <c r="E84" s="23"/>
      <c r="F84" s="23"/>
      <c r="G84" s="23"/>
      <c r="H84" s="23"/>
      <c r="I84" s="23"/>
      <c r="J84" s="23"/>
      <c r="K84" s="23"/>
      <c r="L84" s="23"/>
      <c r="M84" s="23"/>
      <c r="N84" s="23"/>
      <c r="O84" s="23"/>
      <c r="P84" s="4"/>
      <c r="Q84" s="23"/>
      <c r="R84" s="23"/>
      <c r="S84" s="23"/>
      <c r="T84" s="23"/>
      <c r="U84" s="4"/>
      <c r="V84" s="4"/>
      <c r="W84" s="4"/>
      <c r="X84"/>
    </row>
    <row r="85" spans="1:24" x14ac:dyDescent="0.2">
      <c r="A85" s="774"/>
      <c r="B85" s="4"/>
      <c r="C85" s="23"/>
      <c r="D85" s="23"/>
      <c r="E85" s="23"/>
      <c r="F85" s="23"/>
      <c r="G85" s="23"/>
      <c r="H85" s="23"/>
      <c r="I85" s="23"/>
      <c r="J85" s="23"/>
      <c r="K85" s="23"/>
      <c r="L85" s="23"/>
      <c r="M85" s="23"/>
      <c r="N85" s="23"/>
      <c r="O85" s="23"/>
      <c r="P85" s="4"/>
      <c r="Q85" s="23"/>
      <c r="R85" s="23"/>
      <c r="S85" s="23"/>
      <c r="T85" s="23"/>
      <c r="U85" s="4"/>
      <c r="V85" s="4"/>
      <c r="W85" s="4"/>
      <c r="X85"/>
    </row>
    <row r="86" spans="1:24" x14ac:dyDescent="0.2">
      <c r="A86" s="774"/>
      <c r="B86" s="4"/>
      <c r="C86" s="23"/>
      <c r="D86" s="23"/>
      <c r="E86" s="23"/>
      <c r="F86" s="23"/>
      <c r="G86" s="23"/>
      <c r="H86" s="23"/>
      <c r="I86" s="23"/>
      <c r="J86" s="23"/>
      <c r="K86" s="23"/>
      <c r="L86" s="23"/>
      <c r="M86" s="23"/>
      <c r="N86" s="23"/>
      <c r="O86" s="23"/>
      <c r="P86" s="4"/>
      <c r="Q86" s="23"/>
      <c r="R86" s="23"/>
      <c r="S86" s="23"/>
      <c r="T86" s="23"/>
      <c r="U86" s="4"/>
      <c r="V86" s="4"/>
      <c r="W86" s="4"/>
      <c r="X86"/>
    </row>
    <row r="87" spans="1:24" x14ac:dyDescent="0.2">
      <c r="A87" s="774"/>
      <c r="B87" s="4"/>
      <c r="C87" s="23"/>
      <c r="D87" s="23"/>
      <c r="E87" s="23"/>
      <c r="F87" s="23"/>
      <c r="G87" s="23"/>
      <c r="H87" s="23"/>
      <c r="I87" s="23"/>
      <c r="J87" s="23"/>
      <c r="K87" s="23"/>
      <c r="L87" s="23"/>
      <c r="M87" s="23"/>
      <c r="N87" s="23"/>
      <c r="O87" s="23"/>
      <c r="P87" s="4"/>
      <c r="Q87" s="23"/>
      <c r="R87" s="23"/>
      <c r="S87" s="23"/>
      <c r="T87" s="23"/>
      <c r="U87" s="4"/>
      <c r="V87" s="4"/>
      <c r="W87" s="4"/>
      <c r="X87"/>
    </row>
    <row r="88" spans="1:24" x14ac:dyDescent="0.2">
      <c r="A88" s="774"/>
      <c r="B88" s="4"/>
      <c r="C88" s="23"/>
      <c r="D88" s="23"/>
      <c r="E88" s="23"/>
      <c r="F88" s="23"/>
      <c r="G88" s="23"/>
      <c r="H88" s="23"/>
      <c r="I88" s="23"/>
      <c r="J88" s="23"/>
      <c r="K88" s="23"/>
      <c r="L88" s="23"/>
      <c r="M88" s="23"/>
      <c r="N88" s="23"/>
      <c r="O88" s="23"/>
      <c r="P88" s="4"/>
      <c r="Q88" s="23"/>
      <c r="R88" s="23"/>
      <c r="S88" s="23"/>
      <c r="T88" s="23"/>
      <c r="U88" s="4"/>
      <c r="V88" s="4"/>
      <c r="W88" s="4"/>
      <c r="X88"/>
    </row>
    <row r="89" spans="1:24" x14ac:dyDescent="0.2">
      <c r="A89" s="774"/>
      <c r="B89" s="4"/>
      <c r="C89" s="23"/>
      <c r="D89" s="23"/>
      <c r="E89" s="23"/>
      <c r="F89" s="23"/>
      <c r="G89" s="23"/>
      <c r="H89" s="23"/>
      <c r="I89" s="23"/>
      <c r="J89" s="23"/>
      <c r="K89" s="23"/>
      <c r="L89" s="23"/>
      <c r="M89" s="23"/>
      <c r="N89" s="23"/>
      <c r="O89" s="23"/>
      <c r="P89" s="4"/>
      <c r="Q89" s="23"/>
      <c r="R89" s="23"/>
      <c r="S89" s="23"/>
      <c r="T89" s="23"/>
      <c r="U89" s="4"/>
      <c r="V89" s="4"/>
      <c r="W89" s="4"/>
      <c r="X89"/>
    </row>
    <row r="90" spans="1:24" x14ac:dyDescent="0.2">
      <c r="A90" s="774"/>
      <c r="B90" s="4"/>
      <c r="C90" s="23"/>
      <c r="D90" s="23"/>
      <c r="E90" s="23"/>
      <c r="F90" s="23"/>
      <c r="G90" s="23"/>
      <c r="H90" s="23"/>
      <c r="I90" s="23"/>
      <c r="J90" s="23"/>
      <c r="K90" s="23"/>
      <c r="L90" s="23"/>
      <c r="M90" s="23"/>
      <c r="N90" s="23"/>
      <c r="O90" s="23"/>
      <c r="P90" s="4"/>
      <c r="Q90" s="23"/>
      <c r="R90" s="23"/>
      <c r="S90" s="23"/>
      <c r="T90" s="23"/>
      <c r="U90" s="4"/>
      <c r="V90" s="4"/>
      <c r="W90" s="4"/>
      <c r="X90"/>
    </row>
    <row r="91" spans="1:24" x14ac:dyDescent="0.2">
      <c r="A91" s="774"/>
      <c r="B91" s="4"/>
      <c r="C91" s="23"/>
      <c r="D91" s="23"/>
      <c r="E91" s="23"/>
      <c r="F91" s="23"/>
      <c r="G91" s="23"/>
      <c r="H91" s="23"/>
      <c r="I91" s="23"/>
      <c r="J91" s="23"/>
      <c r="K91" s="23"/>
      <c r="L91" s="23"/>
      <c r="M91" s="23"/>
      <c r="N91" s="23"/>
      <c r="O91" s="23"/>
      <c r="P91" s="4"/>
      <c r="Q91" s="23"/>
      <c r="R91" s="23"/>
      <c r="S91" s="23"/>
      <c r="T91" s="23"/>
      <c r="U91" s="4"/>
      <c r="V91" s="4"/>
      <c r="W91" s="4"/>
      <c r="X91"/>
    </row>
    <row r="92" spans="1:24" x14ac:dyDescent="0.2">
      <c r="A92" s="774"/>
      <c r="B92" s="4"/>
      <c r="C92" s="23"/>
      <c r="D92" s="23"/>
      <c r="E92" s="23"/>
      <c r="F92" s="23"/>
      <c r="G92" s="23"/>
      <c r="H92" s="23"/>
      <c r="I92" s="23"/>
      <c r="J92" s="23"/>
      <c r="K92" s="23"/>
      <c r="L92" s="23"/>
      <c r="M92" s="23"/>
      <c r="N92" s="23"/>
      <c r="O92" s="23"/>
      <c r="P92" s="4"/>
      <c r="Q92" s="23"/>
      <c r="R92" s="23"/>
      <c r="S92" s="23"/>
      <c r="T92" s="23"/>
      <c r="U92" s="4"/>
      <c r="V92" s="4"/>
      <c r="W92" s="4"/>
      <c r="X92"/>
    </row>
    <row r="93" spans="1:24" x14ac:dyDescent="0.2">
      <c r="A93" s="774"/>
      <c r="B93" s="4"/>
      <c r="C93" s="23"/>
      <c r="D93" s="23"/>
      <c r="E93" s="23"/>
      <c r="F93" s="23"/>
      <c r="G93" s="23"/>
      <c r="H93" s="23"/>
      <c r="I93" s="23"/>
      <c r="J93" s="23"/>
      <c r="K93" s="23"/>
      <c r="L93" s="23"/>
      <c r="M93" s="23"/>
      <c r="N93" s="23"/>
      <c r="O93" s="23"/>
      <c r="P93" s="4"/>
      <c r="Q93" s="23"/>
      <c r="R93" s="23"/>
      <c r="S93" s="23"/>
      <c r="T93" s="23"/>
      <c r="U93" s="4"/>
      <c r="V93" s="4"/>
      <c r="W93" s="4"/>
      <c r="X93"/>
    </row>
    <row r="94" spans="1:24" x14ac:dyDescent="0.2">
      <c r="A94" s="774"/>
      <c r="B94" s="4"/>
      <c r="C94" s="23"/>
      <c r="D94" s="23"/>
      <c r="E94" s="23"/>
      <c r="F94" s="23"/>
      <c r="G94" s="23"/>
      <c r="H94" s="23"/>
      <c r="I94" s="23"/>
      <c r="J94" s="23"/>
      <c r="K94" s="23"/>
      <c r="L94" s="23"/>
      <c r="M94" s="23"/>
      <c r="N94" s="23"/>
      <c r="O94" s="23"/>
      <c r="P94" s="4"/>
      <c r="Q94" s="23"/>
      <c r="R94" s="23"/>
      <c r="S94" s="23"/>
      <c r="T94" s="23"/>
      <c r="U94" s="4"/>
      <c r="V94" s="4"/>
      <c r="W94" s="4"/>
      <c r="X94"/>
    </row>
    <row r="95" spans="1:24" x14ac:dyDescent="0.2">
      <c r="A95" s="774"/>
      <c r="B95" s="4"/>
      <c r="C95" s="23"/>
      <c r="D95" s="23"/>
      <c r="E95" s="23"/>
      <c r="F95" s="23"/>
      <c r="G95" s="23"/>
      <c r="H95" s="23"/>
      <c r="I95" s="23"/>
      <c r="J95" s="23"/>
      <c r="K95" s="23"/>
      <c r="L95" s="23"/>
      <c r="M95" s="23"/>
      <c r="N95" s="23"/>
      <c r="O95" s="23"/>
      <c r="P95" s="4"/>
      <c r="Q95" s="23"/>
      <c r="R95" s="23"/>
      <c r="S95" s="23"/>
      <c r="T95" s="23"/>
      <c r="U95" s="4"/>
      <c r="V95" s="4"/>
      <c r="W95" s="4"/>
      <c r="X95"/>
    </row>
    <row r="96" spans="1:24" x14ac:dyDescent="0.2">
      <c r="A96" s="774"/>
      <c r="B96" s="4"/>
      <c r="C96" s="23"/>
      <c r="D96" s="23"/>
      <c r="E96" s="23"/>
      <c r="F96" s="23"/>
      <c r="G96" s="23"/>
      <c r="H96" s="23"/>
      <c r="I96" s="23"/>
      <c r="J96" s="23"/>
      <c r="K96" s="23"/>
      <c r="L96" s="23"/>
      <c r="M96" s="23"/>
      <c r="N96" s="23"/>
      <c r="O96" s="23"/>
      <c r="P96" s="4"/>
      <c r="Q96" s="23"/>
      <c r="R96" s="23"/>
      <c r="S96" s="23"/>
      <c r="T96" s="23"/>
      <c r="U96" s="4"/>
      <c r="V96" s="4"/>
      <c r="W96" s="4"/>
      <c r="X96"/>
    </row>
    <row r="97" spans="1:24" x14ac:dyDescent="0.2">
      <c r="A97" s="774"/>
      <c r="B97" s="4"/>
      <c r="C97" s="23"/>
      <c r="D97" s="23"/>
      <c r="E97" s="23"/>
      <c r="F97" s="23"/>
      <c r="G97" s="23"/>
      <c r="H97" s="23"/>
      <c r="I97" s="23"/>
      <c r="J97" s="23"/>
      <c r="K97" s="23"/>
      <c r="L97" s="23"/>
      <c r="M97" s="23"/>
      <c r="N97" s="23"/>
      <c r="O97" s="23"/>
      <c r="P97" s="4"/>
      <c r="Q97" s="23"/>
      <c r="R97" s="23"/>
      <c r="S97" s="23"/>
      <c r="T97" s="23"/>
      <c r="U97" s="4"/>
      <c r="V97" s="4"/>
      <c r="W97" s="4"/>
      <c r="X97"/>
    </row>
    <row r="98" spans="1:24" x14ac:dyDescent="0.2">
      <c r="A98" s="774"/>
      <c r="B98" s="4"/>
      <c r="C98" s="23"/>
      <c r="D98" s="23"/>
      <c r="E98" s="23"/>
      <c r="F98" s="23"/>
      <c r="G98" s="23"/>
      <c r="H98" s="23"/>
      <c r="I98" s="23"/>
      <c r="J98" s="23"/>
      <c r="K98" s="23"/>
      <c r="L98" s="23"/>
      <c r="M98" s="23"/>
      <c r="N98" s="23"/>
      <c r="O98" s="23"/>
      <c r="P98" s="4"/>
      <c r="Q98" s="23"/>
      <c r="R98" s="23"/>
      <c r="S98" s="23"/>
      <c r="T98" s="23"/>
      <c r="U98" s="4"/>
      <c r="V98" s="4"/>
      <c r="W98" s="4"/>
      <c r="X98"/>
    </row>
    <row r="99" spans="1:24" x14ac:dyDescent="0.2">
      <c r="A99" s="774"/>
      <c r="B99" s="4"/>
      <c r="C99" s="23"/>
      <c r="D99" s="23"/>
      <c r="E99" s="23"/>
      <c r="F99" s="23"/>
      <c r="G99" s="23"/>
      <c r="H99" s="23"/>
      <c r="I99" s="23"/>
      <c r="J99" s="23"/>
      <c r="K99" s="23"/>
      <c r="L99" s="23"/>
      <c r="M99" s="23"/>
      <c r="N99" s="23"/>
      <c r="O99" s="23"/>
      <c r="P99" s="4"/>
      <c r="Q99" s="23"/>
      <c r="R99" s="23"/>
      <c r="S99" s="23"/>
      <c r="T99" s="23"/>
      <c r="U99" s="4"/>
      <c r="V99" s="4"/>
      <c r="W99" s="4"/>
      <c r="X99"/>
    </row>
    <row r="100" spans="1:24" x14ac:dyDescent="0.2">
      <c r="A100" s="774"/>
      <c r="B100" s="4"/>
      <c r="C100" s="23"/>
      <c r="D100" s="23"/>
      <c r="E100" s="23"/>
      <c r="F100" s="23"/>
      <c r="G100" s="23"/>
      <c r="H100" s="23"/>
      <c r="I100" s="23"/>
      <c r="J100" s="23"/>
      <c r="K100" s="23"/>
      <c r="L100" s="23"/>
      <c r="M100" s="23"/>
      <c r="N100" s="23"/>
      <c r="O100" s="23"/>
      <c r="P100" s="4"/>
      <c r="Q100" s="23"/>
      <c r="R100" s="23"/>
      <c r="S100" s="23"/>
      <c r="T100" s="23"/>
      <c r="U100" s="4"/>
      <c r="V100" s="4"/>
      <c r="W100" s="4"/>
      <c r="X100"/>
    </row>
    <row r="101" spans="1:24" x14ac:dyDescent="0.2">
      <c r="A101" s="774"/>
      <c r="B101" s="4"/>
      <c r="C101" s="23"/>
      <c r="D101" s="23"/>
      <c r="E101" s="23"/>
      <c r="F101" s="23"/>
      <c r="G101" s="23"/>
      <c r="H101" s="23"/>
      <c r="I101" s="23"/>
      <c r="J101" s="23"/>
      <c r="K101" s="23"/>
      <c r="L101" s="23"/>
      <c r="M101" s="23"/>
      <c r="N101" s="23"/>
      <c r="O101" s="23"/>
      <c r="P101" s="4"/>
      <c r="Q101" s="23"/>
      <c r="R101" s="23"/>
      <c r="S101" s="23"/>
      <c r="T101" s="23"/>
      <c r="U101" s="4"/>
      <c r="V101" s="4"/>
      <c r="W101" s="4"/>
      <c r="X101"/>
    </row>
    <row r="102" spans="1:24" x14ac:dyDescent="0.2">
      <c r="A102" s="774"/>
      <c r="B102" s="4"/>
      <c r="C102" s="23"/>
      <c r="D102" s="23"/>
      <c r="E102" s="23"/>
      <c r="F102" s="23"/>
      <c r="G102" s="23"/>
      <c r="H102" s="23"/>
      <c r="I102" s="23"/>
      <c r="J102" s="23"/>
      <c r="K102" s="23"/>
      <c r="L102" s="23"/>
      <c r="M102" s="23"/>
      <c r="N102" s="23"/>
      <c r="O102" s="23"/>
      <c r="P102" s="4"/>
      <c r="Q102" s="23"/>
      <c r="R102" s="23"/>
      <c r="S102" s="23"/>
      <c r="T102" s="23"/>
      <c r="U102" s="4"/>
      <c r="V102" s="4"/>
      <c r="W102" s="4"/>
      <c r="X102"/>
    </row>
    <row r="103" spans="1:24" x14ac:dyDescent="0.2">
      <c r="A103" s="774"/>
      <c r="B103" s="4"/>
      <c r="C103" s="23"/>
      <c r="D103" s="23"/>
      <c r="E103" s="23"/>
      <c r="F103" s="23"/>
      <c r="G103" s="23"/>
      <c r="H103" s="23"/>
      <c r="I103" s="23"/>
      <c r="J103" s="23"/>
      <c r="K103" s="23"/>
      <c r="L103" s="23"/>
      <c r="M103" s="23"/>
      <c r="N103" s="23"/>
      <c r="O103" s="23"/>
      <c r="P103" s="4"/>
      <c r="Q103" s="23"/>
      <c r="R103" s="23"/>
      <c r="S103" s="23"/>
      <c r="T103" s="23"/>
      <c r="U103" s="4"/>
      <c r="V103" s="4"/>
      <c r="W103" s="4"/>
      <c r="X103"/>
    </row>
    <row r="104" spans="1:24" x14ac:dyDescent="0.2">
      <c r="A104" s="774"/>
      <c r="B104" s="4"/>
      <c r="C104" s="23"/>
      <c r="D104" s="23"/>
      <c r="E104" s="23"/>
      <c r="F104" s="23"/>
      <c r="G104" s="23"/>
      <c r="H104" s="23"/>
      <c r="I104" s="23"/>
      <c r="J104" s="23"/>
      <c r="K104" s="23"/>
      <c r="L104" s="23"/>
      <c r="M104" s="23"/>
      <c r="N104" s="23"/>
      <c r="O104" s="23"/>
      <c r="P104" s="4"/>
      <c r="Q104" s="23"/>
      <c r="R104" s="23"/>
      <c r="S104" s="23"/>
      <c r="T104" s="23"/>
      <c r="U104" s="4"/>
      <c r="V104" s="4"/>
      <c r="W104" s="4"/>
      <c r="X104"/>
    </row>
    <row r="105" spans="1:24" x14ac:dyDescent="0.2">
      <c r="A105" s="774"/>
      <c r="B105" s="4"/>
      <c r="C105" s="23"/>
      <c r="D105" s="23"/>
      <c r="E105" s="23"/>
      <c r="F105" s="23"/>
      <c r="G105" s="23"/>
      <c r="H105" s="23"/>
      <c r="I105" s="23"/>
      <c r="J105" s="23"/>
      <c r="K105" s="23"/>
      <c r="L105" s="23"/>
      <c r="M105" s="23"/>
      <c r="N105" s="23"/>
      <c r="O105" s="23"/>
      <c r="P105" s="4"/>
      <c r="Q105" s="23"/>
      <c r="R105" s="23"/>
      <c r="S105" s="23"/>
      <c r="T105" s="23"/>
      <c r="U105" s="4"/>
      <c r="V105" s="4"/>
      <c r="W105" s="4"/>
      <c r="X105"/>
    </row>
    <row r="106" spans="1:24" x14ac:dyDescent="0.2">
      <c r="A106" s="774"/>
      <c r="B106" s="4"/>
      <c r="C106" s="23"/>
      <c r="D106" s="23"/>
      <c r="E106" s="23"/>
      <c r="F106" s="23"/>
      <c r="G106" s="23"/>
      <c r="H106" s="23"/>
      <c r="I106" s="23"/>
      <c r="J106" s="23"/>
      <c r="K106" s="23"/>
      <c r="L106" s="23"/>
      <c r="M106" s="23"/>
      <c r="N106" s="23"/>
      <c r="O106" s="23"/>
      <c r="P106" s="4"/>
      <c r="Q106" s="23"/>
      <c r="R106" s="23"/>
      <c r="S106" s="23"/>
      <c r="T106" s="23"/>
      <c r="U106" s="4"/>
      <c r="V106" s="4"/>
      <c r="W106" s="4"/>
      <c r="X106"/>
    </row>
    <row r="107" spans="1:24" x14ac:dyDescent="0.2">
      <c r="A107" s="774"/>
      <c r="B107" s="4"/>
      <c r="C107" s="23"/>
      <c r="D107" s="23"/>
      <c r="E107" s="23"/>
      <c r="F107" s="23"/>
      <c r="G107" s="23"/>
      <c r="H107" s="23"/>
      <c r="I107" s="23"/>
      <c r="J107" s="23"/>
      <c r="K107" s="23"/>
      <c r="L107" s="23"/>
      <c r="M107" s="23"/>
      <c r="N107" s="23"/>
      <c r="O107" s="23"/>
      <c r="P107" s="4"/>
      <c r="Q107" s="23"/>
      <c r="R107" s="23"/>
      <c r="S107" s="23"/>
      <c r="T107" s="23"/>
      <c r="U107" s="4"/>
      <c r="V107" s="4"/>
      <c r="W107" s="4"/>
      <c r="X107"/>
    </row>
    <row r="108" spans="1:24" x14ac:dyDescent="0.2">
      <c r="A108" s="774"/>
      <c r="B108" s="4"/>
      <c r="C108" s="23"/>
      <c r="D108" s="23"/>
      <c r="E108" s="23"/>
      <c r="F108" s="23"/>
      <c r="G108" s="23"/>
      <c r="H108" s="23"/>
      <c r="I108" s="23"/>
      <c r="J108" s="23"/>
      <c r="K108" s="23"/>
      <c r="L108" s="23"/>
      <c r="M108" s="23"/>
      <c r="N108" s="23"/>
      <c r="O108" s="23"/>
      <c r="P108" s="4"/>
      <c r="Q108" s="23"/>
      <c r="R108" s="23"/>
      <c r="S108" s="23"/>
      <c r="T108" s="23"/>
      <c r="U108" s="4"/>
      <c r="V108" s="4"/>
      <c r="W108" s="4"/>
      <c r="X108"/>
    </row>
    <row r="109" spans="1:24" x14ac:dyDescent="0.2">
      <c r="A109" s="774"/>
      <c r="B109" s="4"/>
      <c r="C109" s="23"/>
      <c r="D109" s="23"/>
      <c r="E109" s="23"/>
      <c r="F109" s="23"/>
      <c r="G109" s="23"/>
      <c r="H109" s="23"/>
      <c r="I109" s="23"/>
      <c r="J109" s="23"/>
      <c r="K109" s="23"/>
      <c r="L109" s="23"/>
      <c r="M109" s="23"/>
      <c r="N109" s="23"/>
      <c r="O109" s="23"/>
      <c r="P109" s="4"/>
      <c r="Q109" s="23"/>
      <c r="R109" s="23"/>
      <c r="S109" s="23"/>
      <c r="T109" s="23"/>
      <c r="U109" s="4"/>
      <c r="V109" s="4"/>
      <c r="W109" s="4"/>
      <c r="X109"/>
    </row>
    <row r="110" spans="1:24" x14ac:dyDescent="0.2">
      <c r="A110" s="774"/>
      <c r="B110" s="4"/>
      <c r="C110" s="23"/>
      <c r="D110" s="23"/>
      <c r="E110" s="23"/>
      <c r="F110" s="23"/>
      <c r="G110" s="23"/>
      <c r="H110" s="23"/>
      <c r="I110" s="23"/>
      <c r="J110" s="23"/>
      <c r="K110" s="23"/>
      <c r="L110" s="23"/>
      <c r="M110" s="23"/>
      <c r="N110" s="23"/>
      <c r="O110" s="23"/>
      <c r="P110" s="4"/>
      <c r="Q110" s="23"/>
      <c r="R110" s="23"/>
      <c r="S110" s="23"/>
      <c r="T110" s="23"/>
      <c r="U110" s="4"/>
      <c r="V110" s="4"/>
      <c r="W110" s="4"/>
      <c r="X110"/>
    </row>
    <row r="111" spans="1:24" x14ac:dyDescent="0.2">
      <c r="A111" s="774"/>
      <c r="B111" s="4"/>
      <c r="C111" s="23"/>
      <c r="D111" s="23"/>
      <c r="E111" s="23"/>
      <c r="F111" s="23"/>
      <c r="G111" s="23"/>
      <c r="H111" s="23"/>
      <c r="I111" s="23"/>
      <c r="J111" s="23"/>
      <c r="K111" s="23"/>
      <c r="L111" s="23"/>
      <c r="M111" s="23"/>
      <c r="N111" s="23"/>
      <c r="O111" s="23"/>
      <c r="P111" s="4"/>
      <c r="Q111" s="23"/>
      <c r="R111" s="23"/>
      <c r="S111" s="23"/>
      <c r="T111" s="23"/>
      <c r="U111" s="4"/>
      <c r="V111" s="4"/>
      <c r="W111" s="4"/>
      <c r="X111"/>
    </row>
    <row r="112" spans="1:24" x14ac:dyDescent="0.2">
      <c r="A112" s="774"/>
      <c r="B112" s="4"/>
      <c r="C112" s="23"/>
      <c r="D112" s="23"/>
      <c r="E112" s="23"/>
      <c r="F112" s="23"/>
      <c r="G112" s="23"/>
      <c r="H112" s="23"/>
      <c r="I112" s="23"/>
      <c r="J112" s="23"/>
      <c r="K112" s="23"/>
      <c r="L112" s="23"/>
      <c r="M112" s="23"/>
      <c r="N112" s="23"/>
      <c r="O112" s="23"/>
      <c r="P112" s="4"/>
      <c r="Q112" s="23"/>
      <c r="R112" s="23"/>
      <c r="S112" s="23"/>
      <c r="T112" s="23"/>
      <c r="U112" s="4"/>
      <c r="V112" s="4"/>
      <c r="W112" s="4"/>
      <c r="X112"/>
    </row>
    <row r="113" spans="1:24" x14ac:dyDescent="0.2">
      <c r="A113" s="774"/>
      <c r="B113" s="4"/>
      <c r="C113" s="23"/>
      <c r="D113" s="23"/>
      <c r="E113" s="23"/>
      <c r="F113" s="23"/>
      <c r="G113" s="23"/>
      <c r="H113" s="23"/>
      <c r="I113" s="23"/>
      <c r="J113" s="23"/>
      <c r="K113" s="23"/>
      <c r="L113" s="23"/>
      <c r="M113" s="23"/>
      <c r="N113" s="23"/>
      <c r="O113" s="23"/>
      <c r="P113" s="4"/>
      <c r="Q113" s="23"/>
      <c r="R113" s="23"/>
      <c r="S113" s="23"/>
      <c r="T113" s="23"/>
      <c r="U113" s="4"/>
      <c r="V113" s="4"/>
      <c r="W113" s="4"/>
      <c r="X113"/>
    </row>
    <row r="114" spans="1:24" x14ac:dyDescent="0.2">
      <c r="A114" s="774"/>
      <c r="B114" s="4"/>
      <c r="C114" s="23"/>
      <c r="D114" s="23"/>
      <c r="E114" s="23"/>
      <c r="F114" s="23"/>
      <c r="G114" s="23"/>
      <c r="H114" s="23"/>
      <c r="I114" s="23"/>
      <c r="J114" s="23"/>
      <c r="K114" s="23"/>
      <c r="L114" s="23"/>
      <c r="M114" s="23"/>
      <c r="N114" s="23"/>
      <c r="O114" s="23"/>
      <c r="P114" s="4"/>
      <c r="Q114" s="23"/>
      <c r="R114" s="23"/>
      <c r="S114" s="23"/>
      <c r="T114" s="23"/>
      <c r="U114" s="4"/>
      <c r="V114" s="4"/>
      <c r="W114" s="4"/>
      <c r="X114"/>
    </row>
    <row r="115" spans="1:24" x14ac:dyDescent="0.2">
      <c r="A115" s="774"/>
      <c r="B115" s="4"/>
      <c r="C115" s="23"/>
      <c r="D115" s="23"/>
      <c r="E115" s="23"/>
      <c r="F115" s="23"/>
      <c r="G115" s="23"/>
      <c r="H115" s="23"/>
      <c r="I115" s="23"/>
      <c r="J115" s="23"/>
      <c r="K115" s="23"/>
      <c r="L115" s="23"/>
      <c r="M115" s="23"/>
      <c r="N115" s="23"/>
      <c r="O115" s="23"/>
      <c r="P115" s="4"/>
      <c r="Q115" s="23"/>
      <c r="R115" s="23"/>
      <c r="S115" s="23"/>
      <c r="T115" s="23"/>
      <c r="U115" s="4"/>
      <c r="V115" s="4"/>
      <c r="W115" s="4"/>
      <c r="X115"/>
    </row>
    <row r="116" spans="1:24" x14ac:dyDescent="0.2">
      <c r="A116" s="774"/>
      <c r="B116" s="4"/>
      <c r="C116" s="23"/>
      <c r="D116" s="23"/>
      <c r="E116" s="23"/>
      <c r="F116" s="23"/>
      <c r="G116" s="23"/>
      <c r="H116" s="23"/>
      <c r="I116" s="23"/>
      <c r="J116" s="23"/>
      <c r="K116" s="23"/>
      <c r="L116" s="23"/>
      <c r="M116" s="23"/>
      <c r="N116" s="23"/>
      <c r="O116" s="23"/>
      <c r="P116" s="4"/>
      <c r="Q116" s="23"/>
      <c r="R116" s="23"/>
      <c r="S116" s="23"/>
      <c r="T116" s="23"/>
      <c r="U116" s="4"/>
      <c r="V116" s="4"/>
      <c r="W116" s="4"/>
      <c r="X116"/>
    </row>
    <row r="117" spans="1:24" x14ac:dyDescent="0.2">
      <c r="A117" s="774"/>
      <c r="B117" s="4"/>
      <c r="C117" s="23"/>
      <c r="D117" s="23"/>
      <c r="E117" s="23"/>
      <c r="F117" s="23"/>
      <c r="G117" s="23"/>
      <c r="H117" s="23"/>
      <c r="I117" s="23"/>
      <c r="J117" s="23"/>
      <c r="K117" s="23"/>
      <c r="L117" s="23"/>
      <c r="M117" s="23"/>
      <c r="N117" s="23"/>
      <c r="O117" s="23"/>
      <c r="P117" s="4"/>
      <c r="Q117" s="23"/>
      <c r="R117" s="23"/>
      <c r="S117" s="23"/>
      <c r="T117" s="23"/>
      <c r="U117" s="4"/>
      <c r="V117" s="4"/>
      <c r="W117" s="4"/>
      <c r="X117"/>
    </row>
    <row r="118" spans="1:24" x14ac:dyDescent="0.2">
      <c r="A118" s="774"/>
      <c r="B118" s="4"/>
      <c r="C118" s="23"/>
      <c r="D118" s="23"/>
      <c r="E118" s="23"/>
      <c r="F118" s="23"/>
      <c r="G118" s="23"/>
      <c r="H118" s="23"/>
      <c r="I118" s="23"/>
      <c r="J118" s="23"/>
      <c r="K118" s="23"/>
      <c r="L118" s="23"/>
      <c r="M118" s="23"/>
      <c r="N118" s="23"/>
      <c r="O118" s="23"/>
      <c r="P118" s="4"/>
      <c r="Q118" s="23"/>
      <c r="R118" s="23"/>
      <c r="S118" s="23"/>
      <c r="T118" s="23"/>
      <c r="U118" s="4"/>
      <c r="V118" s="4"/>
      <c r="W118" s="4"/>
      <c r="X118"/>
    </row>
    <row r="119" spans="1:24" x14ac:dyDescent="0.2">
      <c r="A119" s="774"/>
      <c r="B119" s="4"/>
      <c r="C119" s="23"/>
      <c r="D119" s="23"/>
      <c r="E119" s="23"/>
      <c r="F119" s="23"/>
      <c r="G119" s="23"/>
      <c r="H119" s="23"/>
      <c r="I119" s="23"/>
      <c r="J119" s="23"/>
      <c r="K119" s="23"/>
      <c r="L119" s="23"/>
      <c r="M119" s="23"/>
      <c r="N119" s="23"/>
      <c r="O119" s="23"/>
      <c r="P119" s="4"/>
      <c r="Q119" s="23"/>
      <c r="R119" s="23"/>
      <c r="S119" s="23"/>
      <c r="T119" s="23"/>
      <c r="U119" s="4"/>
      <c r="V119" s="4"/>
      <c r="W119" s="4"/>
      <c r="X119"/>
    </row>
    <row r="120" spans="1:24" x14ac:dyDescent="0.2">
      <c r="C120" s="212"/>
      <c r="D120" s="212"/>
      <c r="E120" s="212"/>
      <c r="F120" s="212"/>
      <c r="G120" s="212"/>
      <c r="H120" s="212"/>
      <c r="I120" s="212"/>
      <c r="J120" s="212"/>
      <c r="K120" s="212"/>
      <c r="L120" s="212"/>
      <c r="M120" s="212"/>
      <c r="N120" s="212"/>
      <c r="O120" s="212"/>
      <c r="X120"/>
    </row>
    <row r="121" spans="1:24" x14ac:dyDescent="0.2">
      <c r="C121" s="212"/>
      <c r="D121" s="212"/>
      <c r="E121" s="212"/>
      <c r="F121" s="212"/>
      <c r="G121" s="212"/>
      <c r="H121" s="212"/>
      <c r="I121" s="212"/>
      <c r="J121" s="212"/>
      <c r="K121" s="212"/>
      <c r="L121" s="212"/>
      <c r="M121" s="212"/>
      <c r="N121" s="212"/>
      <c r="O121" s="212"/>
      <c r="X121"/>
    </row>
    <row r="122" spans="1:24" x14ac:dyDescent="0.2">
      <c r="C122" s="212"/>
      <c r="D122" s="212"/>
      <c r="E122" s="212"/>
      <c r="F122" s="212"/>
      <c r="G122" s="212"/>
      <c r="H122" s="212"/>
      <c r="I122" s="212"/>
      <c r="J122" s="212"/>
      <c r="K122" s="212"/>
      <c r="L122" s="212"/>
      <c r="M122" s="212"/>
      <c r="N122" s="212"/>
      <c r="O122" s="212"/>
      <c r="X122"/>
    </row>
    <row r="123" spans="1:24" x14ac:dyDescent="0.2">
      <c r="C123" s="212"/>
      <c r="D123" s="212"/>
      <c r="E123" s="212"/>
      <c r="F123" s="212"/>
      <c r="G123" s="212"/>
      <c r="H123" s="212"/>
      <c r="I123" s="212"/>
      <c r="J123" s="212"/>
      <c r="K123" s="212"/>
      <c r="L123" s="212"/>
      <c r="M123" s="212"/>
      <c r="N123" s="212"/>
      <c r="O123" s="212"/>
      <c r="X123"/>
    </row>
    <row r="124" spans="1:24" x14ac:dyDescent="0.2">
      <c r="C124" s="212"/>
      <c r="D124" s="212"/>
      <c r="E124" s="212"/>
      <c r="F124" s="212"/>
      <c r="G124" s="212"/>
      <c r="H124" s="212"/>
      <c r="I124" s="212"/>
      <c r="J124" s="212"/>
      <c r="K124" s="212"/>
      <c r="L124" s="212"/>
      <c r="M124" s="212"/>
      <c r="N124" s="212"/>
      <c r="O124" s="212"/>
      <c r="X124"/>
    </row>
    <row r="125" spans="1:24" x14ac:dyDescent="0.2">
      <c r="C125" s="212"/>
      <c r="D125" s="212"/>
      <c r="E125" s="212"/>
      <c r="F125" s="212"/>
      <c r="G125" s="212"/>
      <c r="H125" s="212"/>
      <c r="I125" s="212"/>
      <c r="J125" s="212"/>
      <c r="K125" s="212"/>
      <c r="L125" s="212"/>
      <c r="M125" s="212"/>
      <c r="N125" s="212"/>
      <c r="O125" s="212"/>
      <c r="X125"/>
    </row>
    <row r="126" spans="1:24" x14ac:dyDescent="0.2">
      <c r="C126" s="212"/>
      <c r="D126" s="212"/>
      <c r="E126" s="212"/>
      <c r="F126" s="212"/>
      <c r="G126" s="212"/>
      <c r="H126" s="212"/>
      <c r="I126" s="212"/>
      <c r="J126" s="212"/>
      <c r="K126" s="212"/>
      <c r="L126" s="212"/>
      <c r="M126" s="212"/>
      <c r="N126" s="212"/>
      <c r="O126" s="212"/>
      <c r="X126"/>
    </row>
    <row r="127" spans="1:24" x14ac:dyDescent="0.2">
      <c r="C127" s="212"/>
      <c r="D127" s="212"/>
      <c r="E127" s="212"/>
      <c r="F127" s="212"/>
      <c r="G127" s="212"/>
      <c r="H127" s="212"/>
      <c r="I127" s="212"/>
      <c r="J127" s="212"/>
      <c r="K127" s="212"/>
      <c r="L127" s="212"/>
      <c r="M127" s="212"/>
      <c r="N127" s="212"/>
      <c r="O127" s="212"/>
      <c r="X127"/>
    </row>
    <row r="128" spans="1:24" x14ac:dyDescent="0.2">
      <c r="C128" s="212"/>
      <c r="D128" s="212"/>
      <c r="E128" s="212"/>
      <c r="F128" s="212"/>
      <c r="G128" s="212"/>
      <c r="H128" s="212"/>
      <c r="I128" s="212"/>
      <c r="J128" s="212"/>
      <c r="K128" s="212"/>
      <c r="L128" s="212"/>
      <c r="M128" s="212"/>
      <c r="N128" s="212"/>
      <c r="O128" s="212"/>
      <c r="X128"/>
    </row>
    <row r="129" spans="3:24" x14ac:dyDescent="0.2">
      <c r="C129" s="212"/>
      <c r="D129" s="212"/>
      <c r="E129" s="212"/>
      <c r="F129" s="212"/>
      <c r="G129" s="212"/>
      <c r="H129" s="212"/>
      <c r="I129" s="212"/>
      <c r="J129" s="212"/>
      <c r="K129" s="212"/>
      <c r="L129" s="212"/>
      <c r="M129" s="212"/>
      <c r="N129" s="212"/>
      <c r="O129" s="212"/>
      <c r="X129"/>
    </row>
    <row r="130" spans="3:24" x14ac:dyDescent="0.2">
      <c r="C130" s="212"/>
      <c r="D130" s="212"/>
      <c r="E130" s="212"/>
      <c r="F130" s="212"/>
      <c r="G130" s="212"/>
      <c r="H130" s="212"/>
      <c r="I130" s="212"/>
      <c r="J130" s="212"/>
      <c r="K130" s="212"/>
      <c r="L130" s="212"/>
      <c r="M130" s="212"/>
      <c r="N130" s="212"/>
      <c r="O130" s="212"/>
      <c r="X130"/>
    </row>
    <row r="131" spans="3:24" x14ac:dyDescent="0.2">
      <c r="C131" s="212"/>
      <c r="D131"/>
      <c r="E131"/>
      <c r="F131"/>
      <c r="G131"/>
      <c r="H131"/>
      <c r="I131"/>
      <c r="J131"/>
      <c r="K131"/>
      <c r="L131"/>
      <c r="M131"/>
      <c r="N131"/>
      <c r="O131"/>
      <c r="Q131"/>
      <c r="R131"/>
      <c r="S131"/>
      <c r="T131"/>
      <c r="X131"/>
    </row>
    <row r="132" spans="3:24" x14ac:dyDescent="0.2">
      <c r="C132" s="212"/>
      <c r="D132"/>
      <c r="E132"/>
      <c r="F132"/>
      <c r="G132"/>
      <c r="H132"/>
      <c r="I132"/>
      <c r="J132"/>
      <c r="K132"/>
      <c r="L132"/>
      <c r="M132"/>
      <c r="N132"/>
      <c r="O132"/>
      <c r="Q132"/>
      <c r="R132"/>
      <c r="S132"/>
      <c r="T132"/>
      <c r="X132"/>
    </row>
    <row r="133" spans="3:24" x14ac:dyDescent="0.2">
      <c r="C133" s="212"/>
      <c r="D133"/>
      <c r="E133"/>
      <c r="F133"/>
      <c r="G133"/>
      <c r="H133"/>
      <c r="I133"/>
      <c r="J133"/>
      <c r="K133"/>
      <c r="L133"/>
      <c r="M133"/>
      <c r="N133"/>
      <c r="O133"/>
      <c r="Q133"/>
      <c r="R133"/>
      <c r="S133"/>
      <c r="T133"/>
      <c r="X133"/>
    </row>
    <row r="134" spans="3:24" x14ac:dyDescent="0.2">
      <c r="C134" s="212"/>
      <c r="D134"/>
      <c r="E134"/>
      <c r="F134"/>
      <c r="G134"/>
      <c r="H134"/>
      <c r="I134"/>
      <c r="J134"/>
      <c r="K134"/>
      <c r="L134"/>
      <c r="M134"/>
      <c r="N134"/>
      <c r="O134"/>
      <c r="Q134"/>
      <c r="R134"/>
      <c r="S134"/>
      <c r="T134"/>
      <c r="X134"/>
    </row>
    <row r="135" spans="3:24" x14ac:dyDescent="0.2">
      <c r="C135" s="212"/>
      <c r="D135"/>
      <c r="E135"/>
      <c r="F135"/>
      <c r="G135"/>
      <c r="H135"/>
      <c r="I135"/>
      <c r="J135"/>
      <c r="K135"/>
      <c r="L135"/>
      <c r="M135"/>
      <c r="N135"/>
      <c r="O135"/>
      <c r="Q135"/>
      <c r="R135"/>
      <c r="S135"/>
      <c r="T135"/>
      <c r="X135"/>
    </row>
    <row r="136" spans="3:24" x14ac:dyDescent="0.2">
      <c r="C136" s="212"/>
      <c r="D136"/>
      <c r="E136"/>
      <c r="F136"/>
      <c r="G136"/>
      <c r="H136"/>
      <c r="I136"/>
      <c r="J136"/>
      <c r="K136"/>
      <c r="L136"/>
      <c r="M136"/>
      <c r="N136"/>
      <c r="O136"/>
      <c r="Q136"/>
      <c r="R136"/>
      <c r="S136"/>
      <c r="T136"/>
      <c r="X136"/>
    </row>
    <row r="137" spans="3:24" x14ac:dyDescent="0.2">
      <c r="C137" s="212"/>
      <c r="D137"/>
      <c r="E137"/>
      <c r="F137"/>
      <c r="G137"/>
      <c r="H137"/>
      <c r="I137"/>
      <c r="J137"/>
      <c r="K137"/>
      <c r="L137"/>
      <c r="M137"/>
      <c r="N137"/>
      <c r="O137"/>
      <c r="Q137"/>
      <c r="R137"/>
      <c r="S137"/>
      <c r="T137"/>
      <c r="X137"/>
    </row>
    <row r="138" spans="3:24" x14ac:dyDescent="0.2">
      <c r="C138" s="212"/>
      <c r="D138"/>
      <c r="E138"/>
      <c r="F138"/>
      <c r="G138"/>
      <c r="H138"/>
      <c r="I138"/>
      <c r="J138"/>
      <c r="K138"/>
      <c r="L138"/>
      <c r="M138"/>
      <c r="N138"/>
      <c r="O138"/>
      <c r="Q138"/>
      <c r="R138"/>
      <c r="S138"/>
      <c r="T138"/>
      <c r="X138"/>
    </row>
    <row r="139" spans="3:24" x14ac:dyDescent="0.2">
      <c r="C139" s="212"/>
      <c r="D139"/>
      <c r="E139"/>
      <c r="F139"/>
      <c r="G139"/>
      <c r="H139"/>
      <c r="I139"/>
      <c r="J139"/>
      <c r="K139"/>
      <c r="L139"/>
      <c r="M139"/>
      <c r="N139"/>
      <c r="O139"/>
      <c r="Q139"/>
      <c r="R139"/>
      <c r="S139"/>
      <c r="T139"/>
      <c r="X139"/>
    </row>
    <row r="140" spans="3:24" x14ac:dyDescent="0.2">
      <c r="C140" s="212"/>
      <c r="D140"/>
      <c r="E140"/>
      <c r="F140"/>
      <c r="G140"/>
      <c r="H140"/>
      <c r="I140"/>
      <c r="J140"/>
      <c r="K140"/>
      <c r="L140"/>
      <c r="M140"/>
      <c r="N140"/>
      <c r="O140"/>
      <c r="Q140"/>
      <c r="R140"/>
      <c r="S140"/>
      <c r="T140"/>
      <c r="X140"/>
    </row>
    <row r="141" spans="3:24" x14ac:dyDescent="0.2">
      <c r="C141" s="212"/>
      <c r="D141"/>
      <c r="E141"/>
      <c r="F141"/>
      <c r="G141"/>
      <c r="H141"/>
      <c r="I141"/>
      <c r="J141"/>
      <c r="K141"/>
      <c r="L141"/>
      <c r="M141"/>
      <c r="N141"/>
      <c r="O141"/>
      <c r="Q141"/>
      <c r="R141"/>
      <c r="S141"/>
      <c r="T141"/>
      <c r="X141"/>
    </row>
    <row r="142" spans="3:24" x14ac:dyDescent="0.2">
      <c r="C142" s="212"/>
      <c r="D142"/>
      <c r="E142"/>
      <c r="F142"/>
      <c r="G142"/>
      <c r="H142"/>
      <c r="I142"/>
      <c r="J142"/>
      <c r="K142"/>
      <c r="L142"/>
      <c r="M142"/>
      <c r="N142"/>
      <c r="O142"/>
      <c r="Q142"/>
      <c r="R142"/>
      <c r="S142"/>
      <c r="T142"/>
      <c r="X142"/>
    </row>
    <row r="143" spans="3:24" x14ac:dyDescent="0.2">
      <c r="C143" s="212"/>
      <c r="D143"/>
      <c r="E143"/>
      <c r="F143"/>
      <c r="G143"/>
      <c r="H143"/>
      <c r="I143"/>
      <c r="J143"/>
      <c r="K143"/>
      <c r="L143"/>
      <c r="M143"/>
      <c r="N143"/>
      <c r="O143"/>
      <c r="Q143"/>
      <c r="R143"/>
      <c r="S143"/>
      <c r="T143"/>
      <c r="X143"/>
    </row>
    <row r="144" spans="3:24" x14ac:dyDescent="0.2">
      <c r="C144" s="212"/>
      <c r="D144"/>
      <c r="E144"/>
      <c r="F144"/>
      <c r="G144"/>
      <c r="H144"/>
      <c r="I144"/>
      <c r="J144"/>
      <c r="K144"/>
      <c r="L144"/>
      <c r="M144"/>
      <c r="N144"/>
      <c r="O144"/>
      <c r="Q144"/>
      <c r="R144"/>
      <c r="S144"/>
      <c r="T144"/>
      <c r="X144"/>
    </row>
    <row r="145" spans="3:24" x14ac:dyDescent="0.2">
      <c r="C145" s="212"/>
      <c r="D145"/>
      <c r="E145"/>
      <c r="F145"/>
      <c r="G145"/>
      <c r="H145"/>
      <c r="I145"/>
      <c r="J145"/>
      <c r="K145"/>
      <c r="L145"/>
      <c r="M145"/>
      <c r="N145"/>
      <c r="O145"/>
      <c r="Q145"/>
      <c r="R145"/>
      <c r="S145"/>
      <c r="T145"/>
      <c r="X145"/>
    </row>
    <row r="146" spans="3:24" x14ac:dyDescent="0.2">
      <c r="C146" s="212"/>
      <c r="D146"/>
      <c r="E146"/>
      <c r="F146"/>
      <c r="G146"/>
      <c r="H146"/>
      <c r="I146"/>
      <c r="J146"/>
      <c r="K146"/>
      <c r="L146"/>
      <c r="M146"/>
      <c r="N146"/>
      <c r="O146"/>
      <c r="Q146"/>
      <c r="R146"/>
      <c r="S146"/>
      <c r="T146"/>
      <c r="X146"/>
    </row>
    <row r="147" spans="3:24" x14ac:dyDescent="0.2">
      <c r="C147" s="212"/>
      <c r="D147"/>
      <c r="E147"/>
      <c r="F147"/>
      <c r="G147"/>
      <c r="H147"/>
      <c r="I147"/>
      <c r="J147"/>
      <c r="K147"/>
      <c r="L147"/>
      <c r="M147"/>
      <c r="N147"/>
      <c r="O147"/>
      <c r="Q147"/>
      <c r="R147"/>
      <c r="S147"/>
      <c r="T147"/>
      <c r="X147"/>
    </row>
    <row r="148" spans="3:24" x14ac:dyDescent="0.2">
      <c r="C148" s="212"/>
      <c r="D148"/>
      <c r="E148"/>
      <c r="F148"/>
      <c r="G148"/>
      <c r="H148"/>
      <c r="I148"/>
      <c r="J148"/>
      <c r="K148"/>
      <c r="L148"/>
      <c r="M148"/>
      <c r="N148"/>
      <c r="O148"/>
      <c r="Q148"/>
      <c r="R148"/>
      <c r="S148"/>
      <c r="T148"/>
      <c r="X148"/>
    </row>
    <row r="149" spans="3:24" x14ac:dyDescent="0.2">
      <c r="C149" s="212"/>
      <c r="D149"/>
      <c r="E149"/>
      <c r="F149"/>
      <c r="G149"/>
      <c r="H149"/>
      <c r="I149"/>
      <c r="J149"/>
      <c r="K149"/>
      <c r="L149"/>
      <c r="M149"/>
      <c r="N149"/>
      <c r="O149"/>
      <c r="Q149"/>
      <c r="R149"/>
      <c r="S149"/>
      <c r="T149"/>
      <c r="X149"/>
    </row>
    <row r="150" spans="3:24" x14ac:dyDescent="0.2">
      <c r="C150" s="212"/>
      <c r="D150"/>
      <c r="E150"/>
      <c r="F150"/>
      <c r="G150"/>
      <c r="H150"/>
      <c r="I150"/>
      <c r="J150"/>
      <c r="K150"/>
      <c r="L150"/>
      <c r="M150"/>
      <c r="N150"/>
      <c r="O150"/>
      <c r="Q150"/>
      <c r="R150"/>
      <c r="S150"/>
      <c r="T150"/>
      <c r="X150"/>
    </row>
    <row r="151" spans="3:24" x14ac:dyDescent="0.2">
      <c r="C151" s="212"/>
      <c r="D151"/>
      <c r="E151"/>
      <c r="F151"/>
      <c r="G151"/>
      <c r="H151"/>
      <c r="I151"/>
      <c r="J151"/>
      <c r="K151"/>
      <c r="L151"/>
      <c r="M151"/>
      <c r="N151"/>
      <c r="O151"/>
      <c r="Q151"/>
      <c r="R151"/>
      <c r="S151"/>
      <c r="T151"/>
      <c r="X151"/>
    </row>
    <row r="152" spans="3:24" x14ac:dyDescent="0.2">
      <c r="C152" s="212"/>
      <c r="D152"/>
      <c r="E152"/>
      <c r="F152"/>
      <c r="G152"/>
      <c r="H152"/>
      <c r="I152"/>
      <c r="J152"/>
      <c r="K152"/>
      <c r="L152"/>
      <c r="M152"/>
      <c r="N152"/>
      <c r="O152"/>
      <c r="Q152"/>
      <c r="R152"/>
      <c r="S152"/>
      <c r="T152"/>
      <c r="X152"/>
    </row>
    <row r="153" spans="3:24" x14ac:dyDescent="0.2">
      <c r="C153" s="212"/>
      <c r="D153"/>
      <c r="E153"/>
      <c r="F153"/>
      <c r="G153"/>
      <c r="H153"/>
      <c r="I153"/>
      <c r="J153"/>
      <c r="K153"/>
      <c r="L153"/>
      <c r="M153"/>
      <c r="N153"/>
      <c r="O153"/>
      <c r="Q153"/>
      <c r="R153"/>
      <c r="S153"/>
      <c r="T153"/>
      <c r="X153"/>
    </row>
    <row r="154" spans="3:24" x14ac:dyDescent="0.2">
      <c r="C154" s="212"/>
      <c r="D154"/>
      <c r="E154"/>
      <c r="F154"/>
      <c r="G154"/>
      <c r="H154"/>
      <c r="I154"/>
      <c r="J154"/>
      <c r="K154"/>
      <c r="L154"/>
      <c r="M154"/>
      <c r="N154"/>
      <c r="O154"/>
      <c r="Q154"/>
      <c r="R154"/>
      <c r="S154"/>
      <c r="T154"/>
      <c r="X154"/>
    </row>
    <row r="155" spans="3:24" x14ac:dyDescent="0.2">
      <c r="C155" s="212"/>
      <c r="D155"/>
      <c r="E155"/>
      <c r="F155"/>
      <c r="G155"/>
      <c r="H155"/>
      <c r="I155"/>
      <c r="J155"/>
      <c r="K155"/>
      <c r="L155"/>
      <c r="M155"/>
      <c r="N155"/>
      <c r="O155"/>
      <c r="Q155"/>
      <c r="R155"/>
      <c r="S155"/>
      <c r="T155"/>
      <c r="X155"/>
    </row>
    <row r="156" spans="3:24" x14ac:dyDescent="0.2">
      <c r="C156" s="212"/>
      <c r="D156"/>
      <c r="E156"/>
      <c r="F156"/>
      <c r="G156"/>
      <c r="H156"/>
      <c r="I156"/>
      <c r="J156"/>
      <c r="K156"/>
      <c r="L156"/>
      <c r="M156"/>
      <c r="N156"/>
      <c r="O156"/>
      <c r="Q156"/>
      <c r="R156"/>
      <c r="S156"/>
      <c r="T156"/>
      <c r="X156"/>
    </row>
    <row r="157" spans="3:24" x14ac:dyDescent="0.2">
      <c r="C157" s="212"/>
      <c r="D157"/>
      <c r="E157"/>
      <c r="F157"/>
      <c r="G157"/>
      <c r="H157"/>
      <c r="I157"/>
      <c r="J157"/>
      <c r="K157"/>
      <c r="L157"/>
      <c r="M157"/>
      <c r="N157"/>
      <c r="O157"/>
      <c r="Q157"/>
      <c r="R157"/>
      <c r="S157"/>
      <c r="T157"/>
      <c r="X157"/>
    </row>
    <row r="158" spans="3:24" x14ac:dyDescent="0.2">
      <c r="C158" s="212"/>
      <c r="D158"/>
      <c r="E158"/>
      <c r="F158"/>
      <c r="G158"/>
      <c r="H158"/>
      <c r="I158"/>
      <c r="J158"/>
      <c r="K158"/>
      <c r="L158"/>
      <c r="M158"/>
      <c r="N158"/>
      <c r="O158"/>
      <c r="Q158"/>
      <c r="R158"/>
      <c r="S158"/>
      <c r="T158"/>
      <c r="X158"/>
    </row>
    <row r="159" spans="3:24" x14ac:dyDescent="0.2">
      <c r="C159" s="212"/>
      <c r="D159"/>
      <c r="E159"/>
      <c r="F159"/>
      <c r="G159"/>
      <c r="H159"/>
      <c r="I159"/>
      <c r="J159"/>
      <c r="K159"/>
      <c r="L159"/>
      <c r="M159"/>
      <c r="N159"/>
      <c r="O159"/>
      <c r="Q159"/>
      <c r="R159"/>
      <c r="S159"/>
      <c r="T159"/>
      <c r="X159"/>
    </row>
    <row r="160" spans="3:24" x14ac:dyDescent="0.2">
      <c r="C160" s="212"/>
      <c r="D160"/>
      <c r="E160"/>
      <c r="F160"/>
      <c r="G160"/>
      <c r="H160"/>
      <c r="I160"/>
      <c r="J160"/>
      <c r="K160"/>
      <c r="L160"/>
      <c r="M160"/>
      <c r="N160"/>
      <c r="O160"/>
      <c r="Q160"/>
      <c r="R160"/>
      <c r="S160"/>
      <c r="T160"/>
      <c r="X160"/>
    </row>
    <row r="161" spans="3:24" x14ac:dyDescent="0.2">
      <c r="C161" s="212"/>
      <c r="D161"/>
      <c r="E161"/>
      <c r="F161"/>
      <c r="G161"/>
      <c r="H161"/>
      <c r="I161"/>
      <c r="J161"/>
      <c r="K161"/>
      <c r="L161"/>
      <c r="M161"/>
      <c r="N161"/>
      <c r="O161"/>
      <c r="Q161"/>
      <c r="R161"/>
      <c r="S161"/>
      <c r="T161"/>
      <c r="X161"/>
    </row>
    <row r="162" spans="3:24" x14ac:dyDescent="0.2">
      <c r="C162" s="212"/>
      <c r="D162"/>
      <c r="E162"/>
      <c r="F162"/>
      <c r="G162"/>
      <c r="H162"/>
      <c r="I162"/>
      <c r="J162"/>
      <c r="K162"/>
      <c r="L162"/>
      <c r="M162"/>
      <c r="N162"/>
      <c r="O162"/>
      <c r="Q162"/>
      <c r="R162"/>
      <c r="S162"/>
      <c r="T162"/>
      <c r="X162"/>
    </row>
    <row r="163" spans="3:24" x14ac:dyDescent="0.2">
      <c r="C163" s="212"/>
      <c r="D163"/>
      <c r="E163"/>
      <c r="F163"/>
      <c r="G163"/>
      <c r="H163"/>
      <c r="I163"/>
      <c r="J163"/>
      <c r="K163"/>
      <c r="L163"/>
      <c r="M163"/>
      <c r="N163"/>
      <c r="O163"/>
      <c r="Q163"/>
      <c r="R163"/>
      <c r="S163"/>
      <c r="T163"/>
      <c r="X163"/>
    </row>
    <row r="164" spans="3:24" x14ac:dyDescent="0.2">
      <c r="C164" s="212"/>
      <c r="D164"/>
      <c r="E164"/>
      <c r="F164"/>
      <c r="G164"/>
      <c r="H164"/>
      <c r="I164"/>
      <c r="J164"/>
      <c r="K164"/>
      <c r="L164"/>
      <c r="M164"/>
      <c r="N164"/>
      <c r="O164"/>
      <c r="Q164"/>
      <c r="R164"/>
      <c r="S164"/>
      <c r="T164"/>
      <c r="X164"/>
    </row>
    <row r="165" spans="3:24" x14ac:dyDescent="0.2">
      <c r="C165" s="212"/>
      <c r="D165"/>
      <c r="E165"/>
      <c r="F165"/>
      <c r="G165"/>
      <c r="H165"/>
      <c r="I165"/>
      <c r="J165"/>
      <c r="K165"/>
      <c r="L165"/>
      <c r="M165"/>
      <c r="N165"/>
      <c r="O165"/>
      <c r="Q165"/>
      <c r="R165"/>
      <c r="S165"/>
      <c r="T165"/>
      <c r="X165"/>
    </row>
    <row r="166" spans="3:24" x14ac:dyDescent="0.2">
      <c r="C166" s="212"/>
      <c r="D166"/>
      <c r="E166"/>
      <c r="F166"/>
      <c r="G166"/>
      <c r="H166"/>
      <c r="I166"/>
      <c r="J166"/>
      <c r="K166"/>
      <c r="L166"/>
      <c r="M166"/>
      <c r="N166"/>
      <c r="O166"/>
      <c r="Q166"/>
      <c r="R166"/>
      <c r="S166"/>
      <c r="T166"/>
      <c r="X166"/>
    </row>
    <row r="167" spans="3:24" x14ac:dyDescent="0.2">
      <c r="C167" s="212"/>
      <c r="D167"/>
      <c r="E167"/>
      <c r="F167"/>
      <c r="G167"/>
      <c r="H167"/>
      <c r="I167"/>
      <c r="J167"/>
      <c r="K167"/>
      <c r="L167"/>
      <c r="M167"/>
      <c r="N167"/>
      <c r="O167"/>
      <c r="Q167"/>
      <c r="R167"/>
      <c r="S167"/>
      <c r="T167"/>
      <c r="X167"/>
    </row>
    <row r="168" spans="3:24" x14ac:dyDescent="0.2">
      <c r="C168" s="212"/>
      <c r="D168"/>
      <c r="E168"/>
      <c r="F168"/>
      <c r="G168"/>
      <c r="H168"/>
      <c r="I168"/>
      <c r="J168"/>
      <c r="K168"/>
      <c r="L168"/>
      <c r="M168"/>
      <c r="N168"/>
      <c r="O168"/>
      <c r="Q168"/>
      <c r="R168"/>
      <c r="S168"/>
      <c r="T168"/>
      <c r="X168"/>
    </row>
    <row r="169" spans="3:24" x14ac:dyDescent="0.2">
      <c r="C169" s="212"/>
      <c r="D169"/>
      <c r="E169"/>
      <c r="F169"/>
      <c r="G169"/>
      <c r="H169"/>
      <c r="I169"/>
      <c r="J169"/>
      <c r="K169"/>
      <c r="L169"/>
      <c r="M169"/>
      <c r="N169"/>
      <c r="O169"/>
      <c r="Q169"/>
      <c r="R169"/>
      <c r="S169"/>
      <c r="T169"/>
      <c r="X169"/>
    </row>
    <row r="170" spans="3:24" x14ac:dyDescent="0.2">
      <c r="C170" s="212"/>
      <c r="D170"/>
      <c r="E170"/>
      <c r="F170"/>
      <c r="G170"/>
      <c r="H170"/>
      <c r="I170"/>
      <c r="J170"/>
      <c r="K170"/>
      <c r="L170"/>
      <c r="M170"/>
      <c r="N170"/>
      <c r="O170"/>
      <c r="Q170"/>
      <c r="R170"/>
      <c r="S170"/>
      <c r="T170"/>
      <c r="X170"/>
    </row>
  </sheetData>
  <phoneticPr fontId="0" type="noConversion"/>
  <hyperlinks>
    <hyperlink ref="A1" location="'Working Budget with funding det'!A1" display="Main " xr:uid="{00000000-0004-0000-2E00-000000000000}"/>
    <hyperlink ref="B1" location="'Table of Contents'!A1" display="TOC" xr:uid="{00000000-0004-0000-2E00-000001000000}"/>
  </hyperlinks>
  <pageMargins left="0.75" right="0.75" top="1" bottom="1" header="0.5" footer="0.5"/>
  <pageSetup scale="91" fitToHeight="2" orientation="landscape" horizontalDpi="300" verticalDpi="300" r:id="rId1"/>
  <headerFooter alignWithMargins="0">
    <oddFooter>&amp;L&amp;D     &amp;T&amp;C&amp;F&amp;R&amp;A</oddFooter>
  </headerFooter>
  <rowBreaks count="1" manualBreakCount="1">
    <brk id="33" max="8"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50"/>
    <pageSetUpPr fitToPage="1"/>
  </sheetPr>
  <dimension ref="A1:S30"/>
  <sheetViews>
    <sheetView topLeftCell="A5" workbookViewId="0">
      <selection activeCell="P15" sqref="P15"/>
    </sheetView>
  </sheetViews>
  <sheetFormatPr defaultRowHeight="12.75" x14ac:dyDescent="0.2"/>
  <cols>
    <col min="1" max="1" width="8.83203125" style="783"/>
    <col min="2" max="2" width="35.83203125" customWidth="1"/>
    <col min="3" max="8" width="14.83203125" style="1" hidden="1" customWidth="1"/>
    <col min="9" max="12" width="14.83203125" hidden="1" customWidth="1"/>
    <col min="13" max="19" width="14.83203125" customWidth="1"/>
  </cols>
  <sheetData>
    <row r="1" spans="1:19" x14ac:dyDescent="0.2">
      <c r="A1" s="772" t="s">
        <v>847</v>
      </c>
      <c r="B1" s="308" t="s">
        <v>197</v>
      </c>
      <c r="D1" s="212"/>
      <c r="E1" s="212"/>
      <c r="F1" s="212"/>
      <c r="G1" s="212"/>
      <c r="H1" s="212"/>
      <c r="I1" s="212"/>
      <c r="J1" s="212"/>
      <c r="K1" s="212"/>
      <c r="L1" s="212"/>
      <c r="M1" s="212"/>
      <c r="N1" s="212"/>
      <c r="O1" s="212"/>
      <c r="Q1" s="1"/>
      <c r="R1" s="1"/>
    </row>
    <row r="2" spans="1:19" ht="15" x14ac:dyDescent="0.25">
      <c r="A2" s="773" t="s">
        <v>1459</v>
      </c>
      <c r="B2" s="43"/>
      <c r="E2" s="126"/>
      <c r="I2" s="126" t="s">
        <v>816</v>
      </c>
      <c r="J2" s="126"/>
      <c r="K2" s="126"/>
      <c r="L2" s="126"/>
      <c r="M2" s="126"/>
      <c r="N2" s="126"/>
      <c r="O2" s="126"/>
      <c r="P2" s="58" t="s">
        <v>1499</v>
      </c>
      <c r="Q2" s="1"/>
      <c r="R2" s="1"/>
      <c r="S2" s="44" t="s">
        <v>1500</v>
      </c>
    </row>
    <row r="3" spans="1:19" ht="13.5" thickBot="1" x14ac:dyDescent="0.25">
      <c r="A3" s="774"/>
      <c r="B3" s="4"/>
      <c r="C3" s="23"/>
      <c r="D3" s="23"/>
      <c r="E3" s="23"/>
      <c r="F3" s="23"/>
      <c r="G3" s="23"/>
      <c r="H3" s="23"/>
      <c r="I3" s="23"/>
      <c r="J3" s="23"/>
      <c r="K3" s="23"/>
      <c r="L3" s="23"/>
      <c r="M3" s="23"/>
      <c r="N3" s="23"/>
      <c r="O3" s="23"/>
      <c r="P3" s="4"/>
      <c r="Q3" s="23"/>
      <c r="R3" s="23"/>
      <c r="S3" s="4"/>
    </row>
    <row r="4" spans="1:19"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19"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19" x14ac:dyDescent="0.2">
      <c r="A6" s="776"/>
      <c r="B6" s="202"/>
      <c r="C6" s="113"/>
      <c r="D6" s="113"/>
      <c r="E6" s="113"/>
      <c r="F6" s="113"/>
      <c r="G6" s="113"/>
      <c r="H6" s="113"/>
      <c r="I6" s="83"/>
      <c r="J6" s="83"/>
      <c r="K6" s="83"/>
      <c r="L6" s="83"/>
      <c r="M6" s="83"/>
      <c r="N6" s="83"/>
      <c r="O6" s="83"/>
      <c r="P6" s="113"/>
      <c r="Q6" s="83" t="s">
        <v>823</v>
      </c>
      <c r="R6" s="83" t="s">
        <v>585</v>
      </c>
      <c r="S6" s="45" t="s">
        <v>824</v>
      </c>
    </row>
    <row r="7" spans="1:19"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19" ht="13.5" thickTop="1" x14ac:dyDescent="0.2">
      <c r="A8" s="796"/>
      <c r="B8" s="203"/>
      <c r="C8" s="118"/>
      <c r="D8" s="18"/>
      <c r="E8" s="18"/>
      <c r="F8" s="18"/>
      <c r="G8" s="18"/>
      <c r="H8" s="18"/>
      <c r="I8" s="19"/>
      <c r="J8" s="19"/>
      <c r="K8" s="19"/>
      <c r="L8" s="19"/>
      <c r="M8" s="19"/>
      <c r="N8" s="19"/>
      <c r="O8" s="19"/>
      <c r="P8" s="18"/>
      <c r="Q8" s="19"/>
      <c r="R8" s="19"/>
      <c r="S8" s="19"/>
    </row>
    <row r="9" spans="1:19" x14ac:dyDescent="0.2">
      <c r="A9" s="796"/>
      <c r="B9" s="102"/>
      <c r="C9" s="118"/>
      <c r="D9" s="18"/>
      <c r="E9" s="18"/>
      <c r="F9" s="18"/>
      <c r="G9" s="18"/>
      <c r="H9" s="18"/>
      <c r="I9" s="18"/>
      <c r="J9" s="18"/>
      <c r="K9" s="19"/>
      <c r="L9" s="19"/>
      <c r="M9" s="19"/>
      <c r="N9" s="19"/>
      <c r="O9" s="19"/>
      <c r="P9" s="18"/>
      <c r="Q9" s="19"/>
      <c r="R9" s="19"/>
      <c r="S9" s="19"/>
    </row>
    <row r="10" spans="1:19" x14ac:dyDescent="0.2">
      <c r="A10" s="779">
        <v>5700</v>
      </c>
      <c r="B10" s="60" t="s">
        <v>1501</v>
      </c>
      <c r="C10" s="116">
        <v>253.28</v>
      </c>
      <c r="D10" s="13">
        <v>0</v>
      </c>
      <c r="E10" s="13">
        <v>434.33</v>
      </c>
      <c r="F10" s="13">
        <v>0</v>
      </c>
      <c r="G10" s="13">
        <v>0</v>
      </c>
      <c r="H10" s="13">
        <v>253.19</v>
      </c>
      <c r="I10" s="13"/>
      <c r="J10" s="13"/>
      <c r="K10" s="14">
        <v>500</v>
      </c>
      <c r="L10" s="13">
        <v>500</v>
      </c>
      <c r="M10" s="14">
        <v>500</v>
      </c>
      <c r="N10" s="13"/>
      <c r="O10" s="14">
        <v>500</v>
      </c>
      <c r="P10" s="13"/>
      <c r="Q10" s="14">
        <v>500</v>
      </c>
      <c r="R10" s="14"/>
      <c r="S10" s="14"/>
    </row>
    <row r="11" spans="1:19" ht="13.5" thickBot="1" x14ac:dyDescent="0.25">
      <c r="A11" s="779"/>
      <c r="B11" s="603"/>
      <c r="C11" s="117"/>
      <c r="D11" s="15"/>
      <c r="E11" s="15"/>
      <c r="F11" s="15"/>
      <c r="G11" s="15"/>
      <c r="H11" s="15"/>
      <c r="I11" s="15"/>
      <c r="J11" s="15"/>
      <c r="K11" s="16"/>
      <c r="L11" s="15"/>
      <c r="M11" s="16"/>
      <c r="N11" s="15"/>
      <c r="O11" s="16"/>
      <c r="P11" s="15"/>
      <c r="Q11" s="16"/>
      <c r="R11" s="16"/>
      <c r="S11" s="16"/>
    </row>
    <row r="12" spans="1:19" x14ac:dyDescent="0.2">
      <c r="A12" s="779"/>
      <c r="B12" s="61" t="s">
        <v>838</v>
      </c>
      <c r="C12" s="118">
        <f t="shared" ref="C12:Q12" si="0">SUM(C9:C11)</f>
        <v>253.28</v>
      </c>
      <c r="D12" s="18">
        <f t="shared" si="0"/>
        <v>0</v>
      </c>
      <c r="E12" s="18">
        <f t="shared" si="0"/>
        <v>434.33</v>
      </c>
      <c r="F12" s="18">
        <f>+F10</f>
        <v>0</v>
      </c>
      <c r="G12" s="18">
        <f>+G10</f>
        <v>0</v>
      </c>
      <c r="H12" s="18">
        <f>+H10</f>
        <v>253.19</v>
      </c>
      <c r="I12" s="18">
        <f t="shared" si="0"/>
        <v>0</v>
      </c>
      <c r="J12" s="18">
        <f t="shared" ref="J12" si="1">SUM(J9:J11)</f>
        <v>0</v>
      </c>
      <c r="K12" s="34">
        <f t="shared" ref="K12:O12" si="2">SUM(K9:K11)</f>
        <v>500</v>
      </c>
      <c r="L12" s="18">
        <f t="shared" si="2"/>
        <v>500</v>
      </c>
      <c r="M12" s="34">
        <f t="shared" si="2"/>
        <v>500</v>
      </c>
      <c r="N12" s="18">
        <f t="shared" ref="N12" si="3">SUM(N9:N11)</f>
        <v>0</v>
      </c>
      <c r="O12" s="34">
        <f t="shared" si="2"/>
        <v>500</v>
      </c>
      <c r="P12" s="18">
        <f t="shared" si="0"/>
        <v>0</v>
      </c>
      <c r="Q12" s="34">
        <f t="shared" si="0"/>
        <v>500</v>
      </c>
      <c r="R12" s="34"/>
      <c r="S12" s="34">
        <f>SUM(S9:S11)</f>
        <v>0</v>
      </c>
    </row>
    <row r="13" spans="1:19" x14ac:dyDescent="0.2">
      <c r="A13" s="779"/>
      <c r="B13" s="60"/>
      <c r="C13" s="116"/>
      <c r="D13" s="13"/>
      <c r="E13" s="13"/>
      <c r="F13" s="13"/>
      <c r="G13" s="13"/>
      <c r="H13" s="13"/>
      <c r="I13" s="13"/>
      <c r="J13" s="13"/>
      <c r="K13" s="14"/>
      <c r="L13" s="13"/>
      <c r="M13" s="14"/>
      <c r="N13" s="13"/>
      <c r="O13" s="14"/>
      <c r="P13" s="13"/>
      <c r="Q13" s="14"/>
      <c r="R13" s="14"/>
      <c r="S13" s="14"/>
    </row>
    <row r="14" spans="1:19" x14ac:dyDescent="0.2">
      <c r="A14" s="779"/>
      <c r="B14" s="60"/>
      <c r="C14" s="116"/>
      <c r="D14" s="13"/>
      <c r="E14" s="13"/>
      <c r="F14" s="13"/>
      <c r="G14" s="13"/>
      <c r="H14" s="13"/>
      <c r="I14" s="13"/>
      <c r="J14" s="13"/>
      <c r="K14" s="14"/>
      <c r="L14" s="13"/>
      <c r="M14" s="14"/>
      <c r="N14" s="13"/>
      <c r="O14" s="14"/>
      <c r="P14" s="13"/>
      <c r="Q14" s="14"/>
      <c r="R14" s="14"/>
      <c r="S14" s="14"/>
    </row>
    <row r="15" spans="1:19" ht="13.5" thickBot="1" x14ac:dyDescent="0.25">
      <c r="A15" s="780"/>
      <c r="B15" s="602" t="s">
        <v>1502</v>
      </c>
      <c r="C15" s="596">
        <f t="shared" ref="C15:Q15" si="4">+C12</f>
        <v>253.28</v>
      </c>
      <c r="D15" s="21">
        <f t="shared" si="4"/>
        <v>0</v>
      </c>
      <c r="E15" s="21">
        <f>+E12</f>
        <v>434.33</v>
      </c>
      <c r="F15" s="21">
        <f>+F12</f>
        <v>0</v>
      </c>
      <c r="G15" s="21">
        <f>+G12</f>
        <v>0</v>
      </c>
      <c r="H15" s="21">
        <f>+H12</f>
        <v>253.19</v>
      </c>
      <c r="I15" s="21">
        <f t="shared" si="4"/>
        <v>0</v>
      </c>
      <c r="J15" s="21">
        <f t="shared" ref="J15" si="5">+J12</f>
        <v>0</v>
      </c>
      <c r="K15" s="39">
        <f t="shared" ref="K15:P15" si="6">+K12</f>
        <v>500</v>
      </c>
      <c r="L15" s="21">
        <f t="shared" ref="L15:O15" si="7">+L12</f>
        <v>500</v>
      </c>
      <c r="M15" s="39">
        <f t="shared" si="7"/>
        <v>500</v>
      </c>
      <c r="N15" s="21">
        <f t="shared" ref="N15" si="8">+N12</f>
        <v>0</v>
      </c>
      <c r="O15" s="39">
        <f t="shared" si="7"/>
        <v>500</v>
      </c>
      <c r="P15" s="39">
        <f t="shared" si="6"/>
        <v>0</v>
      </c>
      <c r="Q15" s="39">
        <f t="shared" si="4"/>
        <v>500</v>
      </c>
      <c r="R15" s="39">
        <f>+Q15</f>
        <v>500</v>
      </c>
      <c r="S15" s="39">
        <v>500</v>
      </c>
    </row>
    <row r="16" spans="1:19" ht="13.5" thickTop="1" x14ac:dyDescent="0.2">
      <c r="A16" s="774"/>
      <c r="B16" s="603"/>
      <c r="C16" s="24"/>
      <c r="D16" s="24"/>
      <c r="E16" s="24"/>
      <c r="F16" s="24"/>
      <c r="G16" s="24"/>
      <c r="H16" s="24"/>
      <c r="I16" s="24"/>
      <c r="J16" s="24"/>
      <c r="K16" s="24"/>
      <c r="L16" s="24"/>
      <c r="M16" s="24"/>
      <c r="N16" s="24"/>
      <c r="O16" s="24"/>
      <c r="P16" s="199" t="s">
        <v>843</v>
      </c>
      <c r="Q16" s="1116">
        <f>+Q15-O15</f>
        <v>0</v>
      </c>
      <c r="R16" s="1117">
        <f>ROUND((+Q16/O15),4)</f>
        <v>0</v>
      </c>
      <c r="S16" s="23"/>
    </row>
    <row r="17" spans="1:19" ht="13.5" thickBot="1" x14ac:dyDescent="0.25">
      <c r="A17" s="774"/>
      <c r="B17" s="603"/>
      <c r="C17" s="23"/>
      <c r="D17" s="23"/>
      <c r="E17" s="23"/>
      <c r="F17" s="23"/>
      <c r="G17" s="23"/>
      <c r="H17" s="23"/>
      <c r="I17" s="23"/>
      <c r="J17" s="23"/>
      <c r="K17" s="23"/>
      <c r="L17" s="23"/>
      <c r="M17" s="23"/>
      <c r="N17" s="23"/>
      <c r="O17" s="23"/>
      <c r="P17" s="25"/>
      <c r="Q17" s="23"/>
      <c r="R17" s="23"/>
      <c r="S17" s="25"/>
    </row>
    <row r="18" spans="1:19" ht="13.5" thickTop="1" x14ac:dyDescent="0.2">
      <c r="A18" s="789"/>
      <c r="B18" s="604"/>
      <c r="C18" s="597" t="s">
        <v>280</v>
      </c>
      <c r="D18" s="369" t="s">
        <v>280</v>
      </c>
      <c r="E18" s="369" t="s">
        <v>280</v>
      </c>
      <c r="M18" s="370" t="s">
        <v>279</v>
      </c>
      <c r="N18" s="371" t="s">
        <v>826</v>
      </c>
      <c r="O18" s="372" t="s">
        <v>840</v>
      </c>
      <c r="P18" s="371" t="s">
        <v>841</v>
      </c>
      <c r="Q18" s="373"/>
      <c r="R18" s="569"/>
      <c r="S18" s="372"/>
    </row>
    <row r="19" spans="1:19" ht="13.5" thickBot="1" x14ac:dyDescent="0.25">
      <c r="A19" s="790" t="s">
        <v>825</v>
      </c>
      <c r="B19" s="374"/>
      <c r="C19" s="375" t="s">
        <v>267</v>
      </c>
      <c r="D19" s="375" t="s">
        <v>268</v>
      </c>
      <c r="E19" s="376" t="s">
        <v>269</v>
      </c>
      <c r="M19" s="377" t="s">
        <v>277</v>
      </c>
      <c r="N19" s="377" t="s">
        <v>571</v>
      </c>
      <c r="O19" s="376" t="s">
        <v>843</v>
      </c>
      <c r="P19" s="378" t="s">
        <v>843</v>
      </c>
      <c r="Q19" s="379" t="s">
        <v>844</v>
      </c>
      <c r="R19" s="570"/>
      <c r="S19" s="377"/>
    </row>
    <row r="20" spans="1:19" ht="13.5" thickTop="1" x14ac:dyDescent="0.2">
      <c r="A20" s="797"/>
      <c r="B20" s="394"/>
      <c r="C20" s="383"/>
      <c r="D20" s="383"/>
      <c r="E20" s="383"/>
      <c r="M20" s="383"/>
      <c r="N20" s="383"/>
      <c r="O20" s="384"/>
      <c r="P20" s="383"/>
      <c r="Q20" s="384"/>
      <c r="R20" s="384"/>
      <c r="S20" s="384"/>
    </row>
    <row r="21" spans="1:19" x14ac:dyDescent="0.2">
      <c r="A21" s="795">
        <v>5700</v>
      </c>
      <c r="B21" s="387" t="s">
        <v>1501</v>
      </c>
      <c r="C21" s="391">
        <v>253.28</v>
      </c>
      <c r="D21" s="391">
        <v>0</v>
      </c>
      <c r="E21" s="391">
        <v>434.33</v>
      </c>
      <c r="M21" s="390">
        <f>+O10</f>
        <v>500</v>
      </c>
      <c r="N21" s="411">
        <f>+Q10</f>
        <v>500</v>
      </c>
      <c r="O21" s="414">
        <f>+N21-M21</f>
        <v>0</v>
      </c>
      <c r="P21" s="392" t="str">
        <f>IF(M21+N21&lt;&gt;0,IF(M21&lt;&gt;0,IF(O21&lt;&gt;0,ROUND((+O21/M21),4),""),1),"")</f>
        <v/>
      </c>
      <c r="Q21" s="385"/>
      <c r="R21" s="572"/>
      <c r="S21" s="386"/>
    </row>
    <row r="22" spans="1:19" x14ac:dyDescent="0.2">
      <c r="A22" s="774"/>
      <c r="B22" s="4"/>
      <c r="C22" s="23"/>
      <c r="D22" s="23"/>
      <c r="E22" s="23"/>
      <c r="F22" s="23"/>
      <c r="G22" s="23"/>
      <c r="M22" s="23"/>
      <c r="N22" s="23"/>
      <c r="O22" s="23"/>
      <c r="P22" s="25"/>
      <c r="Q22" s="23"/>
      <c r="R22" s="23"/>
      <c r="S22" s="23"/>
    </row>
    <row r="23" spans="1:19" x14ac:dyDescent="0.2">
      <c r="A23" s="774"/>
      <c r="B23" s="4" t="s">
        <v>846</v>
      </c>
      <c r="C23" s="23"/>
      <c r="D23" s="23"/>
      <c r="E23" s="23"/>
      <c r="F23" s="23"/>
      <c r="G23" s="23"/>
      <c r="M23" s="616">
        <f>SUM(M21:M22)</f>
        <v>500</v>
      </c>
      <c r="N23" s="616">
        <f>SUM(N21:N22)</f>
        <v>500</v>
      </c>
      <c r="O23" s="25">
        <f>+N23-M23</f>
        <v>0</v>
      </c>
      <c r="P23" s="617" t="str">
        <f>IF(M23+N23&lt;&gt;0,IF(M23&lt;&gt;0,IF(O23&lt;&gt;0,ROUND((+O23/M23),4),""),1),"")</f>
        <v/>
      </c>
      <c r="Q23" s="23"/>
      <c r="R23" s="23"/>
      <c r="S23" s="23"/>
    </row>
    <row r="24" spans="1:19" x14ac:dyDescent="0.2">
      <c r="A24" s="774"/>
      <c r="B24" s="4"/>
      <c r="C24" s="23"/>
      <c r="D24" s="23"/>
      <c r="E24" s="23"/>
      <c r="F24" s="23"/>
      <c r="G24" s="23"/>
      <c r="H24" s="23"/>
      <c r="I24" s="23"/>
      <c r="J24" s="23"/>
      <c r="K24" s="23"/>
      <c r="L24" s="23"/>
      <c r="M24" s="23"/>
      <c r="N24" s="23"/>
      <c r="O24" s="23"/>
      <c r="P24" s="25"/>
      <c r="Q24" s="23"/>
      <c r="R24" s="23"/>
      <c r="S24" s="23"/>
    </row>
    <row r="25" spans="1:19" x14ac:dyDescent="0.2">
      <c r="A25" s="774"/>
      <c r="B25" s="4"/>
      <c r="C25" s="23"/>
      <c r="D25" s="23"/>
      <c r="E25" s="23"/>
      <c r="F25" s="23"/>
      <c r="G25" s="23"/>
      <c r="H25" s="23"/>
      <c r="I25" s="23"/>
      <c r="J25" s="23"/>
      <c r="K25" s="23"/>
      <c r="L25" s="23"/>
      <c r="M25" s="23"/>
      <c r="N25" s="23"/>
      <c r="O25" s="23"/>
      <c r="P25" s="25"/>
      <c r="Q25" s="23"/>
      <c r="R25" s="23"/>
      <c r="S25" s="23"/>
    </row>
    <row r="26" spans="1:19" x14ac:dyDescent="0.2">
      <c r="A26" s="774"/>
      <c r="B26" s="4"/>
      <c r="C26" s="23"/>
      <c r="D26" s="23"/>
      <c r="E26" s="23"/>
      <c r="F26" s="23"/>
      <c r="G26" s="23"/>
      <c r="H26" s="23"/>
      <c r="I26" s="23"/>
      <c r="J26" s="23"/>
      <c r="K26" s="23"/>
      <c r="L26" s="23"/>
      <c r="M26" s="23"/>
      <c r="N26" s="23"/>
      <c r="O26" s="23"/>
      <c r="P26" s="25"/>
      <c r="Q26" s="23"/>
      <c r="R26" s="23"/>
      <c r="S26" s="23"/>
    </row>
    <row r="27" spans="1:19" x14ac:dyDescent="0.2">
      <c r="A27" s="774"/>
      <c r="B27" s="4"/>
      <c r="C27" s="23"/>
      <c r="D27" s="23"/>
      <c r="E27" s="23"/>
      <c r="F27" s="23"/>
      <c r="G27" s="23"/>
      <c r="H27" s="23"/>
      <c r="I27" s="23"/>
      <c r="J27" s="23"/>
      <c r="K27" s="23"/>
      <c r="L27" s="23"/>
      <c r="M27" s="23"/>
      <c r="N27" s="23"/>
      <c r="O27" s="23"/>
      <c r="P27" s="25"/>
      <c r="Q27" s="23"/>
      <c r="R27" s="23"/>
      <c r="S27" s="23"/>
    </row>
    <row r="28" spans="1:19" x14ac:dyDescent="0.2">
      <c r="A28" s="774"/>
      <c r="B28" s="4"/>
      <c r="C28" s="23"/>
      <c r="D28" s="23"/>
      <c r="E28" s="23"/>
      <c r="F28" s="23"/>
      <c r="G28" s="23"/>
      <c r="H28" s="23"/>
      <c r="I28" s="23"/>
      <c r="J28" s="23"/>
      <c r="K28" s="23"/>
      <c r="L28" s="23"/>
      <c r="M28" s="23"/>
      <c r="N28" s="23"/>
      <c r="O28" s="23"/>
      <c r="P28" s="25"/>
      <c r="Q28" s="23"/>
      <c r="R28" s="23"/>
      <c r="S28" s="23"/>
    </row>
    <row r="29" spans="1:19" x14ac:dyDescent="0.2">
      <c r="A29" s="774"/>
      <c r="B29" s="4"/>
      <c r="C29" s="23"/>
      <c r="D29" s="23"/>
      <c r="E29" s="23"/>
      <c r="F29" s="23"/>
      <c r="G29" s="23"/>
      <c r="H29" s="23"/>
      <c r="I29" s="23"/>
      <c r="J29" s="23"/>
      <c r="K29" s="23"/>
      <c r="L29" s="23"/>
      <c r="M29" s="23"/>
      <c r="N29" s="23"/>
      <c r="O29" s="23"/>
      <c r="P29" s="25"/>
      <c r="Q29" s="23"/>
      <c r="R29" s="23"/>
      <c r="S29" s="23"/>
    </row>
    <row r="30" spans="1:19" x14ac:dyDescent="0.2">
      <c r="A30" s="774"/>
      <c r="B30" s="4"/>
      <c r="C30" s="23"/>
      <c r="D30" s="23"/>
      <c r="E30" s="23"/>
      <c r="F30" s="23"/>
      <c r="G30" s="23"/>
      <c r="H30" s="23"/>
      <c r="I30" s="23"/>
      <c r="J30" s="23"/>
      <c r="K30" s="23"/>
      <c r="L30" s="23"/>
      <c r="M30" s="23"/>
      <c r="N30" s="23"/>
      <c r="O30" s="23"/>
      <c r="P30" s="25"/>
      <c r="Q30" s="23"/>
      <c r="R30" s="23"/>
      <c r="S30" s="23"/>
    </row>
  </sheetData>
  <phoneticPr fontId="15" type="noConversion"/>
  <hyperlinks>
    <hyperlink ref="A1" location="'Working Budget with funding det'!A1" display="Main " xr:uid="{00000000-0004-0000-2F00-000000000000}"/>
    <hyperlink ref="B1" location="'Table of Contents'!A1" display="TOC" xr:uid="{00000000-0004-0000-2F00-000001000000}"/>
  </hyperlinks>
  <pageMargins left="0.75" right="0.75" top="1" bottom="1" header="0.5" footer="0.5"/>
  <pageSetup scale="91" orientation="landscape" r:id="rId1"/>
  <headerFooter alignWithMargins="0">
    <oddFooter>&amp;L&amp;D &amp;T&amp;C&amp;F&amp;R&amp;A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50"/>
    <pageSetUpPr fitToPage="1"/>
  </sheetPr>
  <dimension ref="A1:W186"/>
  <sheetViews>
    <sheetView workbookViewId="0">
      <selection activeCell="P15" sqref="P15"/>
    </sheetView>
  </sheetViews>
  <sheetFormatPr defaultRowHeight="12.75" x14ac:dyDescent="0.2"/>
  <cols>
    <col min="1" max="1" width="8.83203125" style="783"/>
    <col min="2" max="2" width="36.6640625" customWidth="1"/>
    <col min="3" max="3" width="14.5" style="1" hidden="1" customWidth="1"/>
    <col min="4" max="12" width="14.5" style="106" hidden="1" customWidth="1"/>
    <col min="13" max="15" width="14.5" style="106" customWidth="1"/>
    <col min="16" max="16" width="14.5" customWidth="1"/>
    <col min="17" max="18" width="14.33203125" style="1" customWidth="1"/>
    <col min="19" max="19" width="14.5" style="1" customWidth="1"/>
    <col min="20" max="22" width="14.5" customWidth="1"/>
    <col min="23" max="23" width="14.6640625" style="2" customWidth="1"/>
  </cols>
  <sheetData>
    <row r="1" spans="1:22" x14ac:dyDescent="0.2">
      <c r="A1" s="772" t="s">
        <v>847</v>
      </c>
      <c r="B1" s="308" t="s">
        <v>197</v>
      </c>
      <c r="D1" s="212"/>
      <c r="E1" s="212"/>
      <c r="F1" s="212"/>
      <c r="G1" s="212"/>
      <c r="H1" s="212"/>
      <c r="I1" s="212"/>
      <c r="J1" s="212"/>
      <c r="K1" s="212"/>
      <c r="L1" s="212"/>
      <c r="M1" s="212"/>
      <c r="N1" s="212"/>
      <c r="O1" s="212"/>
      <c r="S1"/>
    </row>
    <row r="2" spans="1:22" ht="15" x14ac:dyDescent="0.25">
      <c r="A2" s="773" t="s">
        <v>1459</v>
      </c>
      <c r="B2" s="43"/>
      <c r="D2" s="212"/>
      <c r="E2" s="212"/>
      <c r="F2" s="212"/>
      <c r="G2" s="212"/>
      <c r="H2" s="212"/>
      <c r="I2" s="126" t="s">
        <v>816</v>
      </c>
      <c r="J2" s="126"/>
      <c r="K2" s="126"/>
      <c r="L2" s="126"/>
      <c r="M2" s="126"/>
      <c r="N2" s="126"/>
      <c r="O2" s="126"/>
      <c r="P2" s="58" t="s">
        <v>664</v>
      </c>
      <c r="S2" s="354" t="s">
        <v>1503</v>
      </c>
    </row>
    <row r="3" spans="1:22" ht="13.5" thickBot="1" x14ac:dyDescent="0.25">
      <c r="A3" s="774"/>
      <c r="B3" s="4"/>
      <c r="C3" s="23"/>
      <c r="D3" s="23"/>
      <c r="E3" s="23"/>
      <c r="F3" s="23"/>
      <c r="G3" s="23"/>
      <c r="H3" s="23"/>
      <c r="I3" s="23"/>
      <c r="J3" s="23"/>
      <c r="K3" s="23"/>
      <c r="L3" s="23"/>
      <c r="M3" s="23"/>
      <c r="N3" s="23"/>
      <c r="O3" s="23"/>
      <c r="P3" s="4"/>
      <c r="Q3" s="23"/>
      <c r="R3" s="23"/>
      <c r="S3" s="4"/>
      <c r="V3" s="4"/>
    </row>
    <row r="4" spans="1:22"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2"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2" x14ac:dyDescent="0.2">
      <c r="A6" s="776"/>
      <c r="B6" s="202"/>
      <c r="C6" s="113"/>
      <c r="D6" s="113"/>
      <c r="E6" s="113"/>
      <c r="F6" s="113"/>
      <c r="G6" s="113"/>
      <c r="H6" s="113"/>
      <c r="I6" s="83"/>
      <c r="J6" s="83"/>
      <c r="K6" s="83"/>
      <c r="L6" s="83"/>
      <c r="M6" s="83"/>
      <c r="N6" s="83"/>
      <c r="O6" s="83"/>
      <c r="P6" s="113"/>
      <c r="Q6" s="83" t="s">
        <v>823</v>
      </c>
      <c r="R6" s="83" t="s">
        <v>585</v>
      </c>
      <c r="S6" s="45" t="s">
        <v>824</v>
      </c>
    </row>
    <row r="7" spans="1:22"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2" ht="13.5" thickTop="1" x14ac:dyDescent="0.2">
      <c r="A8" s="796"/>
      <c r="B8" s="203"/>
      <c r="C8" s="118"/>
      <c r="D8" s="18"/>
      <c r="E8" s="18"/>
      <c r="F8" s="18"/>
      <c r="G8" s="18"/>
      <c r="H8" s="18"/>
      <c r="I8" s="19"/>
      <c r="J8" s="19"/>
      <c r="K8" s="19"/>
      <c r="L8" s="19"/>
      <c r="M8" s="19"/>
      <c r="N8" s="19"/>
      <c r="O8" s="19"/>
      <c r="P8" s="18"/>
      <c r="Q8" s="19"/>
      <c r="R8" s="19"/>
      <c r="S8" s="19"/>
    </row>
    <row r="9" spans="1:22" x14ac:dyDescent="0.2">
      <c r="A9" s="796">
        <v>5211</v>
      </c>
      <c r="B9" s="102" t="s">
        <v>1410</v>
      </c>
      <c r="C9" s="118">
        <v>425.76</v>
      </c>
      <c r="D9" s="18">
        <v>393.01</v>
      </c>
      <c r="E9" s="18">
        <v>453.98</v>
      </c>
      <c r="F9" s="18">
        <v>478.7</v>
      </c>
      <c r="G9" s="18">
        <v>443.64</v>
      </c>
      <c r="H9" s="18">
        <v>430.41</v>
      </c>
      <c r="I9" s="18">
        <v>412.06</v>
      </c>
      <c r="J9" s="18">
        <v>426.87</v>
      </c>
      <c r="K9" s="19">
        <v>500</v>
      </c>
      <c r="L9" s="18">
        <v>432.19</v>
      </c>
      <c r="M9" s="19">
        <v>500</v>
      </c>
      <c r="N9" s="18">
        <v>459.32</v>
      </c>
      <c r="O9" s="19">
        <f>100+500</f>
        <v>600</v>
      </c>
      <c r="P9" s="18">
        <v>192.72</v>
      </c>
      <c r="Q9" s="19">
        <v>800</v>
      </c>
      <c r="R9" s="19"/>
      <c r="S9" s="19"/>
    </row>
    <row r="10" spans="1:22" ht="13.5" thickBot="1" x14ac:dyDescent="0.25">
      <c r="A10" s="779">
        <v>5700</v>
      </c>
      <c r="B10" s="60" t="s">
        <v>1501</v>
      </c>
      <c r="C10" s="117">
        <v>804.49</v>
      </c>
      <c r="D10" s="15">
        <v>426.4</v>
      </c>
      <c r="E10" s="15">
        <v>595.45000000000005</v>
      </c>
      <c r="F10" s="15">
        <v>710.92</v>
      </c>
      <c r="G10" s="15">
        <v>745.32</v>
      </c>
      <c r="H10" s="15">
        <v>769.59</v>
      </c>
      <c r="I10" s="15">
        <v>388.71</v>
      </c>
      <c r="J10" s="15">
        <v>510.75</v>
      </c>
      <c r="K10" s="16">
        <v>800</v>
      </c>
      <c r="L10" s="15">
        <v>359.7</v>
      </c>
      <c r="M10" s="16">
        <v>800</v>
      </c>
      <c r="N10" s="15">
        <v>732.89</v>
      </c>
      <c r="O10" s="16">
        <v>800</v>
      </c>
      <c r="P10" s="15">
        <v>200</v>
      </c>
      <c r="Q10" s="16">
        <v>800</v>
      </c>
      <c r="R10" s="16"/>
      <c r="S10" s="16"/>
    </row>
    <row r="11" spans="1:22" x14ac:dyDescent="0.2">
      <c r="A11" s="779"/>
      <c r="B11" s="61" t="s">
        <v>838</v>
      </c>
      <c r="C11" s="118">
        <f t="shared" ref="C11:S11" si="0">SUM(C9:C10)</f>
        <v>1230.25</v>
      </c>
      <c r="D11" s="18">
        <f t="shared" si="0"/>
        <v>819.41</v>
      </c>
      <c r="E11" s="18">
        <f t="shared" si="0"/>
        <v>1049.43</v>
      </c>
      <c r="F11" s="18">
        <f t="shared" si="0"/>
        <v>1189.6199999999999</v>
      </c>
      <c r="G11" s="18">
        <f t="shared" si="0"/>
        <v>1188.96</v>
      </c>
      <c r="H11" s="18">
        <f t="shared" si="0"/>
        <v>1200</v>
      </c>
      <c r="I11" s="18">
        <f t="shared" si="0"/>
        <v>800.77</v>
      </c>
      <c r="J11" s="18">
        <f t="shared" si="0"/>
        <v>937.62</v>
      </c>
      <c r="K11" s="34">
        <f t="shared" si="0"/>
        <v>1300</v>
      </c>
      <c r="L11" s="18">
        <f t="shared" ref="L11:O11" si="1">SUM(L9:L10)</f>
        <v>791.89</v>
      </c>
      <c r="M11" s="34">
        <f t="shared" si="1"/>
        <v>1300</v>
      </c>
      <c r="N11" s="18">
        <f t="shared" ref="N11" si="2">SUM(N9:N10)</f>
        <v>1192.21</v>
      </c>
      <c r="O11" s="34">
        <f t="shared" si="1"/>
        <v>1400</v>
      </c>
      <c r="P11" s="18">
        <f t="shared" si="0"/>
        <v>392.72</v>
      </c>
      <c r="Q11" s="34">
        <f t="shared" si="0"/>
        <v>1600</v>
      </c>
      <c r="R11" s="34"/>
      <c r="S11" s="34">
        <f t="shared" si="0"/>
        <v>0</v>
      </c>
    </row>
    <row r="12" spans="1:22" x14ac:dyDescent="0.2">
      <c r="A12" s="779"/>
      <c r="B12" s="60"/>
      <c r="C12" s="116"/>
      <c r="D12" s="13"/>
      <c r="E12" s="13"/>
      <c r="F12" s="13"/>
      <c r="G12" s="13"/>
      <c r="H12" s="13"/>
      <c r="I12" s="13"/>
      <c r="J12" s="13"/>
      <c r="K12" s="14"/>
      <c r="L12" s="13"/>
      <c r="M12" s="14"/>
      <c r="N12" s="13"/>
      <c r="O12" s="14"/>
      <c r="P12" s="13"/>
      <c r="Q12" s="14"/>
      <c r="R12" s="14"/>
      <c r="S12" s="14"/>
    </row>
    <row r="13" spans="1:22" x14ac:dyDescent="0.2">
      <c r="A13" s="779"/>
      <c r="B13" s="60"/>
      <c r="C13" s="116"/>
      <c r="D13" s="13"/>
      <c r="E13" s="13"/>
      <c r="F13" s="13"/>
      <c r="G13" s="13"/>
      <c r="H13" s="13"/>
      <c r="I13" s="13"/>
      <c r="J13" s="13"/>
      <c r="K13" s="14"/>
      <c r="L13" s="13"/>
      <c r="M13" s="14"/>
      <c r="N13" s="13"/>
      <c r="O13" s="14"/>
      <c r="P13" s="13"/>
      <c r="Q13" s="14"/>
      <c r="R13" s="14"/>
      <c r="S13" s="14"/>
    </row>
    <row r="14" spans="1:22" ht="13.5" thickBot="1" x14ac:dyDescent="0.25">
      <c r="A14" s="780"/>
      <c r="B14" s="602" t="s">
        <v>1504</v>
      </c>
      <c r="C14" s="596">
        <f t="shared" ref="C14:Q14" si="3">+C11</f>
        <v>1230.25</v>
      </c>
      <c r="D14" s="21">
        <f t="shared" si="3"/>
        <v>819.41</v>
      </c>
      <c r="E14" s="21">
        <f>+E11</f>
        <v>1049.43</v>
      </c>
      <c r="F14" s="21">
        <f>+F11</f>
        <v>1189.6199999999999</v>
      </c>
      <c r="G14" s="21">
        <f>+G11</f>
        <v>1188.96</v>
      </c>
      <c r="H14" s="21">
        <f>+H11</f>
        <v>1200</v>
      </c>
      <c r="I14" s="21">
        <f t="shared" si="3"/>
        <v>800.77</v>
      </c>
      <c r="J14" s="21">
        <f t="shared" ref="J14" si="4">+J11</f>
        <v>937.62</v>
      </c>
      <c r="K14" s="39">
        <f t="shared" ref="K14:O14" si="5">+K11</f>
        <v>1300</v>
      </c>
      <c r="L14" s="21">
        <f t="shared" si="5"/>
        <v>791.89</v>
      </c>
      <c r="M14" s="39">
        <f t="shared" si="5"/>
        <v>1300</v>
      </c>
      <c r="N14" s="21">
        <f t="shared" ref="N14" si="6">+N11</f>
        <v>1192.21</v>
      </c>
      <c r="O14" s="39">
        <f t="shared" si="5"/>
        <v>1400</v>
      </c>
      <c r="P14" s="21">
        <f t="shared" si="3"/>
        <v>392.72</v>
      </c>
      <c r="Q14" s="39">
        <f t="shared" si="3"/>
        <v>1600</v>
      </c>
      <c r="R14" s="39">
        <f>+Q14</f>
        <v>1600</v>
      </c>
      <c r="S14" s="39">
        <f>+Q14</f>
        <v>1600</v>
      </c>
    </row>
    <row r="15" spans="1:22" ht="13.5" thickTop="1" x14ac:dyDescent="0.2">
      <c r="A15" s="774"/>
      <c r="B15" s="603"/>
      <c r="C15" s="24"/>
      <c r="D15" s="24"/>
      <c r="E15" s="24"/>
      <c r="F15" s="24"/>
      <c r="G15" s="24"/>
      <c r="H15" s="24"/>
      <c r="I15" s="24"/>
      <c r="J15" s="24"/>
      <c r="K15" s="24"/>
      <c r="L15" s="24"/>
      <c r="M15" s="24"/>
      <c r="N15" s="24"/>
      <c r="O15" s="24"/>
      <c r="P15" s="199" t="s">
        <v>843</v>
      </c>
      <c r="Q15" s="1116">
        <f>+Q14-O14</f>
        <v>200</v>
      </c>
      <c r="R15" s="1117">
        <f>ROUND((+Q15/O14),4)</f>
        <v>0.1429</v>
      </c>
      <c r="S15" s="23"/>
      <c r="T15" s="25"/>
      <c r="U15" s="25"/>
      <c r="V15" s="25"/>
    </row>
    <row r="16" spans="1:22" ht="13.5" thickBot="1" x14ac:dyDescent="0.25">
      <c r="A16" s="774"/>
      <c r="B16" s="603"/>
      <c r="C16" s="23"/>
      <c r="D16" s="23"/>
      <c r="E16" s="23"/>
      <c r="F16" s="23"/>
      <c r="G16" s="23"/>
      <c r="H16" s="23"/>
      <c r="I16" s="23"/>
      <c r="J16" s="23"/>
      <c r="K16" s="23"/>
      <c r="L16" s="23"/>
      <c r="M16" s="23"/>
      <c r="N16" s="23"/>
      <c r="O16" s="23"/>
      <c r="P16" s="25"/>
      <c r="Q16" s="23"/>
      <c r="R16" s="23"/>
      <c r="S16" s="25"/>
      <c r="T16" s="25"/>
      <c r="U16" s="25"/>
      <c r="V16" s="25"/>
    </row>
    <row r="17" spans="1:22" ht="13.5" thickTop="1" x14ac:dyDescent="0.2">
      <c r="A17" s="789"/>
      <c r="B17" s="604"/>
      <c r="C17" s="597" t="s">
        <v>280</v>
      </c>
      <c r="D17" s="369" t="s">
        <v>280</v>
      </c>
      <c r="E17" s="369"/>
      <c r="F17" s="212"/>
      <c r="G17" s="212"/>
      <c r="H17" s="212"/>
      <c r="I17" s="212"/>
      <c r="J17" s="212"/>
      <c r="K17" s="212"/>
      <c r="L17" s="212"/>
      <c r="M17" s="370" t="s">
        <v>279</v>
      </c>
      <c r="N17" s="371" t="s">
        <v>826</v>
      </c>
      <c r="O17" s="372" t="s">
        <v>840</v>
      </c>
      <c r="P17" s="371" t="s">
        <v>841</v>
      </c>
      <c r="Q17" s="373"/>
      <c r="R17" s="569"/>
      <c r="S17" s="372"/>
      <c r="T17" s="25"/>
      <c r="U17" s="25"/>
      <c r="V17" s="25"/>
    </row>
    <row r="18" spans="1:22" ht="13.5" thickBot="1" x14ac:dyDescent="0.25">
      <c r="A18" s="790" t="s">
        <v>825</v>
      </c>
      <c r="B18" s="374"/>
      <c r="C18" s="421" t="s">
        <v>267</v>
      </c>
      <c r="D18" s="375" t="s">
        <v>268</v>
      </c>
      <c r="E18" s="421"/>
      <c r="F18" s="212"/>
      <c r="G18" s="212"/>
      <c r="H18" s="212"/>
      <c r="I18" s="212"/>
      <c r="J18" s="212"/>
      <c r="K18" s="212"/>
      <c r="L18" s="212"/>
      <c r="M18" s="377" t="s">
        <v>277</v>
      </c>
      <c r="N18" s="377" t="s">
        <v>571</v>
      </c>
      <c r="O18" s="376" t="s">
        <v>843</v>
      </c>
      <c r="P18" s="378" t="s">
        <v>843</v>
      </c>
      <c r="Q18" s="379" t="s">
        <v>844</v>
      </c>
      <c r="R18" s="570"/>
      <c r="S18" s="377"/>
      <c r="T18" s="25"/>
      <c r="U18" s="25"/>
      <c r="V18" s="25"/>
    </row>
    <row r="19" spans="1:22" ht="13.5" thickTop="1" x14ac:dyDescent="0.2">
      <c r="A19" s="797"/>
      <c r="B19" s="394"/>
      <c r="C19" s="383"/>
      <c r="D19" s="383"/>
      <c r="E19" s="383"/>
      <c r="F19" s="212"/>
      <c r="G19" s="212"/>
      <c r="H19" s="212"/>
      <c r="I19" s="212"/>
      <c r="J19" s="212"/>
      <c r="K19" s="212"/>
      <c r="L19" s="212"/>
      <c r="M19" s="384"/>
      <c r="N19" s="383"/>
      <c r="O19" s="384"/>
      <c r="P19" s="383"/>
      <c r="Q19" s="385"/>
      <c r="R19" s="572"/>
      <c r="S19" s="386"/>
      <c r="T19" s="25"/>
      <c r="U19" s="25"/>
      <c r="V19" s="25"/>
    </row>
    <row r="20" spans="1:22" x14ac:dyDescent="0.2">
      <c r="A20" s="797">
        <v>5211</v>
      </c>
      <c r="B20" s="394" t="s">
        <v>1410</v>
      </c>
      <c r="C20" s="383">
        <v>425.76</v>
      </c>
      <c r="D20" s="383">
        <v>393.01</v>
      </c>
      <c r="E20" s="383"/>
      <c r="F20" s="212"/>
      <c r="G20" s="212"/>
      <c r="H20" s="212"/>
      <c r="I20" s="212"/>
      <c r="J20" s="212"/>
      <c r="K20" s="212"/>
      <c r="L20" s="212"/>
      <c r="M20" s="384">
        <f>+O9</f>
        <v>600</v>
      </c>
      <c r="N20" s="410">
        <f>+Q9</f>
        <v>800</v>
      </c>
      <c r="O20" s="414">
        <f>+N20-M20</f>
        <v>200</v>
      </c>
      <c r="P20" s="392">
        <f>IF(M20+N20&lt;&gt;0,IF(M20&lt;&gt;0,IF(O20&lt;&gt;0,ROUND((+O20/M20),4),""),1),"")</f>
        <v>0.33329999999999999</v>
      </c>
      <c r="Q20" s="385" t="s">
        <v>2307</v>
      </c>
      <c r="R20" s="572"/>
      <c r="S20" s="386"/>
      <c r="T20" s="25"/>
      <c r="U20" s="25"/>
      <c r="V20" s="25"/>
    </row>
    <row r="21" spans="1:22" ht="13.5" thickBot="1" x14ac:dyDescent="0.25">
      <c r="A21" s="795">
        <v>5700</v>
      </c>
      <c r="B21" s="387" t="s">
        <v>1501</v>
      </c>
      <c r="C21" s="389">
        <v>804.49</v>
      </c>
      <c r="D21" s="389">
        <v>426.4</v>
      </c>
      <c r="E21" s="389"/>
      <c r="F21" s="212"/>
      <c r="G21" s="212"/>
      <c r="H21" s="212"/>
      <c r="I21" s="212"/>
      <c r="J21" s="212"/>
      <c r="K21" s="212"/>
      <c r="L21" s="212"/>
      <c r="M21" s="399">
        <f>+O10</f>
        <v>800</v>
      </c>
      <c r="N21" s="544">
        <f>+Q10</f>
        <v>800</v>
      </c>
      <c r="O21" s="414">
        <f>+N21-M21</f>
        <v>0</v>
      </c>
      <c r="P21" s="392" t="str">
        <f>IF(M21+N21&lt;&gt;0,IF(M21&lt;&gt;0,IF(O21&lt;&gt;0,ROUND((+O21/M21),4),""),1),"")</f>
        <v/>
      </c>
      <c r="Q21" s="385"/>
      <c r="R21" s="572"/>
      <c r="S21" s="386"/>
      <c r="T21" s="25"/>
      <c r="U21" s="25"/>
      <c r="V21" s="25"/>
    </row>
    <row r="22" spans="1:22" x14ac:dyDescent="0.2">
      <c r="A22" s="774"/>
      <c r="B22" s="4"/>
      <c r="C22" s="23"/>
      <c r="D22" s="23"/>
      <c r="E22" s="23"/>
      <c r="F22" s="23"/>
      <c r="G22" s="23"/>
      <c r="H22" s="212"/>
      <c r="I22" s="212"/>
      <c r="J22" s="212"/>
      <c r="K22" s="212"/>
      <c r="L22" s="212"/>
      <c r="M22" s="23"/>
      <c r="N22" s="23"/>
      <c r="O22" s="23"/>
      <c r="P22" s="25"/>
      <c r="Q22" s="23"/>
      <c r="R22" s="23"/>
      <c r="S22" s="23"/>
      <c r="T22" s="25"/>
      <c r="U22" s="25"/>
      <c r="V22" s="25"/>
    </row>
    <row r="23" spans="1:22" x14ac:dyDescent="0.2">
      <c r="A23" s="774"/>
      <c r="B23" s="4" t="s">
        <v>846</v>
      </c>
      <c r="C23" s="23"/>
      <c r="D23" s="23"/>
      <c r="E23" s="23"/>
      <c r="F23" s="23"/>
      <c r="G23" s="23"/>
      <c r="H23" s="212"/>
      <c r="I23" s="212"/>
      <c r="J23" s="212"/>
      <c r="K23" s="212"/>
      <c r="L23" s="212"/>
      <c r="M23" s="616">
        <f>SUM(M20:M22)</f>
        <v>1400</v>
      </c>
      <c r="N23" s="616">
        <f>SUM(N20:N22)</f>
        <v>1600</v>
      </c>
      <c r="O23" s="25">
        <f>+N23-M23</f>
        <v>200</v>
      </c>
      <c r="P23" s="617">
        <f>IF(M23+N23&lt;&gt;0,IF(M23&lt;&gt;0,IF(O23&lt;&gt;0,ROUND((+O23/M23),4),""),1),"")</f>
        <v>0.1429</v>
      </c>
      <c r="Q23" s="23"/>
      <c r="R23" s="23"/>
      <c r="S23" s="23"/>
      <c r="T23" s="25"/>
      <c r="U23" s="25"/>
      <c r="V23" s="25"/>
    </row>
    <row r="24" spans="1:22" x14ac:dyDescent="0.2">
      <c r="A24" s="774"/>
      <c r="B24" s="4"/>
      <c r="C24" s="23"/>
      <c r="D24" s="23"/>
      <c r="E24" s="23"/>
      <c r="F24" s="23"/>
      <c r="G24" s="23"/>
      <c r="H24" s="23"/>
      <c r="I24" s="23"/>
      <c r="J24" s="23"/>
      <c r="K24" s="23"/>
      <c r="L24" s="23"/>
      <c r="M24" s="23"/>
      <c r="N24" s="23"/>
      <c r="O24" s="23"/>
      <c r="P24" s="25"/>
      <c r="Q24" s="23"/>
      <c r="R24" s="23"/>
      <c r="S24" s="23"/>
      <c r="T24" s="25"/>
      <c r="U24" s="25"/>
      <c r="V24" s="25"/>
    </row>
    <row r="25" spans="1:22" x14ac:dyDescent="0.2">
      <c r="A25" s="774"/>
      <c r="B25" s="4"/>
      <c r="C25" s="23"/>
      <c r="D25" s="23"/>
      <c r="E25" s="23"/>
      <c r="F25" s="23"/>
      <c r="G25" s="23"/>
      <c r="H25" s="23"/>
      <c r="I25" s="23"/>
      <c r="J25" s="23"/>
      <c r="K25" s="23"/>
      <c r="L25" s="23"/>
      <c r="M25" s="23"/>
      <c r="N25" s="23"/>
      <c r="O25" s="23"/>
      <c r="P25" s="25"/>
      <c r="Q25" s="23"/>
      <c r="R25" s="23"/>
      <c r="S25" s="23"/>
      <c r="T25" s="25"/>
      <c r="U25" s="25"/>
      <c r="V25" s="25"/>
    </row>
    <row r="26" spans="1:22" x14ac:dyDescent="0.2">
      <c r="A26" s="774"/>
      <c r="B26" s="4"/>
      <c r="C26" s="23"/>
      <c r="D26" s="23"/>
      <c r="E26" s="23"/>
      <c r="F26" s="23"/>
      <c r="G26" s="23"/>
      <c r="H26" s="23"/>
      <c r="I26" s="23"/>
      <c r="J26" s="23"/>
      <c r="K26" s="23"/>
      <c r="L26" s="23"/>
      <c r="M26" s="23"/>
      <c r="N26" s="23"/>
      <c r="O26" s="23"/>
      <c r="P26" s="25"/>
      <c r="Q26" s="23"/>
      <c r="R26" s="23"/>
      <c r="S26" s="23"/>
      <c r="T26" s="25"/>
      <c r="U26" s="25"/>
      <c r="V26" s="25"/>
    </row>
    <row r="27" spans="1:22" x14ac:dyDescent="0.2">
      <c r="A27" s="774"/>
      <c r="B27" s="4"/>
      <c r="C27" s="23"/>
      <c r="D27" s="23"/>
      <c r="E27" s="23"/>
      <c r="F27" s="23"/>
      <c r="G27" s="23"/>
      <c r="H27" s="23"/>
      <c r="I27" s="23"/>
      <c r="J27" s="23"/>
      <c r="K27" s="23"/>
      <c r="L27" s="23"/>
      <c r="M27" s="23"/>
      <c r="N27" s="23"/>
      <c r="O27" s="23"/>
      <c r="P27" s="25"/>
      <c r="Q27" s="23"/>
      <c r="R27" s="23"/>
      <c r="S27" s="23"/>
      <c r="T27" s="25"/>
      <c r="U27" s="25"/>
      <c r="V27" s="25"/>
    </row>
    <row r="28" spans="1:22" x14ac:dyDescent="0.2">
      <c r="A28" s="774"/>
      <c r="B28" s="4"/>
      <c r="C28" s="23"/>
      <c r="D28" s="23"/>
      <c r="E28" s="23"/>
      <c r="F28" s="23"/>
      <c r="G28" s="23"/>
      <c r="H28" s="23"/>
      <c r="I28" s="23"/>
      <c r="J28" s="23"/>
      <c r="K28" s="23"/>
      <c r="L28" s="23"/>
      <c r="M28" s="23"/>
      <c r="N28" s="23"/>
      <c r="O28" s="23"/>
      <c r="P28" s="25"/>
      <c r="Q28" s="23"/>
      <c r="R28" s="23"/>
      <c r="S28" s="23"/>
      <c r="T28" s="25"/>
      <c r="U28" s="25"/>
      <c r="V28" s="25"/>
    </row>
    <row r="29" spans="1:22" x14ac:dyDescent="0.2">
      <c r="A29" s="774"/>
      <c r="B29" s="4"/>
      <c r="C29" s="23"/>
      <c r="D29" s="23"/>
      <c r="E29" s="23"/>
      <c r="F29" s="23"/>
      <c r="G29" s="23"/>
      <c r="H29" s="23"/>
      <c r="I29" s="23"/>
      <c r="J29" s="23"/>
      <c r="K29" s="23"/>
      <c r="L29" s="23"/>
      <c r="M29" s="23"/>
      <c r="N29" s="23"/>
      <c r="O29" s="23"/>
      <c r="P29" s="25"/>
      <c r="Q29" s="23"/>
      <c r="R29" s="23"/>
      <c r="S29" s="23"/>
      <c r="T29" s="25"/>
      <c r="U29" s="25"/>
      <c r="V29" s="25"/>
    </row>
    <row r="30" spans="1:22" x14ac:dyDescent="0.2">
      <c r="A30" s="774"/>
      <c r="B30" s="4"/>
      <c r="C30" s="23"/>
      <c r="D30" s="23"/>
      <c r="E30" s="23"/>
      <c r="F30" s="23"/>
      <c r="G30" s="23"/>
      <c r="H30" s="23"/>
      <c r="I30" s="23"/>
      <c r="J30" s="23"/>
      <c r="K30" s="23"/>
      <c r="L30" s="23"/>
      <c r="M30" s="23"/>
      <c r="N30" s="23"/>
      <c r="O30" s="23"/>
      <c r="P30" s="25"/>
      <c r="Q30" s="23"/>
      <c r="R30" s="23"/>
      <c r="S30" s="23"/>
      <c r="T30" s="25"/>
      <c r="U30" s="25"/>
      <c r="V30" s="25"/>
    </row>
    <row r="31" spans="1:22" x14ac:dyDescent="0.2">
      <c r="A31" s="774"/>
      <c r="B31" s="4"/>
      <c r="C31" s="23"/>
      <c r="D31" s="23"/>
      <c r="E31" s="23"/>
      <c r="F31" s="23"/>
      <c r="G31" s="23"/>
      <c r="H31" s="23"/>
      <c r="I31" s="23"/>
      <c r="J31" s="23"/>
      <c r="K31" s="23"/>
      <c r="L31" s="23"/>
      <c r="M31" s="23"/>
      <c r="N31" s="23"/>
      <c r="O31" s="23"/>
      <c r="P31" s="25"/>
      <c r="Q31" s="23"/>
      <c r="R31" s="23"/>
      <c r="S31" s="23"/>
      <c r="T31" s="25"/>
      <c r="U31" s="25"/>
      <c r="V31" s="25"/>
    </row>
    <row r="32" spans="1:22" x14ac:dyDescent="0.2">
      <c r="A32" s="774"/>
      <c r="B32" s="4"/>
      <c r="C32" s="23"/>
      <c r="D32" s="23"/>
      <c r="E32" s="23"/>
      <c r="F32" s="23"/>
      <c r="G32" s="23"/>
      <c r="H32" s="23"/>
      <c r="I32" s="23"/>
      <c r="J32" s="23"/>
      <c r="K32" s="23"/>
      <c r="L32" s="23"/>
      <c r="M32" s="23"/>
      <c r="N32" s="23"/>
      <c r="O32" s="23"/>
      <c r="P32" s="25"/>
      <c r="Q32" s="23"/>
      <c r="R32" s="23"/>
      <c r="S32" s="23"/>
      <c r="T32" s="25"/>
      <c r="U32" s="25"/>
      <c r="V32" s="25"/>
    </row>
    <row r="33" spans="1:22" x14ac:dyDescent="0.2">
      <c r="A33" s="774"/>
      <c r="B33" s="4"/>
      <c r="C33" s="23"/>
      <c r="D33" s="23"/>
      <c r="E33" s="23"/>
      <c r="F33" s="23"/>
      <c r="G33" s="23"/>
      <c r="H33" s="23"/>
      <c r="I33" s="23"/>
      <c r="J33" s="23"/>
      <c r="K33" s="23"/>
      <c r="L33" s="23"/>
      <c r="M33" s="23"/>
      <c r="N33" s="23"/>
      <c r="O33" s="23"/>
      <c r="P33" s="25"/>
      <c r="Q33" s="23"/>
      <c r="R33" s="23"/>
      <c r="S33" s="23"/>
      <c r="T33" s="25"/>
      <c r="U33" s="25"/>
      <c r="V33" s="25"/>
    </row>
    <row r="34" spans="1:22" x14ac:dyDescent="0.2">
      <c r="A34" s="774"/>
      <c r="B34" s="4"/>
      <c r="C34" s="23"/>
      <c r="D34" s="23"/>
      <c r="E34" s="23"/>
      <c r="F34" s="23"/>
      <c r="G34" s="23"/>
      <c r="H34" s="23"/>
      <c r="I34" s="23"/>
      <c r="J34" s="23"/>
      <c r="K34" s="23"/>
      <c r="L34" s="23"/>
      <c r="M34" s="23"/>
      <c r="N34" s="23"/>
      <c r="O34" s="23"/>
      <c r="P34" s="25"/>
      <c r="Q34" s="23"/>
      <c r="R34" s="23"/>
      <c r="S34" s="23"/>
      <c r="T34" s="25"/>
      <c r="U34" s="25"/>
      <c r="V34" s="25"/>
    </row>
    <row r="35" spans="1:22" x14ac:dyDescent="0.2">
      <c r="A35" s="774"/>
      <c r="B35" s="4"/>
      <c r="C35" s="23"/>
      <c r="D35" s="23"/>
      <c r="E35" s="23"/>
      <c r="F35" s="23"/>
      <c r="G35" s="23"/>
      <c r="H35" s="23"/>
      <c r="I35" s="23"/>
      <c r="J35" s="23"/>
      <c r="K35" s="23"/>
      <c r="L35" s="23"/>
      <c r="M35" s="23"/>
      <c r="N35" s="23"/>
      <c r="O35" s="23"/>
      <c r="P35" s="25"/>
      <c r="Q35" s="23"/>
      <c r="R35" s="23"/>
      <c r="S35" s="23"/>
      <c r="T35" s="25"/>
      <c r="U35" s="25"/>
      <c r="V35" s="25"/>
    </row>
    <row r="36" spans="1:22" x14ac:dyDescent="0.2">
      <c r="A36" s="774"/>
      <c r="B36" s="4"/>
      <c r="C36" s="23"/>
      <c r="D36" s="23"/>
      <c r="E36" s="23"/>
      <c r="F36" s="23"/>
      <c r="G36" s="23"/>
      <c r="H36" s="23"/>
      <c r="I36" s="23"/>
      <c r="J36" s="23"/>
      <c r="K36" s="23"/>
      <c r="L36" s="23"/>
      <c r="M36" s="23"/>
      <c r="N36" s="23"/>
      <c r="O36" s="23"/>
      <c r="P36" s="25"/>
      <c r="Q36" s="23"/>
      <c r="R36" s="23"/>
      <c r="S36" s="23"/>
      <c r="T36" s="25"/>
      <c r="U36" s="25"/>
      <c r="V36" s="25"/>
    </row>
    <row r="37" spans="1:22" x14ac:dyDescent="0.2">
      <c r="A37" s="774"/>
      <c r="B37" s="4"/>
      <c r="C37" s="23"/>
      <c r="D37" s="23"/>
      <c r="E37" s="23"/>
      <c r="F37" s="23"/>
      <c r="G37" s="23"/>
      <c r="H37" s="23"/>
      <c r="I37" s="23"/>
      <c r="J37" s="23"/>
      <c r="K37" s="23"/>
      <c r="L37" s="23"/>
      <c r="M37" s="23"/>
      <c r="N37" s="23"/>
      <c r="O37" s="23"/>
      <c r="P37" s="25"/>
      <c r="Q37" s="23"/>
      <c r="R37" s="23"/>
      <c r="S37" s="23"/>
      <c r="T37" s="25"/>
      <c r="U37" s="25"/>
      <c r="V37" s="25"/>
    </row>
    <row r="38" spans="1:22" x14ac:dyDescent="0.2">
      <c r="A38" s="774"/>
      <c r="B38" s="4"/>
      <c r="C38" s="23"/>
      <c r="D38" s="23"/>
      <c r="E38" s="23"/>
      <c r="F38" s="23"/>
      <c r="G38" s="23"/>
      <c r="H38" s="23"/>
      <c r="I38" s="23"/>
      <c r="J38" s="23"/>
      <c r="K38" s="23"/>
      <c r="L38" s="23"/>
      <c r="M38" s="23"/>
      <c r="N38" s="23"/>
      <c r="O38" s="23"/>
      <c r="P38" s="25"/>
      <c r="Q38" s="23"/>
      <c r="R38" s="23"/>
      <c r="S38" s="23"/>
      <c r="T38" s="25"/>
      <c r="U38" s="25"/>
      <c r="V38" s="25"/>
    </row>
    <row r="39" spans="1:22" x14ac:dyDescent="0.2">
      <c r="A39" s="774"/>
      <c r="B39" s="4"/>
      <c r="C39" s="23"/>
      <c r="D39" s="23"/>
      <c r="E39" s="23"/>
      <c r="F39" s="23"/>
      <c r="G39" s="23"/>
      <c r="H39" s="23"/>
      <c r="I39" s="23"/>
      <c r="J39" s="23"/>
      <c r="K39" s="23"/>
      <c r="L39" s="23"/>
      <c r="M39" s="23"/>
      <c r="N39" s="23"/>
      <c r="O39" s="23"/>
      <c r="P39" s="25"/>
      <c r="Q39" s="23"/>
      <c r="R39" s="23"/>
      <c r="S39" s="23"/>
      <c r="T39" s="25"/>
      <c r="U39" s="25"/>
      <c r="V39" s="25"/>
    </row>
    <row r="40" spans="1:22" x14ac:dyDescent="0.2">
      <c r="A40" s="774"/>
      <c r="B40" s="4"/>
      <c r="C40" s="23"/>
      <c r="D40" s="23"/>
      <c r="E40" s="23"/>
      <c r="F40" s="23"/>
      <c r="G40" s="23"/>
      <c r="H40" s="23"/>
      <c r="I40" s="23"/>
      <c r="J40" s="23"/>
      <c r="K40" s="23"/>
      <c r="L40" s="23"/>
      <c r="M40" s="23"/>
      <c r="N40" s="23"/>
      <c r="O40" s="23"/>
      <c r="P40" s="25"/>
      <c r="Q40" s="23"/>
      <c r="R40" s="23"/>
      <c r="S40" s="23"/>
      <c r="T40" s="25"/>
      <c r="U40" s="25"/>
      <c r="V40" s="25"/>
    </row>
    <row r="41" spans="1:22" x14ac:dyDescent="0.2">
      <c r="A41" s="774"/>
      <c r="B41" s="4"/>
      <c r="C41" s="23"/>
      <c r="D41" s="23"/>
      <c r="E41" s="23"/>
      <c r="F41" s="23"/>
      <c r="G41" s="23"/>
      <c r="H41" s="23"/>
      <c r="I41" s="23"/>
      <c r="J41" s="23"/>
      <c r="K41" s="23"/>
      <c r="L41" s="23"/>
      <c r="M41" s="23"/>
      <c r="N41" s="23"/>
      <c r="O41" s="23"/>
      <c r="P41" s="25"/>
      <c r="Q41" s="23"/>
      <c r="R41" s="23"/>
      <c r="S41" s="23"/>
      <c r="T41" s="25"/>
      <c r="U41" s="25"/>
      <c r="V41" s="25"/>
    </row>
    <row r="42" spans="1:22" x14ac:dyDescent="0.2">
      <c r="A42" s="774"/>
      <c r="B42" s="4"/>
      <c r="C42" s="23"/>
      <c r="D42" s="23"/>
      <c r="E42" s="23"/>
      <c r="F42" s="23"/>
      <c r="G42" s="23"/>
      <c r="H42" s="23"/>
      <c r="I42" s="23"/>
      <c r="J42" s="23"/>
      <c r="K42" s="23"/>
      <c r="L42" s="23"/>
      <c r="M42" s="23"/>
      <c r="N42" s="23"/>
      <c r="O42" s="23"/>
      <c r="P42" s="25"/>
      <c r="Q42" s="23"/>
      <c r="R42" s="23"/>
      <c r="S42" s="23"/>
      <c r="T42" s="25"/>
      <c r="U42" s="25"/>
      <c r="V42" s="25"/>
    </row>
    <row r="43" spans="1:22" x14ac:dyDescent="0.2">
      <c r="A43" s="774"/>
      <c r="B43" s="4"/>
      <c r="C43" s="23"/>
      <c r="D43" s="23"/>
      <c r="E43" s="23"/>
      <c r="F43" s="23"/>
      <c r="G43" s="23"/>
      <c r="H43" s="23"/>
      <c r="I43" s="23"/>
      <c r="J43" s="23"/>
      <c r="K43" s="23"/>
      <c r="L43" s="23"/>
      <c r="M43" s="23"/>
      <c r="N43" s="23"/>
      <c r="O43" s="23"/>
      <c r="P43" s="25"/>
      <c r="Q43" s="23"/>
      <c r="R43" s="23"/>
      <c r="S43" s="23"/>
      <c r="T43" s="25"/>
      <c r="U43" s="25"/>
      <c r="V43" s="25"/>
    </row>
    <row r="44" spans="1:22" x14ac:dyDescent="0.2">
      <c r="A44" s="774"/>
      <c r="B44" s="4"/>
      <c r="C44" s="23"/>
      <c r="D44" s="23"/>
      <c r="E44" s="23"/>
      <c r="F44" s="23"/>
      <c r="G44" s="23"/>
      <c r="H44" s="23"/>
      <c r="I44" s="23"/>
      <c r="J44" s="23"/>
      <c r="K44" s="23"/>
      <c r="L44" s="23"/>
      <c r="M44" s="23"/>
      <c r="N44" s="23"/>
      <c r="O44" s="23"/>
      <c r="P44" s="25"/>
      <c r="Q44" s="23"/>
      <c r="R44" s="23"/>
      <c r="S44" s="23"/>
      <c r="T44" s="25"/>
      <c r="U44" s="25"/>
      <c r="V44" s="25"/>
    </row>
    <row r="45" spans="1:22" x14ac:dyDescent="0.2">
      <c r="A45" s="774"/>
      <c r="B45" s="4"/>
      <c r="C45" s="23"/>
      <c r="D45" s="23"/>
      <c r="E45" s="23"/>
      <c r="F45" s="23"/>
      <c r="G45" s="23"/>
      <c r="H45" s="23"/>
      <c r="I45" s="23"/>
      <c r="J45" s="23"/>
      <c r="K45" s="23"/>
      <c r="L45" s="23"/>
      <c r="M45" s="23"/>
      <c r="N45" s="23"/>
      <c r="O45" s="23"/>
      <c r="P45" s="25"/>
      <c r="Q45" s="23"/>
      <c r="R45" s="23"/>
      <c r="S45" s="23"/>
      <c r="T45" s="25"/>
      <c r="U45" s="25"/>
      <c r="V45" s="25"/>
    </row>
    <row r="46" spans="1:22" x14ac:dyDescent="0.2">
      <c r="A46" s="774"/>
      <c r="B46" s="4"/>
      <c r="C46" s="23"/>
      <c r="D46" s="23"/>
      <c r="E46" s="23"/>
      <c r="F46" s="23"/>
      <c r="G46" s="23"/>
      <c r="H46" s="23"/>
      <c r="I46" s="23"/>
      <c r="J46" s="23"/>
      <c r="K46" s="23"/>
      <c r="L46" s="23"/>
      <c r="M46" s="23"/>
      <c r="N46" s="23"/>
      <c r="O46" s="23"/>
      <c r="P46" s="25"/>
      <c r="Q46" s="23"/>
      <c r="R46" s="23"/>
      <c r="S46" s="23"/>
      <c r="T46" s="25"/>
      <c r="U46" s="25"/>
      <c r="V46" s="25"/>
    </row>
    <row r="47" spans="1:22" x14ac:dyDescent="0.2">
      <c r="A47" s="774"/>
      <c r="B47" s="4"/>
      <c r="C47" s="23"/>
      <c r="D47" s="23"/>
      <c r="E47" s="23"/>
      <c r="F47" s="23"/>
      <c r="G47" s="23"/>
      <c r="H47" s="23"/>
      <c r="I47" s="23"/>
      <c r="J47" s="23"/>
      <c r="K47" s="23"/>
      <c r="L47" s="23"/>
      <c r="M47" s="23"/>
      <c r="N47" s="23"/>
      <c r="O47" s="23"/>
      <c r="P47" s="25"/>
      <c r="Q47" s="23"/>
      <c r="R47" s="23"/>
      <c r="S47" s="23"/>
      <c r="T47" s="25"/>
      <c r="U47" s="25"/>
      <c r="V47" s="25"/>
    </row>
    <row r="48" spans="1:22" x14ac:dyDescent="0.2">
      <c r="A48" s="774"/>
      <c r="B48" s="4"/>
      <c r="C48" s="23"/>
      <c r="D48" s="23"/>
      <c r="E48" s="23"/>
      <c r="F48" s="23"/>
      <c r="G48" s="23"/>
      <c r="H48" s="23"/>
      <c r="I48" s="23"/>
      <c r="J48" s="23"/>
      <c r="K48" s="23"/>
      <c r="L48" s="23"/>
      <c r="M48" s="23"/>
      <c r="N48" s="23"/>
      <c r="O48" s="23"/>
      <c r="P48" s="25"/>
      <c r="Q48" s="23"/>
      <c r="R48" s="23"/>
      <c r="S48" s="23"/>
      <c r="T48" s="25"/>
      <c r="U48" s="25"/>
      <c r="V48" s="25"/>
    </row>
    <row r="49" spans="1:22" x14ac:dyDescent="0.2">
      <c r="A49" s="774"/>
      <c r="B49" s="4"/>
      <c r="C49" s="23"/>
      <c r="D49" s="23"/>
      <c r="E49" s="23"/>
      <c r="F49" s="23"/>
      <c r="G49" s="23"/>
      <c r="H49" s="23"/>
      <c r="I49" s="23"/>
      <c r="J49" s="23"/>
      <c r="K49" s="23"/>
      <c r="L49" s="23"/>
      <c r="M49" s="23"/>
      <c r="N49" s="23"/>
      <c r="O49" s="23"/>
      <c r="P49" s="25"/>
      <c r="Q49" s="23"/>
      <c r="R49" s="23"/>
      <c r="S49" s="23"/>
      <c r="T49" s="25"/>
      <c r="U49" s="25"/>
      <c r="V49" s="25"/>
    </row>
    <row r="50" spans="1:22" x14ac:dyDescent="0.2">
      <c r="A50" s="774"/>
      <c r="B50" s="4"/>
      <c r="C50" s="23"/>
      <c r="D50" s="23"/>
      <c r="E50" s="23"/>
      <c r="F50" s="23"/>
      <c r="G50" s="23"/>
      <c r="H50" s="23"/>
      <c r="I50" s="23"/>
      <c r="J50" s="23"/>
      <c r="K50" s="23"/>
      <c r="L50" s="23"/>
      <c r="M50" s="23"/>
      <c r="N50" s="23"/>
      <c r="O50" s="23"/>
      <c r="P50" s="25"/>
      <c r="Q50" s="23"/>
      <c r="R50" s="23"/>
      <c r="S50" s="23"/>
      <c r="T50" s="25"/>
      <c r="U50" s="25"/>
      <c r="V50" s="25"/>
    </row>
    <row r="51" spans="1:22" x14ac:dyDescent="0.2">
      <c r="A51" s="774"/>
      <c r="B51" s="4"/>
      <c r="C51" s="23"/>
      <c r="D51" s="23"/>
      <c r="E51" s="23"/>
      <c r="F51" s="23"/>
      <c r="G51" s="23"/>
      <c r="H51" s="23"/>
      <c r="I51" s="23"/>
      <c r="J51" s="23"/>
      <c r="K51" s="23"/>
      <c r="L51" s="23"/>
      <c r="M51" s="23"/>
      <c r="N51" s="23"/>
      <c r="O51" s="23"/>
      <c r="P51" s="25"/>
      <c r="Q51" s="23"/>
      <c r="R51" s="23"/>
      <c r="S51" s="23"/>
      <c r="T51" s="25"/>
      <c r="U51" s="25"/>
      <c r="V51" s="25"/>
    </row>
    <row r="52" spans="1:22" x14ac:dyDescent="0.2">
      <c r="A52" s="774"/>
      <c r="B52" s="4"/>
      <c r="C52" s="23"/>
      <c r="D52" s="23"/>
      <c r="E52" s="23"/>
      <c r="F52" s="23"/>
      <c r="G52" s="23"/>
      <c r="H52" s="23"/>
      <c r="I52" s="23"/>
      <c r="J52" s="23"/>
      <c r="K52" s="23"/>
      <c r="L52" s="23"/>
      <c r="M52" s="23"/>
      <c r="N52" s="23"/>
      <c r="O52" s="23"/>
      <c r="P52" s="25"/>
      <c r="Q52" s="23"/>
      <c r="R52" s="23"/>
      <c r="S52" s="23"/>
      <c r="T52" s="25"/>
      <c r="U52" s="25"/>
      <c r="V52" s="25"/>
    </row>
    <row r="53" spans="1:22" x14ac:dyDescent="0.2">
      <c r="A53" s="774"/>
      <c r="B53" s="4"/>
      <c r="C53" s="23"/>
      <c r="D53" s="23"/>
      <c r="E53" s="23"/>
      <c r="F53" s="23"/>
      <c r="G53" s="23"/>
      <c r="H53" s="23"/>
      <c r="I53" s="23"/>
      <c r="J53" s="23"/>
      <c r="K53" s="23"/>
      <c r="L53" s="23"/>
      <c r="M53" s="23"/>
      <c r="N53" s="23"/>
      <c r="O53" s="23"/>
      <c r="P53" s="25"/>
      <c r="Q53" s="23"/>
      <c r="R53" s="23"/>
      <c r="S53" s="23"/>
      <c r="T53" s="25"/>
      <c r="U53" s="25"/>
      <c r="V53" s="25"/>
    </row>
    <row r="54" spans="1:22" x14ac:dyDescent="0.2">
      <c r="A54" s="774"/>
      <c r="B54" s="4"/>
      <c r="C54" s="23"/>
      <c r="D54" s="23"/>
      <c r="E54" s="23"/>
      <c r="F54" s="23"/>
      <c r="G54" s="23"/>
      <c r="H54" s="23"/>
      <c r="I54" s="23"/>
      <c r="J54" s="23"/>
      <c r="K54" s="23"/>
      <c r="L54" s="23"/>
      <c r="M54" s="23"/>
      <c r="N54" s="23"/>
      <c r="O54" s="23"/>
      <c r="P54" s="25"/>
      <c r="Q54" s="23"/>
      <c r="R54" s="23"/>
      <c r="S54" s="23"/>
      <c r="T54" s="25"/>
      <c r="U54" s="25"/>
      <c r="V54" s="25"/>
    </row>
    <row r="55" spans="1:22" x14ac:dyDescent="0.2">
      <c r="A55" s="774"/>
      <c r="B55" s="4"/>
      <c r="C55" s="23"/>
      <c r="D55" s="23"/>
      <c r="E55" s="23"/>
      <c r="F55" s="23"/>
      <c r="G55" s="23"/>
      <c r="H55" s="23"/>
      <c r="I55" s="23"/>
      <c r="J55" s="23"/>
      <c r="K55" s="23"/>
      <c r="L55" s="23"/>
      <c r="M55" s="23"/>
      <c r="N55" s="23"/>
      <c r="O55" s="23"/>
      <c r="P55" s="25"/>
      <c r="Q55" s="23"/>
      <c r="R55" s="23"/>
      <c r="S55" s="23"/>
      <c r="T55" s="25"/>
      <c r="U55" s="25"/>
      <c r="V55" s="25"/>
    </row>
    <row r="56" spans="1:22" x14ac:dyDescent="0.2">
      <c r="A56" s="774"/>
      <c r="B56" s="4"/>
      <c r="C56" s="23"/>
      <c r="D56" s="23"/>
      <c r="E56" s="23"/>
      <c r="F56" s="23"/>
      <c r="G56" s="23"/>
      <c r="H56" s="23"/>
      <c r="I56" s="23"/>
      <c r="J56" s="23"/>
      <c r="K56" s="23"/>
      <c r="L56" s="23"/>
      <c r="M56" s="23"/>
      <c r="N56" s="23"/>
      <c r="O56" s="23"/>
      <c r="P56" s="25"/>
      <c r="Q56" s="23"/>
      <c r="R56" s="23"/>
      <c r="S56" s="23"/>
      <c r="T56" s="25"/>
      <c r="U56" s="25"/>
      <c r="V56" s="25"/>
    </row>
    <row r="57" spans="1:22" x14ac:dyDescent="0.2">
      <c r="A57" s="774"/>
      <c r="B57" s="4"/>
      <c r="C57" s="23"/>
      <c r="D57" s="23"/>
      <c r="E57" s="23"/>
      <c r="F57" s="23"/>
      <c r="G57" s="23"/>
      <c r="H57" s="23"/>
      <c r="I57" s="23"/>
      <c r="J57" s="23"/>
      <c r="K57" s="23"/>
      <c r="L57" s="23"/>
      <c r="M57" s="23"/>
      <c r="N57" s="23"/>
      <c r="O57" s="23"/>
      <c r="P57" s="25"/>
      <c r="Q57" s="23"/>
      <c r="R57" s="23"/>
      <c r="S57" s="23"/>
      <c r="T57" s="25"/>
      <c r="U57" s="25"/>
      <c r="V57" s="25"/>
    </row>
    <row r="58" spans="1:22" x14ac:dyDescent="0.2">
      <c r="A58" s="774"/>
      <c r="B58" s="4"/>
      <c r="C58" s="23"/>
      <c r="D58" s="23"/>
      <c r="E58" s="23"/>
      <c r="F58" s="23"/>
      <c r="G58" s="23"/>
      <c r="H58" s="23"/>
      <c r="I58" s="23"/>
      <c r="J58" s="23"/>
      <c r="K58" s="23"/>
      <c r="L58" s="23"/>
      <c r="M58" s="23"/>
      <c r="N58" s="23"/>
      <c r="O58" s="23"/>
      <c r="P58" s="25"/>
      <c r="Q58" s="23"/>
      <c r="R58" s="23"/>
      <c r="S58" s="23"/>
      <c r="T58" s="25"/>
      <c r="U58" s="25"/>
      <c r="V58" s="25"/>
    </row>
    <row r="59" spans="1:22" x14ac:dyDescent="0.2">
      <c r="A59" s="774"/>
      <c r="B59" s="4"/>
      <c r="C59" s="23"/>
      <c r="D59" s="23"/>
      <c r="E59" s="23"/>
      <c r="F59" s="23"/>
      <c r="G59" s="23"/>
      <c r="H59" s="23"/>
      <c r="I59" s="23"/>
      <c r="J59" s="23"/>
      <c r="K59" s="23"/>
      <c r="L59" s="23"/>
      <c r="M59" s="23"/>
      <c r="N59" s="23"/>
      <c r="O59" s="23"/>
      <c r="P59" s="25"/>
      <c r="Q59" s="23"/>
      <c r="R59" s="23"/>
      <c r="S59" s="23"/>
      <c r="T59" s="25"/>
      <c r="U59" s="25"/>
      <c r="V59" s="25"/>
    </row>
    <row r="60" spans="1:22" x14ac:dyDescent="0.2">
      <c r="A60" s="774"/>
      <c r="B60" s="4"/>
      <c r="C60" s="23"/>
      <c r="D60" s="23"/>
      <c r="E60" s="23"/>
      <c r="F60" s="23"/>
      <c r="G60" s="23"/>
      <c r="H60" s="23"/>
      <c r="I60" s="23"/>
      <c r="J60" s="23"/>
      <c r="K60" s="23"/>
      <c r="L60" s="23"/>
      <c r="M60" s="23"/>
      <c r="N60" s="23"/>
      <c r="O60" s="23"/>
      <c r="P60" s="25"/>
      <c r="Q60" s="23"/>
      <c r="R60" s="23"/>
      <c r="S60" s="23"/>
      <c r="T60" s="25"/>
      <c r="U60" s="25"/>
      <c r="V60" s="25"/>
    </row>
    <row r="61" spans="1:22" x14ac:dyDescent="0.2">
      <c r="A61" s="774"/>
      <c r="B61" s="4"/>
      <c r="C61" s="23"/>
      <c r="D61" s="23"/>
      <c r="E61" s="23"/>
      <c r="F61" s="23"/>
      <c r="G61" s="23"/>
      <c r="H61" s="23"/>
      <c r="I61" s="23"/>
      <c r="J61" s="23"/>
      <c r="K61" s="23"/>
      <c r="L61" s="23"/>
      <c r="M61" s="23"/>
      <c r="N61" s="23"/>
      <c r="O61" s="23"/>
      <c r="P61" s="25"/>
      <c r="Q61" s="23"/>
      <c r="R61" s="23"/>
      <c r="S61" s="23"/>
      <c r="T61" s="25"/>
      <c r="U61" s="25"/>
      <c r="V61" s="25"/>
    </row>
    <row r="62" spans="1:22" x14ac:dyDescent="0.2">
      <c r="A62" s="774"/>
      <c r="B62" s="4"/>
      <c r="C62" s="23"/>
      <c r="D62" s="23"/>
      <c r="E62" s="23"/>
      <c r="F62" s="23"/>
      <c r="G62" s="23"/>
      <c r="H62" s="23"/>
      <c r="I62" s="23"/>
      <c r="J62" s="23"/>
      <c r="K62" s="23"/>
      <c r="L62" s="23"/>
      <c r="M62" s="23"/>
      <c r="N62" s="23"/>
      <c r="O62" s="23"/>
      <c r="P62" s="25"/>
      <c r="Q62" s="23"/>
      <c r="R62" s="23"/>
      <c r="S62" s="23"/>
      <c r="T62" s="25"/>
      <c r="U62" s="25"/>
      <c r="V62" s="25"/>
    </row>
    <row r="63" spans="1:22" x14ac:dyDescent="0.2">
      <c r="A63" s="774"/>
      <c r="B63" s="4"/>
      <c r="C63" s="23"/>
      <c r="D63" s="23"/>
      <c r="E63" s="23"/>
      <c r="F63" s="23"/>
      <c r="G63" s="23"/>
      <c r="H63" s="23"/>
      <c r="I63" s="23"/>
      <c r="J63" s="23"/>
      <c r="K63" s="23"/>
      <c r="L63" s="23"/>
      <c r="M63" s="23"/>
      <c r="N63" s="23"/>
      <c r="O63" s="23"/>
      <c r="P63" s="25"/>
      <c r="Q63" s="23"/>
      <c r="R63" s="23"/>
      <c r="S63" s="23"/>
      <c r="T63" s="25"/>
      <c r="U63" s="25"/>
      <c r="V63" s="25"/>
    </row>
    <row r="64" spans="1:22" x14ac:dyDescent="0.2">
      <c r="A64" s="774"/>
      <c r="B64" s="4"/>
      <c r="C64" s="23"/>
      <c r="D64" s="23"/>
      <c r="E64" s="23"/>
      <c r="F64" s="23"/>
      <c r="G64" s="23"/>
      <c r="H64" s="23"/>
      <c r="I64" s="23"/>
      <c r="J64" s="23"/>
      <c r="K64" s="23"/>
      <c r="L64" s="23"/>
      <c r="M64" s="23"/>
      <c r="N64" s="23"/>
      <c r="O64" s="23"/>
      <c r="P64" s="25"/>
      <c r="Q64" s="23"/>
      <c r="R64" s="23"/>
      <c r="S64" s="23"/>
      <c r="T64" s="25"/>
      <c r="U64" s="25"/>
      <c r="V64" s="25"/>
    </row>
    <row r="65" spans="1:22" x14ac:dyDescent="0.2">
      <c r="A65" s="774"/>
      <c r="B65" s="4"/>
      <c r="C65" s="23"/>
      <c r="D65" s="23"/>
      <c r="E65" s="23"/>
      <c r="F65" s="23"/>
      <c r="G65" s="23"/>
      <c r="H65" s="23"/>
      <c r="I65" s="23"/>
      <c r="J65" s="23"/>
      <c r="K65" s="23"/>
      <c r="L65" s="23"/>
      <c r="M65" s="23"/>
      <c r="N65" s="23"/>
      <c r="O65" s="23"/>
      <c r="P65" s="25"/>
      <c r="Q65" s="23"/>
      <c r="R65" s="23"/>
      <c r="S65" s="23"/>
      <c r="T65" s="25"/>
      <c r="U65" s="25"/>
      <c r="V65" s="25"/>
    </row>
    <row r="66" spans="1:22" x14ac:dyDescent="0.2">
      <c r="A66" s="774"/>
      <c r="B66" s="4"/>
      <c r="C66" s="23"/>
      <c r="D66" s="23"/>
      <c r="E66" s="23"/>
      <c r="F66" s="23"/>
      <c r="G66" s="23"/>
      <c r="H66" s="23"/>
      <c r="I66" s="23"/>
      <c r="J66" s="23"/>
      <c r="K66" s="23"/>
      <c r="L66" s="23"/>
      <c r="M66" s="23"/>
      <c r="N66" s="23"/>
      <c r="O66" s="23"/>
      <c r="P66" s="25"/>
      <c r="Q66" s="23"/>
      <c r="R66" s="23"/>
      <c r="S66" s="23"/>
      <c r="T66" s="25"/>
      <c r="U66" s="25"/>
      <c r="V66" s="25"/>
    </row>
    <row r="67" spans="1:22" x14ac:dyDescent="0.2">
      <c r="A67" s="774"/>
      <c r="B67" s="4"/>
      <c r="C67" s="23"/>
      <c r="D67" s="23"/>
      <c r="E67" s="23"/>
      <c r="F67" s="23"/>
      <c r="G67" s="23"/>
      <c r="H67" s="23"/>
      <c r="I67" s="23"/>
      <c r="J67" s="23"/>
      <c r="K67" s="23"/>
      <c r="L67" s="23"/>
      <c r="M67" s="23"/>
      <c r="N67" s="23"/>
      <c r="O67" s="23"/>
      <c r="P67" s="25"/>
      <c r="Q67" s="23"/>
      <c r="R67" s="23"/>
      <c r="S67" s="23"/>
      <c r="T67" s="25"/>
      <c r="U67" s="25"/>
      <c r="V67" s="25"/>
    </row>
    <row r="68" spans="1:22" x14ac:dyDescent="0.2">
      <c r="A68" s="774"/>
      <c r="B68" s="4"/>
      <c r="C68" s="23"/>
      <c r="D68" s="23"/>
      <c r="E68" s="23"/>
      <c r="F68" s="23"/>
      <c r="G68" s="23"/>
      <c r="H68" s="23"/>
      <c r="I68" s="23"/>
      <c r="J68" s="23"/>
      <c r="K68" s="23"/>
      <c r="L68" s="23"/>
      <c r="M68" s="23"/>
      <c r="N68" s="23"/>
      <c r="O68" s="23"/>
      <c r="P68" s="25"/>
      <c r="Q68" s="23"/>
      <c r="R68" s="23"/>
      <c r="S68" s="23"/>
      <c r="T68" s="25"/>
      <c r="U68" s="25"/>
      <c r="V68" s="25"/>
    </row>
    <row r="69" spans="1:22" x14ac:dyDescent="0.2">
      <c r="A69" s="774"/>
      <c r="B69" s="4"/>
      <c r="C69" s="23"/>
      <c r="D69" s="23"/>
      <c r="E69" s="23"/>
      <c r="F69" s="23"/>
      <c r="G69" s="23"/>
      <c r="H69" s="23"/>
      <c r="I69" s="23"/>
      <c r="J69" s="23"/>
      <c r="K69" s="23"/>
      <c r="L69" s="23"/>
      <c r="M69" s="23"/>
      <c r="N69" s="23"/>
      <c r="O69" s="23"/>
      <c r="P69" s="4"/>
      <c r="Q69" s="23"/>
      <c r="R69" s="23"/>
      <c r="S69" s="23"/>
      <c r="T69" s="4"/>
      <c r="U69" s="4"/>
      <c r="V69" s="4"/>
    </row>
    <row r="70" spans="1:22" x14ac:dyDescent="0.2">
      <c r="A70" s="774"/>
      <c r="B70" s="4"/>
      <c r="C70" s="23"/>
      <c r="D70" s="23"/>
      <c r="E70" s="23"/>
      <c r="F70" s="23"/>
      <c r="G70" s="23"/>
      <c r="H70" s="23"/>
      <c r="I70" s="23"/>
      <c r="J70" s="23"/>
      <c r="K70" s="23"/>
      <c r="L70" s="23"/>
      <c r="M70" s="23"/>
      <c r="N70" s="23"/>
      <c r="O70" s="23"/>
      <c r="P70" s="4"/>
      <c r="Q70" s="23"/>
      <c r="R70" s="23"/>
      <c r="S70" s="23"/>
      <c r="T70" s="4"/>
      <c r="U70" s="4"/>
      <c r="V70" s="4"/>
    </row>
    <row r="71" spans="1:22" x14ac:dyDescent="0.2">
      <c r="A71" s="774"/>
      <c r="B71" s="4"/>
      <c r="C71" s="23"/>
      <c r="D71" s="23"/>
      <c r="E71" s="23"/>
      <c r="F71" s="23"/>
      <c r="G71" s="23"/>
      <c r="H71" s="23"/>
      <c r="I71" s="23"/>
      <c r="J71" s="23"/>
      <c r="K71" s="23"/>
      <c r="L71" s="23"/>
      <c r="M71" s="23"/>
      <c r="N71" s="23"/>
      <c r="O71" s="23"/>
      <c r="P71" s="4"/>
      <c r="Q71" s="23"/>
      <c r="R71" s="23"/>
      <c r="S71" s="23"/>
      <c r="T71" s="4"/>
      <c r="U71" s="4"/>
      <c r="V71" s="4"/>
    </row>
    <row r="72" spans="1:22" x14ac:dyDescent="0.2">
      <c r="A72" s="774"/>
      <c r="B72" s="4"/>
      <c r="C72" s="23"/>
      <c r="D72" s="23"/>
      <c r="E72" s="23"/>
      <c r="F72" s="23"/>
      <c r="G72" s="23"/>
      <c r="H72" s="23"/>
      <c r="I72" s="23"/>
      <c r="J72" s="23"/>
      <c r="K72" s="23"/>
      <c r="L72" s="23"/>
      <c r="M72" s="23"/>
      <c r="N72" s="23"/>
      <c r="O72" s="23"/>
      <c r="P72" s="4"/>
      <c r="Q72" s="23"/>
      <c r="R72" s="23"/>
      <c r="S72" s="23"/>
      <c r="T72" s="4"/>
      <c r="U72" s="4"/>
      <c r="V72" s="4"/>
    </row>
    <row r="73" spans="1:22" x14ac:dyDescent="0.2">
      <c r="A73" s="774"/>
      <c r="B73" s="4"/>
      <c r="C73" s="23"/>
      <c r="D73" s="23"/>
      <c r="E73" s="23"/>
      <c r="F73" s="23"/>
      <c r="G73" s="23"/>
      <c r="H73" s="23"/>
      <c r="I73" s="23"/>
      <c r="J73" s="23"/>
      <c r="K73" s="23"/>
      <c r="L73" s="23"/>
      <c r="M73" s="23"/>
      <c r="N73" s="23"/>
      <c r="O73" s="23"/>
      <c r="P73" s="4"/>
      <c r="Q73" s="23"/>
      <c r="R73" s="23"/>
      <c r="S73" s="23"/>
      <c r="T73" s="4"/>
      <c r="U73" s="4"/>
      <c r="V73" s="4"/>
    </row>
    <row r="74" spans="1:22" x14ac:dyDescent="0.2">
      <c r="A74" s="774"/>
      <c r="B74" s="4"/>
      <c r="C74" s="23"/>
      <c r="D74" s="23"/>
      <c r="E74" s="23"/>
      <c r="F74" s="23"/>
      <c r="G74" s="23"/>
      <c r="H74" s="23"/>
      <c r="I74" s="23"/>
      <c r="J74" s="23"/>
      <c r="K74" s="23"/>
      <c r="L74" s="23"/>
      <c r="M74" s="23"/>
      <c r="N74" s="23"/>
      <c r="O74" s="23"/>
      <c r="P74" s="4"/>
      <c r="Q74" s="23"/>
      <c r="R74" s="23"/>
      <c r="S74" s="23"/>
      <c r="T74" s="4"/>
      <c r="U74" s="4"/>
      <c r="V74" s="4"/>
    </row>
    <row r="75" spans="1:22" x14ac:dyDescent="0.2">
      <c r="A75" s="774"/>
      <c r="B75" s="4"/>
      <c r="C75" s="23"/>
      <c r="D75" s="23"/>
      <c r="E75" s="23"/>
      <c r="F75" s="23"/>
      <c r="G75" s="23"/>
      <c r="H75" s="23"/>
      <c r="I75" s="23"/>
      <c r="J75" s="23"/>
      <c r="K75" s="23"/>
      <c r="L75" s="23"/>
      <c r="M75" s="23"/>
      <c r="N75" s="23"/>
      <c r="O75" s="23"/>
      <c r="P75" s="4"/>
      <c r="Q75" s="23"/>
      <c r="R75" s="23"/>
      <c r="S75" s="23"/>
      <c r="T75" s="4"/>
      <c r="U75" s="4"/>
      <c r="V75" s="4"/>
    </row>
    <row r="76" spans="1:22" x14ac:dyDescent="0.2">
      <c r="A76" s="774"/>
      <c r="B76" s="4"/>
      <c r="C76" s="23"/>
      <c r="D76" s="23"/>
      <c r="E76" s="23"/>
      <c r="F76" s="23"/>
      <c r="G76" s="23"/>
      <c r="H76" s="23"/>
      <c r="I76" s="23"/>
      <c r="J76" s="23"/>
      <c r="K76" s="23"/>
      <c r="L76" s="23"/>
      <c r="M76" s="23"/>
      <c r="N76" s="23"/>
      <c r="O76" s="23"/>
      <c r="P76" s="4"/>
      <c r="Q76" s="23"/>
      <c r="R76" s="23"/>
      <c r="S76" s="23"/>
      <c r="T76" s="4"/>
      <c r="U76" s="4"/>
      <c r="V76" s="4"/>
    </row>
    <row r="77" spans="1:22" x14ac:dyDescent="0.2">
      <c r="A77" s="774"/>
      <c r="B77" s="4"/>
      <c r="C77" s="23"/>
      <c r="D77" s="23"/>
      <c r="E77" s="23"/>
      <c r="F77" s="23"/>
      <c r="G77" s="23"/>
      <c r="H77" s="23"/>
      <c r="I77" s="23"/>
      <c r="J77" s="23"/>
      <c r="K77" s="23"/>
      <c r="L77" s="23"/>
      <c r="M77" s="23"/>
      <c r="N77" s="23"/>
      <c r="O77" s="23"/>
      <c r="P77" s="4"/>
      <c r="Q77" s="23"/>
      <c r="R77" s="23"/>
      <c r="S77" s="23"/>
      <c r="T77" s="4"/>
      <c r="U77" s="4"/>
      <c r="V77" s="4"/>
    </row>
    <row r="78" spans="1:22" x14ac:dyDescent="0.2">
      <c r="A78" s="774"/>
      <c r="B78" s="4"/>
      <c r="C78" s="23"/>
      <c r="D78" s="23"/>
      <c r="E78" s="23"/>
      <c r="F78" s="23"/>
      <c r="G78" s="23"/>
      <c r="H78" s="23"/>
      <c r="I78" s="23"/>
      <c r="J78" s="23"/>
      <c r="K78" s="23"/>
      <c r="L78" s="23"/>
      <c r="M78" s="23"/>
      <c r="N78" s="23"/>
      <c r="O78" s="23"/>
      <c r="P78" s="4"/>
      <c r="Q78" s="23"/>
      <c r="R78" s="23"/>
      <c r="S78" s="23"/>
      <c r="T78" s="4"/>
      <c r="U78" s="4"/>
      <c r="V78" s="4"/>
    </row>
    <row r="79" spans="1:22" x14ac:dyDescent="0.2">
      <c r="A79" s="774"/>
      <c r="B79" s="4"/>
      <c r="C79" s="23"/>
      <c r="D79" s="23"/>
      <c r="E79" s="23"/>
      <c r="F79" s="23"/>
      <c r="G79" s="23"/>
      <c r="H79" s="23"/>
      <c r="I79" s="23"/>
      <c r="J79" s="23"/>
      <c r="K79" s="23"/>
      <c r="L79" s="23"/>
      <c r="M79" s="23"/>
      <c r="N79" s="23"/>
      <c r="O79" s="23"/>
      <c r="P79" s="4"/>
      <c r="Q79" s="23"/>
      <c r="R79" s="23"/>
      <c r="S79" s="23"/>
      <c r="T79" s="4"/>
      <c r="U79" s="4"/>
      <c r="V79" s="4"/>
    </row>
    <row r="80" spans="1:22" x14ac:dyDescent="0.2">
      <c r="A80" s="774"/>
      <c r="B80" s="4"/>
      <c r="C80" s="23"/>
      <c r="D80" s="23"/>
      <c r="E80" s="23"/>
      <c r="F80" s="23"/>
      <c r="G80" s="23"/>
      <c r="H80" s="23"/>
      <c r="I80" s="23"/>
      <c r="J80" s="23"/>
      <c r="K80" s="23"/>
      <c r="L80" s="23"/>
      <c r="M80" s="23"/>
      <c r="N80" s="23"/>
      <c r="O80" s="23"/>
      <c r="P80" s="4"/>
      <c r="Q80" s="23"/>
      <c r="R80" s="23"/>
      <c r="S80" s="23"/>
      <c r="T80" s="4"/>
      <c r="U80" s="4"/>
      <c r="V80" s="4"/>
    </row>
    <row r="81" spans="1:22" x14ac:dyDescent="0.2">
      <c r="A81" s="774"/>
      <c r="B81" s="4"/>
      <c r="C81" s="23"/>
      <c r="D81" s="23"/>
      <c r="E81" s="23"/>
      <c r="F81" s="23"/>
      <c r="G81" s="23"/>
      <c r="H81" s="23"/>
      <c r="I81" s="23"/>
      <c r="J81" s="23"/>
      <c r="K81" s="23"/>
      <c r="L81" s="23"/>
      <c r="M81" s="23"/>
      <c r="N81" s="23"/>
      <c r="O81" s="23"/>
      <c r="P81" s="4"/>
      <c r="Q81" s="23"/>
      <c r="R81" s="23"/>
      <c r="S81" s="23"/>
      <c r="T81" s="4"/>
      <c r="U81" s="4"/>
      <c r="V81" s="4"/>
    </row>
    <row r="82" spans="1:22" x14ac:dyDescent="0.2">
      <c r="A82" s="774"/>
      <c r="B82" s="4"/>
      <c r="C82" s="23"/>
      <c r="D82" s="23"/>
      <c r="E82" s="23"/>
      <c r="F82" s="23"/>
      <c r="G82" s="23"/>
      <c r="H82" s="23"/>
      <c r="I82" s="23"/>
      <c r="J82" s="23"/>
      <c r="K82" s="23"/>
      <c r="L82" s="23"/>
      <c r="M82" s="23"/>
      <c r="N82" s="23"/>
      <c r="O82" s="23"/>
      <c r="P82" s="4"/>
      <c r="Q82" s="23"/>
      <c r="R82" s="23"/>
      <c r="S82" s="23"/>
      <c r="T82" s="4"/>
      <c r="U82" s="4"/>
      <c r="V82" s="4"/>
    </row>
    <row r="83" spans="1:22" x14ac:dyDescent="0.2">
      <c r="A83" s="774"/>
      <c r="B83" s="4"/>
      <c r="C83" s="23"/>
      <c r="D83" s="23"/>
      <c r="E83" s="23"/>
      <c r="F83" s="23"/>
      <c r="G83" s="23"/>
      <c r="H83" s="23"/>
      <c r="I83" s="23"/>
      <c r="J83" s="23"/>
      <c r="K83" s="23"/>
      <c r="L83" s="23"/>
      <c r="M83" s="23"/>
      <c r="N83" s="23"/>
      <c r="O83" s="23"/>
      <c r="P83" s="4"/>
      <c r="Q83" s="23"/>
      <c r="R83" s="23"/>
      <c r="S83" s="23"/>
      <c r="T83" s="4"/>
      <c r="U83" s="4"/>
      <c r="V83" s="4"/>
    </row>
    <row r="84" spans="1:22" x14ac:dyDescent="0.2">
      <c r="A84" s="774"/>
      <c r="B84" s="4"/>
      <c r="C84" s="23"/>
      <c r="D84" s="23"/>
      <c r="E84" s="23"/>
      <c r="F84" s="23"/>
      <c r="G84" s="23"/>
      <c r="H84" s="23"/>
      <c r="I84" s="23"/>
      <c r="J84" s="23"/>
      <c r="K84" s="23"/>
      <c r="L84" s="23"/>
      <c r="M84" s="23"/>
      <c r="N84" s="23"/>
      <c r="O84" s="23"/>
      <c r="P84" s="4"/>
      <c r="Q84" s="23"/>
      <c r="R84" s="23"/>
      <c r="S84" s="23"/>
      <c r="T84" s="4"/>
      <c r="U84" s="4"/>
      <c r="V84" s="4"/>
    </row>
    <row r="85" spans="1:22" x14ac:dyDescent="0.2">
      <c r="A85" s="774"/>
      <c r="B85" s="4"/>
      <c r="C85" s="23"/>
      <c r="D85" s="23"/>
      <c r="E85" s="23"/>
      <c r="F85" s="23"/>
      <c r="G85" s="23"/>
      <c r="H85" s="23"/>
      <c r="I85" s="23"/>
      <c r="J85" s="23"/>
      <c r="K85" s="23"/>
      <c r="L85" s="23"/>
      <c r="M85" s="23"/>
      <c r="N85" s="23"/>
      <c r="O85" s="23"/>
      <c r="P85" s="4"/>
      <c r="Q85" s="23"/>
      <c r="R85" s="23"/>
      <c r="S85" s="23"/>
      <c r="T85" s="4"/>
      <c r="U85" s="4"/>
      <c r="V85" s="4"/>
    </row>
    <row r="86" spans="1:22" x14ac:dyDescent="0.2">
      <c r="A86" s="774"/>
      <c r="B86" s="4"/>
      <c r="C86" s="23"/>
      <c r="D86" s="23"/>
      <c r="E86" s="23"/>
      <c r="F86" s="23"/>
      <c r="G86" s="23"/>
      <c r="H86" s="23"/>
      <c r="I86" s="23"/>
      <c r="J86" s="23"/>
      <c r="K86" s="23"/>
      <c r="L86" s="23"/>
      <c r="M86" s="23"/>
      <c r="N86" s="23"/>
      <c r="O86" s="23"/>
      <c r="P86" s="4"/>
      <c r="Q86" s="23"/>
      <c r="R86" s="23"/>
      <c r="S86" s="23"/>
      <c r="T86" s="4"/>
      <c r="U86" s="4"/>
      <c r="V86" s="4"/>
    </row>
    <row r="87" spans="1:22" x14ac:dyDescent="0.2">
      <c r="A87" s="774"/>
      <c r="B87" s="4"/>
      <c r="C87" s="23"/>
      <c r="D87" s="23"/>
      <c r="E87" s="23"/>
      <c r="F87" s="23"/>
      <c r="G87" s="23"/>
      <c r="H87" s="23"/>
      <c r="I87" s="23"/>
      <c r="J87" s="23"/>
      <c r="K87" s="23"/>
      <c r="L87" s="23"/>
      <c r="M87" s="23"/>
      <c r="N87" s="23"/>
      <c r="O87" s="23"/>
      <c r="P87" s="4"/>
      <c r="Q87" s="23"/>
      <c r="R87" s="23"/>
      <c r="S87" s="23"/>
      <c r="T87" s="4"/>
      <c r="U87" s="4"/>
      <c r="V87" s="4"/>
    </row>
    <row r="88" spans="1:22" x14ac:dyDescent="0.2">
      <c r="A88" s="774"/>
      <c r="B88" s="4"/>
      <c r="C88" s="23"/>
      <c r="D88" s="23"/>
      <c r="E88" s="23"/>
      <c r="F88" s="23"/>
      <c r="G88" s="23"/>
      <c r="H88" s="23"/>
      <c r="I88" s="23"/>
      <c r="J88" s="23"/>
      <c r="K88" s="23"/>
      <c r="L88" s="23"/>
      <c r="M88" s="23"/>
      <c r="N88" s="23"/>
      <c r="O88" s="23"/>
      <c r="P88" s="4"/>
      <c r="Q88" s="23"/>
      <c r="R88" s="23"/>
      <c r="S88" s="23"/>
      <c r="T88" s="4"/>
      <c r="U88" s="4"/>
      <c r="V88" s="4"/>
    </row>
    <row r="89" spans="1:22" x14ac:dyDescent="0.2">
      <c r="A89" s="774"/>
      <c r="B89" s="4"/>
      <c r="C89" s="23"/>
      <c r="D89" s="23"/>
      <c r="E89" s="23"/>
      <c r="F89" s="23"/>
      <c r="G89" s="23"/>
      <c r="H89" s="23"/>
      <c r="I89" s="23"/>
      <c r="J89" s="23"/>
      <c r="K89" s="23"/>
      <c r="L89" s="23"/>
      <c r="M89" s="23"/>
      <c r="N89" s="23"/>
      <c r="O89" s="23"/>
      <c r="P89" s="4"/>
      <c r="Q89" s="23"/>
      <c r="R89" s="23"/>
      <c r="S89" s="23"/>
      <c r="T89" s="4"/>
      <c r="U89" s="4"/>
      <c r="V89" s="4"/>
    </row>
    <row r="90" spans="1:22" x14ac:dyDescent="0.2">
      <c r="A90" s="774"/>
      <c r="B90" s="4"/>
      <c r="C90" s="23"/>
      <c r="D90" s="23"/>
      <c r="E90" s="23"/>
      <c r="F90" s="23"/>
      <c r="G90" s="23"/>
      <c r="H90" s="23"/>
      <c r="I90" s="23"/>
      <c r="J90" s="23"/>
      <c r="K90" s="23"/>
      <c r="L90" s="23"/>
      <c r="M90" s="23"/>
      <c r="N90" s="23"/>
      <c r="O90" s="23"/>
      <c r="P90" s="4"/>
      <c r="Q90" s="23"/>
      <c r="R90" s="23"/>
      <c r="S90" s="23"/>
      <c r="T90" s="4"/>
      <c r="U90" s="4"/>
      <c r="V90" s="4"/>
    </row>
    <row r="91" spans="1:22" x14ac:dyDescent="0.2">
      <c r="A91" s="774"/>
      <c r="B91" s="4"/>
      <c r="C91" s="23"/>
      <c r="D91" s="23"/>
      <c r="E91" s="23"/>
      <c r="F91" s="23"/>
      <c r="G91" s="23"/>
      <c r="H91" s="23"/>
      <c r="I91" s="23"/>
      <c r="J91" s="23"/>
      <c r="K91" s="23"/>
      <c r="L91" s="23"/>
      <c r="M91" s="23"/>
      <c r="N91" s="23"/>
      <c r="O91" s="23"/>
      <c r="P91" s="4"/>
      <c r="Q91" s="23"/>
      <c r="R91" s="23"/>
      <c r="S91" s="23"/>
      <c r="T91" s="4"/>
      <c r="U91" s="4"/>
      <c r="V91" s="4"/>
    </row>
    <row r="92" spans="1:22" x14ac:dyDescent="0.2">
      <c r="A92" s="774"/>
      <c r="B92" s="4"/>
      <c r="C92" s="23"/>
      <c r="D92" s="23"/>
      <c r="E92" s="23"/>
      <c r="F92" s="23"/>
      <c r="G92" s="23"/>
      <c r="H92" s="23"/>
      <c r="I92" s="23"/>
      <c r="J92" s="23"/>
      <c r="K92" s="23"/>
      <c r="L92" s="23"/>
      <c r="M92" s="23"/>
      <c r="N92" s="23"/>
      <c r="O92" s="23"/>
      <c r="P92" s="4"/>
      <c r="Q92" s="23"/>
      <c r="R92" s="23"/>
      <c r="S92" s="23"/>
      <c r="T92" s="4"/>
      <c r="U92" s="4"/>
      <c r="V92" s="4"/>
    </row>
    <row r="93" spans="1:22" x14ac:dyDescent="0.2">
      <c r="A93" s="774"/>
      <c r="B93" s="4"/>
      <c r="C93" s="23"/>
      <c r="D93" s="23"/>
      <c r="E93" s="23"/>
      <c r="F93" s="23"/>
      <c r="G93" s="23"/>
      <c r="H93" s="23"/>
      <c r="I93" s="23"/>
      <c r="J93" s="23"/>
      <c r="K93" s="23"/>
      <c r="L93" s="23"/>
      <c r="M93" s="23"/>
      <c r="N93" s="23"/>
      <c r="O93" s="23"/>
      <c r="P93" s="4"/>
      <c r="Q93" s="23"/>
      <c r="R93" s="23"/>
      <c r="S93" s="23"/>
      <c r="T93" s="4"/>
      <c r="U93" s="4"/>
      <c r="V93" s="4"/>
    </row>
    <row r="94" spans="1:22" x14ac:dyDescent="0.2">
      <c r="A94" s="774"/>
      <c r="B94" s="4"/>
      <c r="C94" s="23"/>
      <c r="D94" s="23"/>
      <c r="E94" s="23"/>
      <c r="F94" s="23"/>
      <c r="G94" s="23"/>
      <c r="H94" s="23"/>
      <c r="I94" s="23"/>
      <c r="J94" s="23"/>
      <c r="K94" s="23"/>
      <c r="L94" s="23"/>
      <c r="M94" s="23"/>
      <c r="N94" s="23"/>
      <c r="O94" s="23"/>
      <c r="P94" s="4"/>
      <c r="Q94" s="23"/>
      <c r="R94" s="23"/>
      <c r="S94" s="23"/>
      <c r="T94" s="4"/>
      <c r="U94" s="4"/>
      <c r="V94" s="4"/>
    </row>
    <row r="95" spans="1:22" x14ac:dyDescent="0.2">
      <c r="A95" s="774"/>
      <c r="B95" s="4"/>
      <c r="C95" s="23"/>
      <c r="D95" s="23"/>
      <c r="E95" s="23"/>
      <c r="F95" s="23"/>
      <c r="G95" s="23"/>
      <c r="H95" s="23"/>
      <c r="I95" s="23"/>
      <c r="J95" s="23"/>
      <c r="K95" s="23"/>
      <c r="L95" s="23"/>
      <c r="M95" s="23"/>
      <c r="N95" s="23"/>
      <c r="O95" s="23"/>
      <c r="P95" s="4"/>
      <c r="Q95" s="23"/>
      <c r="R95" s="23"/>
      <c r="S95" s="23"/>
      <c r="T95" s="4"/>
      <c r="U95" s="4"/>
      <c r="V95" s="4"/>
    </row>
    <row r="96" spans="1:22" x14ac:dyDescent="0.2">
      <c r="A96" s="774"/>
      <c r="B96" s="4"/>
      <c r="C96" s="23"/>
      <c r="D96" s="23"/>
      <c r="E96" s="23"/>
      <c r="F96" s="23"/>
      <c r="G96" s="23"/>
      <c r="H96" s="23"/>
      <c r="I96" s="23"/>
      <c r="J96" s="23"/>
      <c r="K96" s="23"/>
      <c r="L96" s="23"/>
      <c r="M96" s="23"/>
      <c r="N96" s="23"/>
      <c r="O96" s="23"/>
      <c r="P96" s="4"/>
      <c r="Q96" s="23"/>
      <c r="R96" s="23"/>
      <c r="S96" s="23"/>
      <c r="T96" s="4"/>
      <c r="U96" s="4"/>
      <c r="V96" s="4"/>
    </row>
    <row r="97" spans="1:22" x14ac:dyDescent="0.2">
      <c r="A97" s="774"/>
      <c r="B97" s="4"/>
      <c r="C97" s="23"/>
      <c r="D97" s="23"/>
      <c r="E97" s="23"/>
      <c r="F97" s="23"/>
      <c r="G97" s="23"/>
      <c r="H97" s="23"/>
      <c r="I97" s="23"/>
      <c r="J97" s="23"/>
      <c r="K97" s="23"/>
      <c r="L97" s="23"/>
      <c r="M97" s="23"/>
      <c r="N97" s="23"/>
      <c r="O97" s="23"/>
      <c r="P97" s="4"/>
      <c r="Q97" s="23"/>
      <c r="R97" s="23"/>
      <c r="S97" s="23"/>
      <c r="T97" s="4"/>
      <c r="U97" s="4"/>
      <c r="V97" s="4"/>
    </row>
    <row r="98" spans="1:22" x14ac:dyDescent="0.2">
      <c r="A98" s="774"/>
      <c r="B98" s="4"/>
      <c r="C98" s="23"/>
      <c r="D98" s="23"/>
      <c r="E98" s="23"/>
      <c r="F98" s="23"/>
      <c r="G98" s="23"/>
      <c r="H98" s="23"/>
      <c r="I98" s="23"/>
      <c r="J98" s="23"/>
      <c r="K98" s="23"/>
      <c r="L98" s="23"/>
      <c r="M98" s="23"/>
      <c r="N98" s="23"/>
      <c r="O98" s="23"/>
      <c r="P98" s="4"/>
      <c r="Q98" s="23"/>
      <c r="R98" s="23"/>
      <c r="S98" s="23"/>
      <c r="T98" s="4"/>
      <c r="U98" s="4"/>
      <c r="V98" s="4"/>
    </row>
    <row r="99" spans="1:22" x14ac:dyDescent="0.2">
      <c r="A99" s="774"/>
      <c r="B99" s="4"/>
      <c r="C99" s="23"/>
      <c r="D99" s="23"/>
      <c r="E99" s="23"/>
      <c r="F99" s="23"/>
      <c r="G99" s="23"/>
      <c r="H99" s="23"/>
      <c r="I99" s="23"/>
      <c r="J99" s="23"/>
      <c r="K99" s="23"/>
      <c r="L99" s="23"/>
      <c r="M99" s="23"/>
      <c r="N99" s="23"/>
      <c r="O99" s="23"/>
      <c r="P99" s="4"/>
      <c r="Q99" s="23"/>
      <c r="R99" s="23"/>
      <c r="S99" s="23"/>
      <c r="T99" s="4"/>
      <c r="U99" s="4"/>
      <c r="V99" s="4"/>
    </row>
    <row r="100" spans="1:22" x14ac:dyDescent="0.2">
      <c r="A100" s="774"/>
      <c r="B100" s="4"/>
      <c r="C100" s="23"/>
      <c r="D100" s="23"/>
      <c r="E100" s="23"/>
      <c r="F100" s="23"/>
      <c r="G100" s="23"/>
      <c r="H100" s="23"/>
      <c r="I100" s="23"/>
      <c r="J100" s="23"/>
      <c r="K100" s="23"/>
      <c r="L100" s="23"/>
      <c r="M100" s="23"/>
      <c r="N100" s="23"/>
      <c r="O100" s="23"/>
      <c r="P100" s="4"/>
      <c r="Q100" s="23"/>
      <c r="R100" s="23"/>
      <c r="S100" s="23"/>
      <c r="T100" s="4"/>
      <c r="U100" s="4"/>
      <c r="V100" s="4"/>
    </row>
    <row r="101" spans="1:22" x14ac:dyDescent="0.2">
      <c r="A101" s="774"/>
      <c r="B101" s="4"/>
      <c r="C101" s="23"/>
      <c r="D101" s="23"/>
      <c r="E101" s="23"/>
      <c r="F101" s="23"/>
      <c r="G101" s="23"/>
      <c r="H101" s="23"/>
      <c r="I101" s="23"/>
      <c r="J101" s="23"/>
      <c r="K101" s="23"/>
      <c r="L101" s="23"/>
      <c r="M101" s="23"/>
      <c r="N101" s="23"/>
      <c r="O101" s="23"/>
      <c r="P101" s="4"/>
      <c r="Q101" s="23"/>
      <c r="R101" s="23"/>
      <c r="S101" s="23"/>
      <c r="T101" s="4"/>
      <c r="U101" s="4"/>
      <c r="V101" s="4"/>
    </row>
    <row r="102" spans="1:22" x14ac:dyDescent="0.2">
      <c r="A102" s="774"/>
      <c r="B102" s="4"/>
      <c r="C102" s="23"/>
      <c r="D102" s="23"/>
      <c r="E102" s="23"/>
      <c r="F102" s="23"/>
      <c r="G102" s="23"/>
      <c r="H102" s="23"/>
      <c r="I102" s="23"/>
      <c r="J102" s="23"/>
      <c r="K102" s="23"/>
      <c r="L102" s="23"/>
      <c r="M102" s="23"/>
      <c r="N102" s="23"/>
      <c r="O102" s="23"/>
      <c r="P102" s="4"/>
      <c r="Q102" s="23"/>
      <c r="R102" s="23"/>
      <c r="S102" s="23"/>
      <c r="T102" s="4"/>
      <c r="U102" s="4"/>
      <c r="V102" s="4"/>
    </row>
    <row r="103" spans="1:22" x14ac:dyDescent="0.2">
      <c r="A103" s="774"/>
      <c r="B103" s="4"/>
      <c r="C103" s="23"/>
      <c r="D103" s="23"/>
      <c r="E103" s="23"/>
      <c r="F103" s="23"/>
      <c r="G103" s="23"/>
      <c r="H103" s="23"/>
      <c r="I103" s="23"/>
      <c r="J103" s="23"/>
      <c r="K103" s="23"/>
      <c r="L103" s="23"/>
      <c r="M103" s="23"/>
      <c r="N103" s="23"/>
      <c r="O103" s="23"/>
      <c r="P103" s="4"/>
      <c r="Q103" s="23"/>
      <c r="R103" s="23"/>
      <c r="S103" s="23"/>
      <c r="T103" s="4"/>
      <c r="U103" s="4"/>
      <c r="V103" s="4"/>
    </row>
    <row r="104" spans="1:22" x14ac:dyDescent="0.2">
      <c r="A104" s="774"/>
      <c r="B104" s="4"/>
      <c r="C104" s="23"/>
      <c r="D104" s="23"/>
      <c r="E104" s="23"/>
      <c r="F104" s="23"/>
      <c r="G104" s="23"/>
      <c r="H104" s="23"/>
      <c r="I104" s="23"/>
      <c r="J104" s="23"/>
      <c r="K104" s="23"/>
      <c r="L104" s="23"/>
      <c r="M104" s="23"/>
      <c r="N104" s="23"/>
      <c r="O104" s="23"/>
      <c r="P104" s="4"/>
      <c r="Q104" s="23"/>
      <c r="R104" s="23"/>
      <c r="S104" s="23"/>
      <c r="T104" s="4"/>
      <c r="U104" s="4"/>
      <c r="V104" s="4"/>
    </row>
    <row r="105" spans="1:22" x14ac:dyDescent="0.2">
      <c r="A105" s="774"/>
      <c r="B105" s="4"/>
      <c r="C105" s="23"/>
      <c r="D105" s="23"/>
      <c r="E105" s="23"/>
      <c r="F105" s="23"/>
      <c r="G105" s="23"/>
      <c r="H105" s="23"/>
      <c r="I105" s="23"/>
      <c r="J105" s="23"/>
      <c r="K105" s="23"/>
      <c r="L105" s="23"/>
      <c r="M105" s="23"/>
      <c r="N105" s="23"/>
      <c r="O105" s="23"/>
      <c r="P105" s="4"/>
      <c r="Q105" s="23"/>
      <c r="R105" s="23"/>
      <c r="S105" s="23"/>
      <c r="T105" s="4"/>
      <c r="U105" s="4"/>
      <c r="V105" s="4"/>
    </row>
    <row r="106" spans="1:22" x14ac:dyDescent="0.2">
      <c r="A106" s="774"/>
      <c r="B106" s="4"/>
      <c r="C106" s="23"/>
      <c r="D106" s="23"/>
      <c r="E106" s="23"/>
      <c r="F106" s="23"/>
      <c r="G106" s="23"/>
      <c r="H106" s="23"/>
      <c r="I106" s="23"/>
      <c r="J106" s="23"/>
      <c r="K106" s="23"/>
      <c r="L106" s="23"/>
      <c r="M106" s="23"/>
      <c r="N106" s="23"/>
      <c r="O106" s="23"/>
      <c r="P106" s="4"/>
      <c r="Q106" s="23"/>
      <c r="R106" s="23"/>
      <c r="S106" s="23"/>
      <c r="T106" s="4"/>
      <c r="U106" s="4"/>
      <c r="V106" s="4"/>
    </row>
    <row r="107" spans="1:22" x14ac:dyDescent="0.2">
      <c r="A107" s="774"/>
      <c r="B107" s="4"/>
      <c r="C107" s="23"/>
      <c r="D107" s="23"/>
      <c r="E107" s="23"/>
      <c r="F107" s="23"/>
      <c r="G107" s="23"/>
      <c r="H107" s="23"/>
      <c r="I107" s="23"/>
      <c r="J107" s="23"/>
      <c r="K107" s="23"/>
      <c r="L107" s="23"/>
      <c r="M107" s="23"/>
      <c r="N107" s="23"/>
      <c r="O107" s="23"/>
      <c r="P107" s="4"/>
      <c r="Q107" s="23"/>
      <c r="R107" s="23"/>
      <c r="S107" s="23"/>
      <c r="T107" s="4"/>
      <c r="U107" s="4"/>
      <c r="V107" s="4"/>
    </row>
    <row r="108" spans="1:22" x14ac:dyDescent="0.2">
      <c r="A108" s="774"/>
      <c r="B108" s="4"/>
      <c r="C108" s="23"/>
      <c r="D108" s="23"/>
      <c r="E108" s="23"/>
      <c r="F108" s="23"/>
      <c r="G108" s="23"/>
      <c r="H108" s="23"/>
      <c r="I108" s="23"/>
      <c r="J108" s="23"/>
      <c r="K108" s="23"/>
      <c r="L108" s="23"/>
      <c r="M108" s="23"/>
      <c r="N108" s="23"/>
      <c r="O108" s="23"/>
      <c r="P108" s="4"/>
      <c r="Q108" s="23"/>
      <c r="R108" s="23"/>
      <c r="S108" s="23"/>
      <c r="T108" s="4"/>
      <c r="U108" s="4"/>
      <c r="V108" s="4"/>
    </row>
    <row r="109" spans="1:22" x14ac:dyDescent="0.2">
      <c r="A109" s="774"/>
      <c r="B109" s="4"/>
      <c r="C109" s="23"/>
      <c r="D109" s="23"/>
      <c r="E109" s="23"/>
      <c r="F109" s="23"/>
      <c r="G109" s="23"/>
      <c r="H109" s="23"/>
      <c r="I109" s="23"/>
      <c r="J109" s="23"/>
      <c r="K109" s="23"/>
      <c r="L109" s="23"/>
      <c r="M109" s="23"/>
      <c r="N109" s="23"/>
      <c r="O109" s="23"/>
      <c r="P109" s="4"/>
      <c r="Q109" s="23"/>
      <c r="R109" s="23"/>
      <c r="S109" s="23"/>
      <c r="T109" s="4"/>
      <c r="U109" s="4"/>
      <c r="V109" s="4"/>
    </row>
    <row r="110" spans="1:22" x14ac:dyDescent="0.2">
      <c r="A110" s="774"/>
      <c r="B110" s="4"/>
      <c r="C110" s="23"/>
      <c r="D110" s="23"/>
      <c r="E110" s="23"/>
      <c r="F110" s="23"/>
      <c r="G110" s="23"/>
      <c r="H110" s="23"/>
      <c r="I110" s="23"/>
      <c r="J110" s="23"/>
      <c r="K110" s="23"/>
      <c r="L110" s="23"/>
      <c r="M110" s="23"/>
      <c r="N110" s="23"/>
      <c r="O110" s="23"/>
      <c r="P110" s="4"/>
      <c r="Q110" s="23"/>
      <c r="R110" s="23"/>
      <c r="S110" s="23"/>
      <c r="T110" s="4"/>
      <c r="U110" s="4"/>
      <c r="V110" s="4"/>
    </row>
    <row r="111" spans="1:22" x14ac:dyDescent="0.2">
      <c r="A111" s="774"/>
      <c r="B111" s="4"/>
      <c r="C111" s="23"/>
      <c r="D111" s="23"/>
      <c r="E111" s="23"/>
      <c r="F111" s="23"/>
      <c r="G111" s="23"/>
      <c r="H111" s="23"/>
      <c r="I111" s="23"/>
      <c r="J111" s="23"/>
      <c r="K111" s="23"/>
      <c r="L111" s="23"/>
      <c r="M111" s="23"/>
      <c r="N111" s="23"/>
      <c r="O111" s="23"/>
      <c r="P111" s="4"/>
      <c r="Q111" s="23"/>
      <c r="R111" s="23"/>
      <c r="S111" s="23"/>
      <c r="T111" s="4"/>
      <c r="U111" s="4"/>
      <c r="V111" s="4"/>
    </row>
    <row r="112" spans="1:22" x14ac:dyDescent="0.2">
      <c r="A112" s="774"/>
      <c r="B112" s="4"/>
      <c r="C112" s="23"/>
      <c r="D112" s="23"/>
      <c r="E112" s="23"/>
      <c r="F112" s="23"/>
      <c r="G112" s="23"/>
      <c r="H112" s="23"/>
      <c r="I112" s="23"/>
      <c r="J112" s="23"/>
      <c r="K112" s="23"/>
      <c r="L112" s="23"/>
      <c r="M112" s="23"/>
      <c r="N112" s="23"/>
      <c r="O112" s="23"/>
      <c r="P112" s="4"/>
      <c r="Q112" s="23"/>
      <c r="R112" s="23"/>
      <c r="S112" s="23"/>
      <c r="T112" s="4"/>
      <c r="U112" s="4"/>
      <c r="V112" s="4"/>
    </row>
    <row r="113" spans="1:22" x14ac:dyDescent="0.2">
      <c r="A113" s="774"/>
      <c r="B113" s="4"/>
      <c r="C113" s="23"/>
      <c r="D113" s="23"/>
      <c r="E113" s="23"/>
      <c r="F113" s="23"/>
      <c r="G113" s="23"/>
      <c r="H113" s="23"/>
      <c r="I113" s="23"/>
      <c r="J113" s="23"/>
      <c r="K113" s="23"/>
      <c r="L113" s="23"/>
      <c r="M113" s="23"/>
      <c r="N113" s="23"/>
      <c r="O113" s="23"/>
      <c r="P113" s="4"/>
      <c r="Q113" s="23"/>
      <c r="R113" s="23"/>
      <c r="S113" s="23"/>
      <c r="T113" s="4"/>
      <c r="U113" s="4"/>
      <c r="V113" s="4"/>
    </row>
    <row r="114" spans="1:22" x14ac:dyDescent="0.2">
      <c r="A114" s="774"/>
      <c r="B114" s="4"/>
      <c r="C114" s="23"/>
      <c r="D114" s="23"/>
      <c r="E114" s="23"/>
      <c r="F114" s="23"/>
      <c r="G114" s="23"/>
      <c r="H114" s="23"/>
      <c r="I114" s="23"/>
      <c r="J114" s="23"/>
      <c r="K114" s="23"/>
      <c r="L114" s="23"/>
      <c r="M114" s="23"/>
      <c r="N114" s="23"/>
      <c r="O114" s="23"/>
      <c r="P114" s="4"/>
      <c r="Q114" s="23"/>
      <c r="R114" s="23"/>
      <c r="S114" s="23"/>
      <c r="T114" s="4"/>
      <c r="U114" s="4"/>
      <c r="V114" s="4"/>
    </row>
    <row r="115" spans="1:22" x14ac:dyDescent="0.2">
      <c r="A115" s="774"/>
      <c r="B115" s="4"/>
      <c r="C115" s="23"/>
      <c r="D115" s="23"/>
      <c r="E115" s="23"/>
      <c r="F115" s="23"/>
      <c r="G115" s="23"/>
      <c r="H115" s="23"/>
      <c r="I115" s="23"/>
      <c r="J115" s="23"/>
      <c r="K115" s="23"/>
      <c r="L115" s="23"/>
      <c r="M115" s="23"/>
      <c r="N115" s="23"/>
      <c r="O115" s="23"/>
      <c r="P115" s="4"/>
      <c r="Q115" s="23"/>
      <c r="R115" s="23"/>
      <c r="S115" s="23"/>
      <c r="T115" s="4"/>
      <c r="U115" s="4"/>
      <c r="V115" s="4"/>
    </row>
    <row r="116" spans="1:22" x14ac:dyDescent="0.2">
      <c r="A116" s="774"/>
      <c r="B116" s="4"/>
      <c r="C116" s="23"/>
      <c r="D116" s="23"/>
      <c r="E116" s="23"/>
      <c r="F116" s="23"/>
      <c r="G116" s="23"/>
      <c r="H116" s="23"/>
      <c r="I116" s="23"/>
      <c r="J116" s="23"/>
      <c r="K116" s="23"/>
      <c r="L116" s="23"/>
      <c r="M116" s="23"/>
      <c r="N116" s="23"/>
      <c r="O116" s="23"/>
      <c r="P116" s="4"/>
      <c r="Q116" s="23"/>
      <c r="R116" s="23"/>
      <c r="S116" s="23"/>
      <c r="T116" s="4"/>
      <c r="U116" s="4"/>
      <c r="V116" s="4"/>
    </row>
    <row r="117" spans="1:22" x14ac:dyDescent="0.2">
      <c r="A117" s="774"/>
      <c r="B117" s="4"/>
      <c r="C117" s="23"/>
      <c r="D117" s="23"/>
      <c r="E117" s="23"/>
      <c r="F117" s="23"/>
      <c r="G117" s="23"/>
      <c r="H117" s="23"/>
      <c r="I117" s="23"/>
      <c r="J117" s="23"/>
      <c r="K117" s="23"/>
      <c r="L117" s="23"/>
      <c r="M117" s="23"/>
      <c r="N117" s="23"/>
      <c r="O117" s="23"/>
      <c r="P117" s="4"/>
      <c r="Q117" s="23"/>
      <c r="R117" s="23"/>
      <c r="S117" s="23"/>
      <c r="T117" s="4"/>
      <c r="U117" s="4"/>
      <c r="V117" s="4"/>
    </row>
    <row r="118" spans="1:22" x14ac:dyDescent="0.2">
      <c r="A118" s="774"/>
      <c r="B118" s="4"/>
      <c r="C118" s="23"/>
      <c r="D118" s="23"/>
      <c r="E118" s="23"/>
      <c r="F118" s="23"/>
      <c r="G118" s="23"/>
      <c r="H118" s="23"/>
      <c r="I118" s="23"/>
      <c r="J118" s="23"/>
      <c r="K118" s="23"/>
      <c r="L118" s="23"/>
      <c r="M118" s="23"/>
      <c r="N118" s="23"/>
      <c r="O118" s="23"/>
      <c r="P118" s="4"/>
      <c r="Q118" s="23"/>
      <c r="R118" s="23"/>
      <c r="S118" s="23"/>
      <c r="T118" s="4"/>
      <c r="U118" s="4"/>
      <c r="V118" s="4"/>
    </row>
    <row r="119" spans="1:22" x14ac:dyDescent="0.2">
      <c r="A119" s="774"/>
      <c r="B119" s="4"/>
      <c r="C119" s="23"/>
      <c r="D119" s="23"/>
      <c r="E119" s="23"/>
      <c r="F119" s="23"/>
      <c r="G119" s="23"/>
      <c r="H119" s="23"/>
      <c r="I119" s="23"/>
      <c r="J119" s="23"/>
      <c r="K119" s="23"/>
      <c r="L119" s="23"/>
      <c r="M119" s="23"/>
      <c r="N119" s="23"/>
      <c r="O119" s="23"/>
      <c r="P119" s="4"/>
      <c r="Q119" s="23"/>
      <c r="R119" s="23"/>
      <c r="S119" s="23"/>
      <c r="T119" s="4"/>
      <c r="U119" s="4"/>
      <c r="V119" s="4"/>
    </row>
    <row r="120" spans="1:22" x14ac:dyDescent="0.2">
      <c r="A120" s="774"/>
      <c r="B120" s="4"/>
      <c r="C120" s="23"/>
      <c r="D120" s="23"/>
      <c r="E120" s="23"/>
      <c r="F120" s="23"/>
      <c r="G120" s="23"/>
      <c r="H120" s="23"/>
      <c r="I120" s="23"/>
      <c r="J120" s="23"/>
      <c r="K120" s="23"/>
      <c r="L120" s="23"/>
      <c r="M120" s="23"/>
      <c r="N120" s="23"/>
      <c r="O120" s="23"/>
      <c r="P120" s="4"/>
      <c r="Q120" s="23"/>
      <c r="R120" s="23"/>
      <c r="S120" s="23"/>
      <c r="T120" s="4"/>
      <c r="U120" s="4"/>
      <c r="V120" s="4"/>
    </row>
    <row r="121" spans="1:22" x14ac:dyDescent="0.2">
      <c r="A121" s="774"/>
      <c r="B121" s="4"/>
      <c r="C121" s="23"/>
      <c r="D121" s="23"/>
      <c r="E121" s="23"/>
      <c r="F121" s="23"/>
      <c r="G121" s="23"/>
      <c r="H121" s="23"/>
      <c r="I121" s="23"/>
      <c r="J121" s="23"/>
      <c r="K121" s="23"/>
      <c r="L121" s="23"/>
      <c r="M121" s="23"/>
      <c r="N121" s="23"/>
      <c r="O121" s="23"/>
      <c r="P121" s="4"/>
      <c r="Q121" s="23"/>
      <c r="R121" s="23"/>
      <c r="S121" s="23"/>
      <c r="T121" s="4"/>
      <c r="U121" s="4"/>
      <c r="V121" s="4"/>
    </row>
    <row r="122" spans="1:22" x14ac:dyDescent="0.2">
      <c r="A122" s="774"/>
      <c r="B122" s="4"/>
      <c r="C122" s="23"/>
      <c r="D122" s="23"/>
      <c r="E122" s="23"/>
      <c r="F122" s="23"/>
      <c r="G122" s="23"/>
      <c r="H122" s="23"/>
      <c r="I122" s="23"/>
      <c r="J122" s="23"/>
      <c r="K122" s="23"/>
      <c r="L122" s="23"/>
      <c r="M122" s="23"/>
      <c r="N122" s="23"/>
      <c r="O122" s="23"/>
      <c r="P122" s="4"/>
      <c r="Q122" s="23"/>
      <c r="R122" s="23"/>
      <c r="S122" s="23"/>
      <c r="T122" s="4"/>
      <c r="U122" s="4"/>
      <c r="V122" s="4"/>
    </row>
    <row r="123" spans="1:22" x14ac:dyDescent="0.2">
      <c r="A123" s="774"/>
      <c r="B123" s="4"/>
      <c r="C123" s="23"/>
      <c r="D123" s="23"/>
      <c r="E123" s="23"/>
      <c r="F123" s="23"/>
      <c r="G123" s="23"/>
      <c r="H123" s="23"/>
      <c r="I123" s="23"/>
      <c r="J123" s="23"/>
      <c r="K123" s="23"/>
      <c r="L123" s="23"/>
      <c r="M123" s="23"/>
      <c r="N123" s="23"/>
      <c r="O123" s="23"/>
      <c r="P123" s="4"/>
      <c r="Q123" s="23"/>
      <c r="R123" s="23"/>
      <c r="S123" s="23"/>
      <c r="T123" s="4"/>
      <c r="U123" s="4"/>
      <c r="V123" s="4"/>
    </row>
    <row r="124" spans="1:22" x14ac:dyDescent="0.2">
      <c r="A124" s="774"/>
      <c r="B124" s="4"/>
      <c r="C124" s="23"/>
      <c r="D124" s="23"/>
      <c r="E124" s="23"/>
      <c r="F124" s="23"/>
      <c r="G124" s="23"/>
      <c r="H124" s="23"/>
      <c r="I124" s="23"/>
      <c r="J124" s="23"/>
      <c r="K124" s="23"/>
      <c r="L124" s="23"/>
      <c r="M124" s="23"/>
      <c r="N124" s="23"/>
      <c r="O124" s="23"/>
      <c r="P124" s="4"/>
      <c r="Q124" s="23"/>
      <c r="R124" s="23"/>
      <c r="S124" s="23"/>
      <c r="T124" s="4"/>
      <c r="U124" s="4"/>
      <c r="V124" s="4"/>
    </row>
    <row r="125" spans="1:22" x14ac:dyDescent="0.2">
      <c r="A125" s="774"/>
      <c r="B125" s="4"/>
      <c r="C125" s="23"/>
      <c r="D125" s="23"/>
      <c r="E125" s="23"/>
      <c r="F125" s="23"/>
      <c r="G125" s="23"/>
      <c r="H125" s="23"/>
      <c r="I125" s="23"/>
      <c r="J125" s="23"/>
      <c r="K125" s="23"/>
      <c r="L125" s="23"/>
      <c r="M125" s="23"/>
      <c r="N125" s="23"/>
      <c r="O125" s="23"/>
      <c r="P125" s="4"/>
      <c r="Q125" s="23"/>
      <c r="R125" s="23"/>
      <c r="S125" s="23"/>
      <c r="T125" s="4"/>
      <c r="U125" s="4"/>
      <c r="V125" s="4"/>
    </row>
    <row r="126" spans="1:22" x14ac:dyDescent="0.2">
      <c r="A126" s="774"/>
      <c r="B126" s="4"/>
      <c r="C126" s="23"/>
      <c r="D126" s="23"/>
      <c r="E126" s="23"/>
      <c r="F126" s="23"/>
      <c r="G126" s="23"/>
      <c r="H126" s="23"/>
      <c r="I126" s="23"/>
      <c r="J126" s="23"/>
      <c r="K126" s="23"/>
      <c r="L126" s="23"/>
      <c r="M126" s="23"/>
      <c r="N126" s="23"/>
      <c r="O126" s="23"/>
      <c r="P126" s="4"/>
      <c r="Q126" s="23"/>
      <c r="R126" s="23"/>
      <c r="S126" s="23"/>
      <c r="T126" s="4"/>
      <c r="U126" s="4"/>
      <c r="V126" s="4"/>
    </row>
    <row r="127" spans="1:22" x14ac:dyDescent="0.2">
      <c r="A127" s="774"/>
      <c r="B127" s="4"/>
      <c r="C127" s="23"/>
      <c r="D127" s="23"/>
      <c r="E127" s="23"/>
      <c r="F127" s="23"/>
      <c r="G127" s="23"/>
      <c r="H127" s="23"/>
      <c r="I127" s="23"/>
      <c r="J127" s="23"/>
      <c r="K127" s="23"/>
      <c r="L127" s="23"/>
      <c r="M127" s="23"/>
      <c r="N127" s="23"/>
      <c r="O127" s="23"/>
      <c r="P127" s="4"/>
      <c r="Q127" s="23"/>
      <c r="R127" s="23"/>
      <c r="S127" s="23"/>
      <c r="T127" s="4"/>
      <c r="U127" s="4"/>
      <c r="V127" s="4"/>
    </row>
    <row r="128" spans="1:22" x14ac:dyDescent="0.2">
      <c r="A128" s="774"/>
      <c r="B128" s="4"/>
      <c r="C128" s="23"/>
      <c r="D128" s="23"/>
      <c r="E128" s="23"/>
      <c r="F128" s="23"/>
      <c r="G128" s="23"/>
      <c r="H128" s="23"/>
      <c r="I128" s="23"/>
      <c r="J128" s="23"/>
      <c r="K128" s="23"/>
      <c r="L128" s="23"/>
      <c r="M128" s="23"/>
      <c r="N128" s="23"/>
      <c r="O128" s="23"/>
      <c r="P128" s="4"/>
      <c r="Q128" s="23"/>
      <c r="R128" s="23"/>
      <c r="S128" s="23"/>
      <c r="T128" s="4"/>
      <c r="U128" s="4"/>
      <c r="V128" s="4"/>
    </row>
    <row r="129" spans="1:22" x14ac:dyDescent="0.2">
      <c r="A129" s="774"/>
      <c r="B129" s="4"/>
      <c r="C129" s="23"/>
      <c r="D129" s="23"/>
      <c r="E129" s="23"/>
      <c r="F129" s="23"/>
      <c r="G129" s="23"/>
      <c r="H129" s="23"/>
      <c r="I129" s="23"/>
      <c r="J129" s="23"/>
      <c r="K129" s="23"/>
      <c r="L129" s="23"/>
      <c r="M129" s="23"/>
      <c r="N129" s="23"/>
      <c r="O129" s="23"/>
      <c r="P129" s="4"/>
      <c r="Q129" s="23"/>
      <c r="R129" s="23"/>
      <c r="S129" s="23"/>
      <c r="T129" s="4"/>
      <c r="U129" s="4"/>
      <c r="V129" s="4"/>
    </row>
    <row r="130" spans="1:22" x14ac:dyDescent="0.2">
      <c r="A130" s="774"/>
      <c r="B130" s="4"/>
      <c r="C130" s="23"/>
      <c r="D130" s="23"/>
      <c r="E130" s="23"/>
      <c r="F130" s="23"/>
      <c r="G130" s="23"/>
      <c r="H130" s="23"/>
      <c r="I130" s="23"/>
      <c r="J130" s="23"/>
      <c r="K130" s="23"/>
      <c r="L130" s="23"/>
      <c r="M130" s="23"/>
      <c r="N130" s="23"/>
      <c r="O130" s="23"/>
      <c r="P130" s="4"/>
      <c r="Q130" s="23"/>
      <c r="R130" s="23"/>
      <c r="S130" s="23"/>
      <c r="T130" s="4"/>
      <c r="U130" s="4"/>
      <c r="V130" s="4"/>
    </row>
    <row r="131" spans="1:22" x14ac:dyDescent="0.2">
      <c r="A131" s="774"/>
      <c r="B131" s="4"/>
      <c r="C131" s="23"/>
      <c r="D131" s="23"/>
      <c r="E131" s="23"/>
      <c r="F131" s="23"/>
      <c r="G131" s="23"/>
      <c r="H131" s="23"/>
      <c r="I131" s="23"/>
      <c r="J131" s="23"/>
      <c r="K131" s="23"/>
      <c r="L131" s="23"/>
      <c r="M131" s="23"/>
      <c r="N131" s="23"/>
      <c r="O131" s="23"/>
      <c r="P131" s="4"/>
      <c r="Q131" s="23"/>
      <c r="R131" s="23"/>
      <c r="S131" s="23"/>
      <c r="T131" s="4"/>
      <c r="U131" s="4"/>
      <c r="V131" s="4"/>
    </row>
    <row r="132" spans="1:22" x14ac:dyDescent="0.2">
      <c r="A132" s="774"/>
      <c r="B132" s="4"/>
      <c r="C132" s="23"/>
      <c r="D132" s="23"/>
      <c r="E132" s="23"/>
      <c r="F132" s="23"/>
      <c r="G132" s="23"/>
      <c r="H132" s="23"/>
      <c r="I132" s="23"/>
      <c r="J132" s="23"/>
      <c r="K132" s="23"/>
      <c r="L132" s="23"/>
      <c r="M132" s="23"/>
      <c r="N132" s="23"/>
      <c r="O132" s="23"/>
      <c r="P132" s="4"/>
      <c r="Q132" s="23"/>
      <c r="R132" s="23"/>
      <c r="S132" s="23"/>
      <c r="T132" s="4"/>
      <c r="U132" s="4"/>
      <c r="V132" s="4"/>
    </row>
    <row r="133" spans="1:22" x14ac:dyDescent="0.2">
      <c r="A133" s="774"/>
      <c r="B133" s="4"/>
      <c r="C133" s="23"/>
      <c r="D133" s="23"/>
      <c r="E133" s="23"/>
      <c r="F133" s="23"/>
      <c r="G133" s="23"/>
      <c r="H133" s="23"/>
      <c r="I133" s="23"/>
      <c r="J133" s="23"/>
      <c r="K133" s="23"/>
      <c r="L133" s="23"/>
      <c r="M133" s="23"/>
      <c r="N133" s="23"/>
      <c r="O133" s="23"/>
      <c r="P133" s="4"/>
      <c r="Q133" s="23"/>
      <c r="R133" s="23"/>
      <c r="S133" s="23"/>
      <c r="T133" s="4"/>
      <c r="U133" s="4"/>
      <c r="V133" s="4"/>
    </row>
    <row r="134" spans="1:22" x14ac:dyDescent="0.2">
      <c r="A134" s="774"/>
      <c r="B134" s="4"/>
      <c r="C134" s="23"/>
      <c r="D134" s="23"/>
      <c r="E134" s="23"/>
      <c r="F134" s="23"/>
      <c r="G134" s="23"/>
      <c r="H134" s="23"/>
      <c r="I134" s="23"/>
      <c r="J134" s="23"/>
      <c r="K134" s="23"/>
      <c r="L134" s="23"/>
      <c r="M134" s="23"/>
      <c r="N134" s="23"/>
      <c r="O134" s="23"/>
      <c r="P134" s="4"/>
      <c r="Q134" s="23"/>
      <c r="R134" s="23"/>
      <c r="S134" s="23"/>
      <c r="T134" s="4"/>
      <c r="U134" s="4"/>
      <c r="V134" s="4"/>
    </row>
    <row r="135" spans="1:22" x14ac:dyDescent="0.2">
      <c r="A135" s="774"/>
      <c r="B135" s="4"/>
      <c r="C135" s="23"/>
      <c r="D135" s="23"/>
      <c r="E135" s="23"/>
      <c r="F135" s="23"/>
      <c r="G135" s="23"/>
      <c r="H135" s="23"/>
      <c r="I135" s="23"/>
      <c r="J135" s="23"/>
      <c r="K135" s="23"/>
      <c r="L135" s="23"/>
      <c r="M135" s="23"/>
      <c r="N135" s="23"/>
      <c r="O135" s="23"/>
      <c r="P135" s="4"/>
      <c r="Q135" s="23"/>
      <c r="R135" s="23"/>
      <c r="S135" s="23"/>
      <c r="T135" s="4"/>
      <c r="U135" s="4"/>
      <c r="V135" s="4"/>
    </row>
    <row r="136" spans="1:22" x14ac:dyDescent="0.2">
      <c r="A136" s="774"/>
      <c r="B136" s="4"/>
      <c r="C136" s="23"/>
      <c r="D136" s="23"/>
      <c r="E136" s="23"/>
      <c r="F136" s="23"/>
      <c r="G136" s="23"/>
      <c r="H136" s="23"/>
      <c r="I136" s="23"/>
      <c r="J136" s="23"/>
      <c r="K136" s="23"/>
      <c r="L136" s="23"/>
      <c r="M136" s="23"/>
      <c r="N136" s="23"/>
      <c r="O136" s="23"/>
      <c r="P136" s="4"/>
      <c r="Q136" s="23"/>
      <c r="R136" s="23"/>
      <c r="S136" s="23"/>
      <c r="T136" s="4"/>
      <c r="U136" s="4"/>
      <c r="V136" s="4"/>
    </row>
    <row r="137" spans="1:22" x14ac:dyDescent="0.2">
      <c r="C137" s="212"/>
      <c r="D137" s="212"/>
      <c r="E137" s="212"/>
      <c r="F137" s="212"/>
      <c r="G137" s="212"/>
      <c r="H137" s="212"/>
      <c r="I137" s="212"/>
      <c r="J137" s="212"/>
      <c r="K137" s="212"/>
      <c r="L137" s="212"/>
      <c r="M137" s="212"/>
      <c r="N137" s="212"/>
      <c r="O137" s="212"/>
    </row>
    <row r="138" spans="1:22" x14ac:dyDescent="0.2">
      <c r="C138" s="212"/>
      <c r="D138" s="212"/>
      <c r="E138" s="212"/>
      <c r="F138" s="212"/>
      <c r="G138" s="212"/>
      <c r="H138" s="212"/>
      <c r="I138" s="212"/>
      <c r="J138" s="212"/>
      <c r="K138" s="212"/>
      <c r="L138" s="212"/>
      <c r="M138" s="212"/>
      <c r="N138" s="212"/>
      <c r="O138" s="212"/>
    </row>
    <row r="139" spans="1:22" x14ac:dyDescent="0.2">
      <c r="C139" s="212"/>
      <c r="D139" s="212"/>
      <c r="E139" s="212"/>
      <c r="F139" s="212"/>
      <c r="G139" s="212"/>
      <c r="H139" s="212"/>
      <c r="I139" s="212"/>
      <c r="J139" s="212"/>
      <c r="K139" s="212"/>
      <c r="L139" s="212"/>
      <c r="M139" s="212"/>
      <c r="N139" s="212"/>
      <c r="O139" s="212"/>
    </row>
    <row r="140" spans="1:22" x14ac:dyDescent="0.2">
      <c r="C140" s="212"/>
      <c r="D140" s="212"/>
      <c r="E140" s="212"/>
      <c r="F140" s="212"/>
      <c r="G140" s="212"/>
      <c r="H140" s="212"/>
      <c r="I140" s="212"/>
      <c r="J140" s="212"/>
      <c r="K140" s="212"/>
      <c r="L140" s="212"/>
      <c r="M140" s="212"/>
      <c r="N140" s="212"/>
      <c r="O140" s="212"/>
    </row>
    <row r="141" spans="1:22" x14ac:dyDescent="0.2">
      <c r="C141" s="212"/>
      <c r="D141" s="212"/>
      <c r="E141" s="212"/>
      <c r="F141" s="212"/>
      <c r="G141" s="212"/>
      <c r="H141" s="212"/>
      <c r="I141" s="212"/>
      <c r="J141" s="212"/>
      <c r="K141" s="212"/>
      <c r="L141" s="212"/>
      <c r="M141" s="212"/>
      <c r="N141" s="212"/>
      <c r="O141" s="212"/>
    </row>
    <row r="142" spans="1:22" x14ac:dyDescent="0.2">
      <c r="C142" s="212"/>
      <c r="D142" s="212"/>
      <c r="E142" s="212"/>
      <c r="F142" s="212"/>
      <c r="G142" s="212"/>
      <c r="H142" s="212"/>
      <c r="I142" s="212"/>
      <c r="J142" s="212"/>
      <c r="K142" s="212"/>
      <c r="L142" s="212"/>
      <c r="M142" s="212"/>
      <c r="N142" s="212"/>
      <c r="O142" s="212"/>
    </row>
    <row r="143" spans="1:22" x14ac:dyDescent="0.2">
      <c r="C143" s="212"/>
      <c r="D143" s="212"/>
      <c r="E143" s="212"/>
      <c r="F143" s="212"/>
      <c r="G143" s="212"/>
      <c r="H143" s="212"/>
      <c r="I143" s="212"/>
      <c r="J143" s="212"/>
      <c r="K143" s="212"/>
      <c r="L143" s="212"/>
      <c r="M143" s="212"/>
      <c r="N143" s="212"/>
      <c r="O143" s="212"/>
    </row>
    <row r="144" spans="1:22" x14ac:dyDescent="0.2">
      <c r="C144" s="212"/>
      <c r="D144" s="212"/>
      <c r="E144" s="212"/>
      <c r="F144" s="212"/>
      <c r="G144" s="212"/>
      <c r="H144" s="212"/>
      <c r="I144" s="212"/>
      <c r="J144" s="212"/>
      <c r="K144" s="212"/>
      <c r="L144" s="212"/>
      <c r="M144" s="212"/>
      <c r="N144" s="212"/>
      <c r="O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row r="160" spans="3:3" x14ac:dyDescent="0.2">
      <c r="C160" s="212"/>
    </row>
    <row r="161" spans="3:3" x14ac:dyDescent="0.2">
      <c r="C161" s="212"/>
    </row>
    <row r="162" spans="3:3" x14ac:dyDescent="0.2">
      <c r="C162" s="212"/>
    </row>
    <row r="163" spans="3:3" x14ac:dyDescent="0.2">
      <c r="C163" s="212"/>
    </row>
    <row r="164" spans="3:3" x14ac:dyDescent="0.2">
      <c r="C164" s="212"/>
    </row>
    <row r="165" spans="3:3" x14ac:dyDescent="0.2">
      <c r="C165" s="212"/>
    </row>
    <row r="166" spans="3:3" x14ac:dyDescent="0.2">
      <c r="C166" s="212"/>
    </row>
    <row r="167" spans="3:3" x14ac:dyDescent="0.2">
      <c r="C167" s="212"/>
    </row>
    <row r="168" spans="3:3" x14ac:dyDescent="0.2">
      <c r="C168" s="212"/>
    </row>
    <row r="169" spans="3:3" x14ac:dyDescent="0.2">
      <c r="C169" s="212"/>
    </row>
    <row r="170" spans="3:3" x14ac:dyDescent="0.2">
      <c r="C170" s="212"/>
    </row>
    <row r="171" spans="3:3" x14ac:dyDescent="0.2">
      <c r="C171" s="212"/>
    </row>
    <row r="172" spans="3:3" x14ac:dyDescent="0.2">
      <c r="C172" s="212"/>
    </row>
    <row r="173" spans="3:3" x14ac:dyDescent="0.2">
      <c r="C173" s="212"/>
    </row>
    <row r="174" spans="3:3" x14ac:dyDescent="0.2">
      <c r="C174" s="212"/>
    </row>
    <row r="175" spans="3:3" x14ac:dyDescent="0.2">
      <c r="C175" s="212"/>
    </row>
    <row r="176" spans="3:3" x14ac:dyDescent="0.2">
      <c r="C176" s="212"/>
    </row>
    <row r="177" spans="3:3" x14ac:dyDescent="0.2">
      <c r="C177" s="212"/>
    </row>
    <row r="178" spans="3:3" x14ac:dyDescent="0.2">
      <c r="C178" s="212"/>
    </row>
    <row r="179" spans="3:3" x14ac:dyDescent="0.2">
      <c r="C179" s="212"/>
    </row>
    <row r="180" spans="3:3" x14ac:dyDescent="0.2">
      <c r="C180" s="212"/>
    </row>
    <row r="181" spans="3:3" x14ac:dyDescent="0.2">
      <c r="C181" s="212"/>
    </row>
    <row r="182" spans="3:3" x14ac:dyDescent="0.2">
      <c r="C182" s="212"/>
    </row>
    <row r="183" spans="3:3" x14ac:dyDescent="0.2">
      <c r="C183" s="212"/>
    </row>
    <row r="184" spans="3:3" x14ac:dyDescent="0.2">
      <c r="C184" s="212"/>
    </row>
    <row r="185" spans="3:3" x14ac:dyDescent="0.2">
      <c r="C185" s="212"/>
    </row>
    <row r="186" spans="3:3" x14ac:dyDescent="0.2">
      <c r="C186" s="212"/>
    </row>
  </sheetData>
  <phoneticPr fontId="0" type="noConversion"/>
  <hyperlinks>
    <hyperlink ref="A1" location="'Working Budget with funding det'!A1" display="Main " xr:uid="{00000000-0004-0000-3000-000000000000}"/>
    <hyperlink ref="B1" location="'Table of Contents'!A1" display="TOC" xr:uid="{00000000-0004-0000-3000-000001000000}"/>
  </hyperlinks>
  <pageMargins left="0.75" right="0.75" top="1" bottom="1" header="0.5" footer="0.5"/>
  <pageSetup scale="92" orientation="landscape" r:id="rId1"/>
  <headerFooter alignWithMargins="0">
    <oddFooter>&amp;L&amp;D     &amp;T&amp;C&amp;F&amp;R&amp;A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B050"/>
    <pageSetUpPr fitToPage="1"/>
  </sheetPr>
  <dimension ref="A1:AZ158"/>
  <sheetViews>
    <sheetView zoomScaleNormal="100" workbookViewId="0">
      <pane xSplit="10" ySplit="7" topLeftCell="K42" activePane="bottomRight" state="frozen"/>
      <selection activeCell="P15" sqref="P15"/>
      <selection pane="topRight" activeCell="P15" sqref="P15"/>
      <selection pane="bottomLeft" activeCell="P15" sqref="P15"/>
      <selection pane="bottomRight" activeCell="P15" sqref="P15"/>
    </sheetView>
  </sheetViews>
  <sheetFormatPr defaultRowHeight="12.75" x14ac:dyDescent="0.2"/>
  <cols>
    <col min="1" max="1" width="8.83203125" style="783"/>
    <col min="2" max="2" width="36.6640625" customWidth="1"/>
    <col min="3" max="3" width="14.5" style="1" hidden="1" customWidth="1"/>
    <col min="4" max="12" width="14.5" style="106" hidden="1" customWidth="1"/>
    <col min="13" max="15" width="14.5" style="106" customWidth="1"/>
    <col min="16" max="16" width="14.5" customWidth="1"/>
    <col min="17" max="20" width="14.5" style="1" customWidth="1"/>
    <col min="21" max="23" width="13.1640625" hidden="1" customWidth="1"/>
    <col min="24" max="25" width="13.1640625" customWidth="1"/>
    <col min="26" max="28" width="10.5" bestFit="1" customWidth="1"/>
    <col min="29" max="29" width="11.6640625" customWidth="1"/>
    <col min="30" max="45" width="10.5" bestFit="1" customWidth="1"/>
    <col min="51" max="51" width="14.1640625" style="612" bestFit="1" customWidth="1"/>
  </cols>
  <sheetData>
    <row r="1" spans="1:51" x14ac:dyDescent="0.2">
      <c r="A1" s="772" t="s">
        <v>847</v>
      </c>
      <c r="B1" s="308" t="s">
        <v>197</v>
      </c>
      <c r="D1" s="212"/>
      <c r="E1" s="212"/>
      <c r="F1" s="212"/>
      <c r="G1" s="212"/>
      <c r="H1" s="212"/>
      <c r="I1" s="212"/>
      <c r="J1" s="212"/>
      <c r="K1" s="212"/>
      <c r="L1" s="212"/>
      <c r="M1" s="212"/>
      <c r="N1" s="212"/>
      <c r="O1" s="212"/>
      <c r="S1"/>
      <c r="T1"/>
    </row>
    <row r="2" spans="1:51" ht="15" x14ac:dyDescent="0.25">
      <c r="A2" s="773" t="s">
        <v>1505</v>
      </c>
      <c r="B2" s="43"/>
      <c r="D2" s="212"/>
      <c r="E2" s="126"/>
      <c r="F2" s="212"/>
      <c r="G2" s="212"/>
      <c r="H2" s="212"/>
      <c r="I2" s="126" t="s">
        <v>816</v>
      </c>
      <c r="J2" s="126"/>
      <c r="K2" s="126"/>
      <c r="L2" s="126"/>
      <c r="M2" s="126"/>
      <c r="N2" s="126"/>
      <c r="O2" s="126"/>
      <c r="P2" s="58" t="s">
        <v>1506</v>
      </c>
      <c r="S2" s="44" t="s">
        <v>1507</v>
      </c>
      <c r="T2" s="44"/>
    </row>
    <row r="3" spans="1:51" ht="13.5" thickBot="1" x14ac:dyDescent="0.25">
      <c r="A3" s="774"/>
      <c r="B3" s="4"/>
      <c r="C3" s="23"/>
      <c r="D3" s="23"/>
      <c r="E3" s="23"/>
      <c r="F3" s="23"/>
      <c r="G3" s="23"/>
      <c r="H3" s="23"/>
      <c r="I3" s="23"/>
      <c r="J3" s="23"/>
      <c r="K3" s="23"/>
      <c r="L3" s="23"/>
      <c r="M3" s="23"/>
      <c r="N3" s="23"/>
      <c r="O3" s="23"/>
      <c r="P3" s="4"/>
      <c r="Q3" s="23"/>
      <c r="R3" s="23"/>
      <c r="S3" s="4"/>
      <c r="T3" s="4"/>
    </row>
    <row r="4" spans="1:51" ht="13.5" thickTop="1" x14ac:dyDescent="0.2">
      <c r="A4" s="775"/>
      <c r="B4" s="668" t="s">
        <v>485</v>
      </c>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row>
    <row r="5" spans="1:51" x14ac:dyDescent="0.2">
      <c r="A5" s="776"/>
      <c r="B5" s="202"/>
      <c r="C5" s="113"/>
      <c r="D5" s="82"/>
      <c r="E5" s="105"/>
      <c r="F5" s="82"/>
      <c r="G5" s="82"/>
      <c r="H5" s="105"/>
      <c r="I5" s="247"/>
      <c r="J5" s="247"/>
      <c r="K5" s="247"/>
      <c r="L5" s="247"/>
      <c r="M5" s="247"/>
      <c r="N5" s="247"/>
      <c r="O5" s="247"/>
      <c r="P5" s="105" t="s">
        <v>819</v>
      </c>
      <c r="Q5" s="83" t="s">
        <v>820</v>
      </c>
      <c r="R5" s="83" t="s">
        <v>821</v>
      </c>
      <c r="S5" s="196" t="s">
        <v>822</v>
      </c>
      <c r="T5" s="196"/>
      <c r="U5" s="45" t="s">
        <v>275</v>
      </c>
      <c r="V5" s="45" t="s">
        <v>276</v>
      </c>
      <c r="W5" s="45" t="s">
        <v>277</v>
      </c>
      <c r="X5" s="45" t="s">
        <v>571</v>
      </c>
      <c r="Y5" s="45" t="s">
        <v>1508</v>
      </c>
      <c r="Z5" s="45" t="s">
        <v>1509</v>
      </c>
      <c r="AA5" s="45" t="s">
        <v>1510</v>
      </c>
      <c r="AB5" s="45" t="s">
        <v>1511</v>
      </c>
      <c r="AC5" s="45" t="s">
        <v>1512</v>
      </c>
      <c r="AD5" s="45" t="s">
        <v>1513</v>
      </c>
      <c r="AE5" s="45" t="s">
        <v>1514</v>
      </c>
      <c r="AF5" s="45" t="s">
        <v>1515</v>
      </c>
      <c r="AG5" s="45" t="s">
        <v>1516</v>
      </c>
      <c r="AH5" s="45" t="s">
        <v>1517</v>
      </c>
      <c r="AI5" s="45" t="s">
        <v>1518</v>
      </c>
      <c r="AJ5" s="45" t="s">
        <v>1519</v>
      </c>
      <c r="AK5" s="45" t="s">
        <v>1520</v>
      </c>
      <c r="AL5" s="45" t="s">
        <v>1521</v>
      </c>
      <c r="AM5" s="45" t="s">
        <v>1522</v>
      </c>
      <c r="AN5" s="45" t="s">
        <v>1523</v>
      </c>
      <c r="AO5" s="45" t="s">
        <v>1524</v>
      </c>
      <c r="AP5" s="45" t="s">
        <v>1525</v>
      </c>
      <c r="AQ5" s="45" t="s">
        <v>1526</v>
      </c>
      <c r="AR5" s="45" t="s">
        <v>1527</v>
      </c>
      <c r="AS5" s="45" t="s">
        <v>1528</v>
      </c>
      <c r="AT5" s="45" t="s">
        <v>1529</v>
      </c>
      <c r="AU5" s="45" t="s">
        <v>1530</v>
      </c>
      <c r="AV5" s="45" t="s">
        <v>1531</v>
      </c>
      <c r="AW5" s="45" t="s">
        <v>1532</v>
      </c>
      <c r="AX5" s="45" t="s">
        <v>1533</v>
      </c>
    </row>
    <row r="6" spans="1:51" x14ac:dyDescent="0.2">
      <c r="A6" s="776"/>
      <c r="B6" s="202"/>
      <c r="C6" s="113"/>
      <c r="D6" s="113"/>
      <c r="E6" s="113"/>
      <c r="F6" s="113"/>
      <c r="G6" s="113"/>
      <c r="H6" s="113"/>
      <c r="I6" s="83"/>
      <c r="J6" s="83"/>
      <c r="K6" s="83"/>
      <c r="L6" s="83"/>
      <c r="M6" s="83"/>
      <c r="N6" s="83"/>
      <c r="O6" s="83"/>
      <c r="P6" s="113"/>
      <c r="Q6" s="83" t="s">
        <v>823</v>
      </c>
      <c r="R6" s="83" t="s">
        <v>585</v>
      </c>
      <c r="S6" s="45" t="s">
        <v>824</v>
      </c>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row>
    <row r="7" spans="1:51"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row>
    <row r="8" spans="1:51" ht="13.5" thickTop="1" x14ac:dyDescent="0.2">
      <c r="A8" s="796"/>
      <c r="B8" s="203"/>
      <c r="C8" s="118"/>
      <c r="D8" s="18"/>
      <c r="E8" s="18"/>
      <c r="F8" s="18"/>
      <c r="G8" s="18"/>
      <c r="H8" s="18"/>
      <c r="I8" s="19"/>
      <c r="J8" s="19"/>
      <c r="K8" s="19"/>
      <c r="L8" s="19"/>
      <c r="M8" s="19"/>
      <c r="N8" s="19"/>
      <c r="O8" s="19"/>
      <c r="P8" s="18"/>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row>
    <row r="9" spans="1:51" x14ac:dyDescent="0.2">
      <c r="A9" s="779">
        <v>710</v>
      </c>
      <c r="B9" s="60" t="s">
        <v>1534</v>
      </c>
      <c r="C9" s="116"/>
      <c r="D9" s="13"/>
      <c r="E9" s="13"/>
      <c r="F9" s="13"/>
      <c r="G9" s="13"/>
      <c r="H9" s="13"/>
      <c r="I9" s="14"/>
      <c r="J9" s="14"/>
      <c r="K9" s="14"/>
      <c r="L9" s="14"/>
      <c r="M9" s="14"/>
      <c r="N9" s="14"/>
      <c r="O9" s="14"/>
      <c r="P9" s="13"/>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row>
    <row r="10" spans="1:51" hidden="1" x14ac:dyDescent="0.2">
      <c r="A10" s="779">
        <v>5910</v>
      </c>
      <c r="B10" s="60" t="s">
        <v>1535</v>
      </c>
      <c r="C10" s="116">
        <v>40000</v>
      </c>
      <c r="D10" s="35">
        <v>35000</v>
      </c>
      <c r="E10" s="35">
        <v>35000</v>
      </c>
      <c r="F10" s="35">
        <v>35000</v>
      </c>
      <c r="G10" s="35">
        <v>35000</v>
      </c>
      <c r="H10" s="35">
        <v>35000</v>
      </c>
      <c r="I10" s="218">
        <v>35000</v>
      </c>
      <c r="J10" s="218">
        <v>35000</v>
      </c>
      <c r="K10" s="36">
        <v>0</v>
      </c>
      <c r="L10" s="36"/>
      <c r="M10" s="36"/>
      <c r="N10" s="36"/>
      <c r="O10" s="36"/>
      <c r="P10" s="35"/>
      <c r="Q10" s="36">
        <f>+V10</f>
        <v>0</v>
      </c>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row>
    <row r="11" spans="1:51" x14ac:dyDescent="0.2">
      <c r="A11" s="779">
        <v>5916</v>
      </c>
      <c r="B11" s="60" t="s">
        <v>1536</v>
      </c>
      <c r="C11" s="116">
        <v>55000</v>
      </c>
      <c r="D11" s="13">
        <v>55000</v>
      </c>
      <c r="E11" s="13">
        <v>55000</v>
      </c>
      <c r="F11" s="13">
        <v>55000</v>
      </c>
      <c r="G11" s="13">
        <v>55000</v>
      </c>
      <c r="H11" s="13">
        <v>25000</v>
      </c>
      <c r="I11" s="128">
        <v>20000</v>
      </c>
      <c r="J11" s="128">
        <v>20000</v>
      </c>
      <c r="K11" s="14">
        <v>15000</v>
      </c>
      <c r="L11" s="128">
        <v>15000</v>
      </c>
      <c r="M11" s="14">
        <v>15000</v>
      </c>
      <c r="N11" s="13">
        <v>15000</v>
      </c>
      <c r="O11" s="14">
        <v>15000</v>
      </c>
      <c r="P11" s="13">
        <v>15000</v>
      </c>
      <c r="Q11" s="36">
        <f>+X11</f>
        <v>15000</v>
      </c>
      <c r="R11" s="36"/>
      <c r="S11" s="36"/>
      <c r="T11" s="36"/>
      <c r="U11" s="14">
        <f t="shared" ref="U11:AA11" si="0">5000+10000</f>
        <v>15000</v>
      </c>
      <c r="V11" s="14">
        <f t="shared" si="0"/>
        <v>15000</v>
      </c>
      <c r="W11" s="14">
        <f t="shared" si="0"/>
        <v>15000</v>
      </c>
      <c r="X11" s="14">
        <f t="shared" si="0"/>
        <v>15000</v>
      </c>
      <c r="Y11" s="14">
        <f t="shared" si="0"/>
        <v>15000</v>
      </c>
      <c r="Z11" s="14">
        <f t="shared" si="0"/>
        <v>15000</v>
      </c>
      <c r="AA11" s="14">
        <f t="shared" si="0"/>
        <v>15000</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row>
    <row r="12" spans="1:51" s="335" customFormat="1" x14ac:dyDescent="0.2">
      <c r="A12" s="806">
        <v>5920</v>
      </c>
      <c r="B12" s="613" t="s">
        <v>1537</v>
      </c>
      <c r="C12" s="673">
        <v>205000</v>
      </c>
      <c r="D12" s="671">
        <v>210000</v>
      </c>
      <c r="E12" s="671">
        <v>220000</v>
      </c>
      <c r="F12" s="671">
        <v>230000</v>
      </c>
      <c r="G12" s="671">
        <v>240000</v>
      </c>
      <c r="H12" s="671">
        <v>255000</v>
      </c>
      <c r="I12" s="671">
        <v>265000</v>
      </c>
      <c r="J12" s="671">
        <v>275000</v>
      </c>
      <c r="K12" s="610">
        <v>241448</v>
      </c>
      <c r="L12" s="671">
        <v>241447.5</v>
      </c>
      <c r="M12" s="610">
        <v>256230</v>
      </c>
      <c r="N12" s="671">
        <v>256230</v>
      </c>
      <c r="O12" s="610">
        <v>266085</v>
      </c>
      <c r="P12" s="671"/>
      <c r="Q12" s="336">
        <f t="shared" ref="Q12:Q29" si="1">+X12</f>
        <v>280868</v>
      </c>
      <c r="R12" s="336"/>
      <c r="S12" s="336"/>
      <c r="T12" s="336"/>
      <c r="U12" s="610">
        <v>241448</v>
      </c>
      <c r="V12" s="610">
        <v>256230</v>
      </c>
      <c r="W12" s="610">
        <v>266085</v>
      </c>
      <c r="X12" s="610">
        <v>280868</v>
      </c>
      <c r="Y12" s="610">
        <v>295650</v>
      </c>
      <c r="Z12" s="610">
        <v>310433</v>
      </c>
      <c r="AA12" s="610">
        <v>325215</v>
      </c>
      <c r="AB12" s="610">
        <v>344925</v>
      </c>
      <c r="AC12" s="610"/>
      <c r="AD12" s="610"/>
      <c r="AE12" s="610"/>
      <c r="AF12" s="610"/>
      <c r="AG12" s="610"/>
      <c r="AH12" s="610"/>
      <c r="AI12" s="610"/>
      <c r="AJ12" s="610"/>
      <c r="AK12" s="610"/>
      <c r="AL12" s="610"/>
      <c r="AM12" s="610"/>
      <c r="AN12" s="610"/>
      <c r="AO12" s="610"/>
      <c r="AP12" s="610"/>
      <c r="AQ12" s="610"/>
      <c r="AR12" s="610"/>
      <c r="AS12" s="610"/>
      <c r="AT12" s="610"/>
      <c r="AU12" s="610"/>
      <c r="AV12" s="610"/>
      <c r="AW12" s="610"/>
      <c r="AX12" s="610"/>
      <c r="AY12" s="923"/>
    </row>
    <row r="13" spans="1:51" s="335" customFormat="1" x14ac:dyDescent="0.2">
      <c r="A13" s="806">
        <v>5930</v>
      </c>
      <c r="B13" s="669" t="s">
        <v>1538</v>
      </c>
      <c r="C13" s="670">
        <v>17414.8</v>
      </c>
      <c r="D13" s="671">
        <v>17766.400000000001</v>
      </c>
      <c r="E13" s="671">
        <v>18125.2</v>
      </c>
      <c r="F13" s="671">
        <v>18491.599999999999</v>
      </c>
      <c r="G13" s="671">
        <v>18865.2</v>
      </c>
      <c r="H13" s="671">
        <v>19246</v>
      </c>
      <c r="I13" s="671">
        <v>19634.8</v>
      </c>
      <c r="J13" s="672">
        <v>20031.599999999999</v>
      </c>
      <c r="K13" s="486">
        <v>20760</v>
      </c>
      <c r="L13" s="672">
        <v>20436.400000000001</v>
      </c>
      <c r="M13" s="486">
        <v>20849</v>
      </c>
      <c r="N13" s="672">
        <v>20849.2</v>
      </c>
      <c r="O13" s="486">
        <v>21270</v>
      </c>
      <c r="P13" s="672">
        <v>21270.400000000001</v>
      </c>
      <c r="Q13" s="336">
        <f t="shared" si="1"/>
        <v>21700</v>
      </c>
      <c r="R13" s="336"/>
      <c r="S13" s="336"/>
      <c r="T13" s="336"/>
      <c r="U13" s="610">
        <f>+'Split Debt Service'!G10</f>
        <v>20760</v>
      </c>
      <c r="V13" s="610">
        <f>+'Split Debt Service'!H10</f>
        <v>20849</v>
      </c>
      <c r="W13" s="610">
        <f>+'Split Debt Service'!I10</f>
        <v>21270</v>
      </c>
      <c r="X13" s="610">
        <f>+'Split Debt Service'!J10</f>
        <v>21700</v>
      </c>
      <c r="Y13" s="610">
        <f>+'Split Debt Service'!K10</f>
        <v>22138</v>
      </c>
      <c r="Z13" s="610">
        <f>+'Split Debt Service'!L10</f>
        <v>22586</v>
      </c>
      <c r="AA13" s="610">
        <f>+'Split Debt Service'!M10</f>
        <v>23042</v>
      </c>
      <c r="AB13" s="610">
        <f>+'Split Debt Service'!N10</f>
        <v>0</v>
      </c>
      <c r="AC13" s="610">
        <f>+'Split Debt Service'!O10</f>
        <v>0</v>
      </c>
      <c r="AD13" s="610">
        <f>+'Split Debt Service'!P10</f>
        <v>0</v>
      </c>
      <c r="AE13" s="610">
        <f>+'Split Debt Service'!Q10</f>
        <v>0</v>
      </c>
      <c r="AF13" s="610">
        <f>+'Split Debt Service'!R10</f>
        <v>0</v>
      </c>
      <c r="AG13" s="610">
        <f>+'Split Debt Service'!S10</f>
        <v>0</v>
      </c>
      <c r="AH13" s="610">
        <f>+'Split Debt Service'!T10</f>
        <v>0</v>
      </c>
      <c r="AI13" s="610">
        <f>+'Split Debt Service'!U10</f>
        <v>0</v>
      </c>
      <c r="AJ13" s="610">
        <f>+'Split Debt Service'!V10</f>
        <v>0</v>
      </c>
      <c r="AK13" s="610">
        <f>+'Split Debt Service'!W10</f>
        <v>0</v>
      </c>
      <c r="AL13" s="610">
        <f>+'Split Debt Service'!X10</f>
        <v>0</v>
      </c>
      <c r="AM13" s="610">
        <f>+'Split Debt Service'!Y10</f>
        <v>0</v>
      </c>
      <c r="AN13" s="610">
        <f>+'Split Debt Service'!Z10</f>
        <v>0</v>
      </c>
      <c r="AO13" s="610">
        <f>+'Split Debt Service'!AA10</f>
        <v>0</v>
      </c>
      <c r="AP13" s="610">
        <f>+'Split Debt Service'!AB10</f>
        <v>0</v>
      </c>
      <c r="AQ13" s="610">
        <f>+'Split Debt Service'!AC10</f>
        <v>0</v>
      </c>
      <c r="AR13" s="610">
        <f>+'Split Debt Service'!AD10</f>
        <v>0</v>
      </c>
      <c r="AS13" s="610">
        <f>+'Split Debt Service'!AE10</f>
        <v>0</v>
      </c>
      <c r="AT13" s="610">
        <f>+'Split Debt Service'!AF10</f>
        <v>0</v>
      </c>
      <c r="AU13" s="610">
        <f>+'Split Debt Service'!AG10</f>
        <v>0</v>
      </c>
      <c r="AV13" s="610">
        <f>+'Split Debt Service'!AH10</f>
        <v>0</v>
      </c>
      <c r="AW13" s="610">
        <f>+'Split Debt Service'!AI10</f>
        <v>0</v>
      </c>
      <c r="AX13" s="610">
        <f>+'Split Debt Service'!AJ10</f>
        <v>0</v>
      </c>
      <c r="AY13" s="923"/>
    </row>
    <row r="14" spans="1:51" s="335" customFormat="1" x14ac:dyDescent="0.2">
      <c r="A14" s="806">
        <v>5931</v>
      </c>
      <c r="B14" s="613" t="s">
        <v>1539</v>
      </c>
      <c r="C14" s="673">
        <v>19384.8</v>
      </c>
      <c r="D14" s="671">
        <v>19858.400000000001</v>
      </c>
      <c r="E14" s="671">
        <v>20343.599999999999</v>
      </c>
      <c r="F14" s="671">
        <v>20840.8</v>
      </c>
      <c r="G14" s="671">
        <v>21350</v>
      </c>
      <c r="H14" s="671">
        <v>21871.599999999999</v>
      </c>
      <c r="I14" s="671">
        <v>22406.400000000001</v>
      </c>
      <c r="J14" s="671">
        <v>22953.599999999999</v>
      </c>
      <c r="K14" s="610">
        <v>23514</v>
      </c>
      <c r="L14" s="671">
        <v>23514</v>
      </c>
      <c r="M14" s="610">
        <v>24089</v>
      </c>
      <c r="N14" s="671">
        <v>24089.200000000001</v>
      </c>
      <c r="O14" s="610">
        <v>24678</v>
      </c>
      <c r="P14" s="671">
        <v>24677.599999999999</v>
      </c>
      <c r="Q14" s="336">
        <f t="shared" si="1"/>
        <v>25281</v>
      </c>
      <c r="R14" s="336"/>
      <c r="S14" s="336"/>
      <c r="T14" s="336"/>
      <c r="U14" s="610">
        <f>+'Split Debt Service'!G11</f>
        <v>23514</v>
      </c>
      <c r="V14" s="610">
        <f>+'Split Debt Service'!H11</f>
        <v>24089</v>
      </c>
      <c r="W14" s="610">
        <f>+'Split Debt Service'!I11</f>
        <v>24678</v>
      </c>
      <c r="X14" s="610">
        <f>+'Split Debt Service'!J11</f>
        <v>25281</v>
      </c>
      <c r="Y14" s="610">
        <f>+'Split Debt Service'!K11</f>
        <v>25898</v>
      </c>
      <c r="Z14" s="610">
        <f>+'Split Debt Service'!L11</f>
        <v>26531</v>
      </c>
      <c r="AA14" s="610">
        <f>+'Split Debt Service'!M11</f>
        <v>27180</v>
      </c>
      <c r="AB14" s="610">
        <f>+'Split Debt Service'!N11</f>
        <v>27844</v>
      </c>
      <c r="AC14" s="610">
        <f>+'Split Debt Service'!O11</f>
        <v>28524</v>
      </c>
      <c r="AD14" s="610">
        <f>+'Split Debt Service'!P11</f>
        <v>29221</v>
      </c>
      <c r="AE14" s="610">
        <f>+'Split Debt Service'!Q11</f>
        <v>29935</v>
      </c>
      <c r="AF14" s="610">
        <f>+'Split Debt Service'!R11</f>
        <v>30667</v>
      </c>
      <c r="AG14" s="610">
        <f>+'Split Debt Service'!S11</f>
        <v>31416</v>
      </c>
      <c r="AH14" s="610">
        <f>+'Split Debt Service'!T11</f>
        <v>32184</v>
      </c>
      <c r="AI14" s="610">
        <f>+'Split Debt Service'!U11</f>
        <v>32970</v>
      </c>
      <c r="AJ14" s="610">
        <f>+'Split Debt Service'!V11</f>
        <v>33776</v>
      </c>
      <c r="AK14" s="610">
        <f>+'Split Debt Service'!W11</f>
        <v>34601</v>
      </c>
      <c r="AL14" s="610">
        <f>+'Split Debt Service'!X11</f>
        <v>35446</v>
      </c>
      <c r="AM14" s="610">
        <f>+'Split Debt Service'!Y11</f>
        <v>0</v>
      </c>
      <c r="AN14" s="610">
        <f>+'Split Debt Service'!Z11</f>
        <v>0</v>
      </c>
      <c r="AO14" s="610">
        <f>+'Split Debt Service'!AA11</f>
        <v>0</v>
      </c>
      <c r="AP14" s="610">
        <f>+'Split Debt Service'!AB11</f>
        <v>0</v>
      </c>
      <c r="AQ14" s="610">
        <f>+'Split Debt Service'!AC11</f>
        <v>0</v>
      </c>
      <c r="AR14" s="610">
        <f>+'Split Debt Service'!AD11</f>
        <v>0</v>
      </c>
      <c r="AS14" s="610">
        <f>+'Split Debt Service'!AE11</f>
        <v>0</v>
      </c>
      <c r="AT14" s="610">
        <f>+'Split Debt Service'!AF11</f>
        <v>0</v>
      </c>
      <c r="AU14" s="610">
        <f>+'Split Debt Service'!AG11</f>
        <v>0</v>
      </c>
      <c r="AV14" s="610">
        <f>+'Split Debt Service'!AH11</f>
        <v>0</v>
      </c>
      <c r="AW14" s="610">
        <f>+'Split Debt Service'!AI11</f>
        <v>0</v>
      </c>
      <c r="AX14" s="610">
        <f>+'Split Debt Service'!AJ11</f>
        <v>0</v>
      </c>
      <c r="AY14" s="923"/>
    </row>
    <row r="15" spans="1:51" s="335" customFormat="1" x14ac:dyDescent="0.2">
      <c r="A15" s="806">
        <v>5932</v>
      </c>
      <c r="B15" s="613" t="s">
        <v>1540</v>
      </c>
      <c r="C15" s="673">
        <v>5429.18</v>
      </c>
      <c r="D15" s="671">
        <v>5429.18</v>
      </c>
      <c r="E15" s="671">
        <v>5666.7</v>
      </c>
      <c r="F15" s="671">
        <v>5914.62</v>
      </c>
      <c r="G15" s="671">
        <v>6173.39</v>
      </c>
      <c r="H15" s="671">
        <v>6443.47</v>
      </c>
      <c r="I15" s="671">
        <v>6725.38</v>
      </c>
      <c r="J15" s="671">
        <v>7019.61</v>
      </c>
      <c r="K15" s="610">
        <v>8000</v>
      </c>
      <c r="L15" s="671">
        <v>8000</v>
      </c>
      <c r="M15" s="610">
        <v>8000</v>
      </c>
      <c r="N15" s="671">
        <v>8000</v>
      </c>
      <c r="O15" s="610">
        <v>8000</v>
      </c>
      <c r="P15" s="671"/>
      <c r="Q15" s="336">
        <f t="shared" si="1"/>
        <v>10000</v>
      </c>
      <c r="R15" s="336"/>
      <c r="S15" s="336"/>
      <c r="T15" s="336"/>
      <c r="U15" s="610">
        <f>+'Split Debt Service'!G12</f>
        <v>8000</v>
      </c>
      <c r="V15" s="610">
        <f>+'Split Debt Service'!H12</f>
        <v>8000</v>
      </c>
      <c r="W15" s="610">
        <f>+'Split Debt Service'!I12</f>
        <v>8000</v>
      </c>
      <c r="X15" s="610">
        <f>+'Split Debt Service'!J12</f>
        <v>10000</v>
      </c>
      <c r="Y15" s="610">
        <f>+'Split Debt Service'!K12</f>
        <v>10000</v>
      </c>
      <c r="Z15" s="610">
        <f>+'Split Debt Service'!L12</f>
        <v>10000</v>
      </c>
      <c r="AA15" s="610">
        <f>+'Split Debt Service'!M12</f>
        <v>10000</v>
      </c>
      <c r="AB15" s="610">
        <f>+'Split Debt Service'!N12</f>
        <v>12000</v>
      </c>
      <c r="AC15" s="610">
        <f>+'Split Debt Service'!O12</f>
        <v>12000</v>
      </c>
      <c r="AD15" s="610">
        <f>+'Split Debt Service'!P12</f>
        <v>12000</v>
      </c>
      <c r="AE15" s="610">
        <f>+'Split Debt Service'!Q12</f>
        <v>14000</v>
      </c>
      <c r="AF15" s="610">
        <f>+'Split Debt Service'!R12</f>
        <v>14000</v>
      </c>
      <c r="AG15" s="610">
        <f>+'Split Debt Service'!S12</f>
        <v>14000</v>
      </c>
      <c r="AH15" s="610">
        <f>+'Split Debt Service'!T12</f>
        <v>14000</v>
      </c>
      <c r="AI15" s="610">
        <f>+'Split Debt Service'!U12</f>
        <v>14000</v>
      </c>
      <c r="AJ15" s="610">
        <f>+'Split Debt Service'!V12</f>
        <v>14000</v>
      </c>
      <c r="AK15" s="610">
        <f>+'Split Debt Service'!W12</f>
        <v>14000</v>
      </c>
      <c r="AL15" s="610">
        <f>+'Split Debt Service'!X12</f>
        <v>16000</v>
      </c>
      <c r="AM15" s="610">
        <f>+'Split Debt Service'!Y12</f>
        <v>16000</v>
      </c>
      <c r="AN15" s="610">
        <f>+'Split Debt Service'!Z12</f>
        <v>16000</v>
      </c>
      <c r="AO15" s="610">
        <f>+'Split Debt Service'!AA12</f>
        <v>16000</v>
      </c>
      <c r="AP15" s="610">
        <f>+'Split Debt Service'!AB12</f>
        <v>16000</v>
      </c>
      <c r="AQ15" s="610">
        <f>+'Split Debt Service'!AC12</f>
        <v>18000</v>
      </c>
      <c r="AR15" s="610">
        <f>+'Split Debt Service'!AD12</f>
        <v>18000</v>
      </c>
      <c r="AS15" s="610">
        <f>+'Split Debt Service'!AE12</f>
        <v>18000</v>
      </c>
      <c r="AT15" s="610">
        <f>+'Split Debt Service'!AF12</f>
        <v>0</v>
      </c>
      <c r="AU15" s="610">
        <f>+'Split Debt Service'!AG12</f>
        <v>0</v>
      </c>
      <c r="AV15" s="610">
        <f>+'Split Debt Service'!AH12</f>
        <v>0</v>
      </c>
      <c r="AW15" s="610">
        <f>+'Split Debt Service'!AI12</f>
        <v>0</v>
      </c>
      <c r="AX15" s="610">
        <f>+'Split Debt Service'!AJ12</f>
        <v>0</v>
      </c>
      <c r="AY15" s="923"/>
    </row>
    <row r="16" spans="1:51" s="335" customFormat="1" x14ac:dyDescent="0.2">
      <c r="A16" s="806">
        <v>5933</v>
      </c>
      <c r="B16" s="613" t="s">
        <v>1541</v>
      </c>
      <c r="C16" s="674">
        <v>4812.8</v>
      </c>
      <c r="D16" s="671">
        <v>5011.82</v>
      </c>
      <c r="E16" s="671">
        <v>5218.25</v>
      </c>
      <c r="F16" s="671">
        <v>5433.51</v>
      </c>
      <c r="G16" s="671">
        <v>5657.64</v>
      </c>
      <c r="H16" s="671">
        <v>5891.03</v>
      </c>
      <c r="I16" s="671">
        <v>6134.02</v>
      </c>
      <c r="J16" s="671">
        <v>6387.05</v>
      </c>
      <c r="K16" s="610">
        <v>6651</v>
      </c>
      <c r="L16" s="671">
        <v>6650.52</v>
      </c>
      <c r="M16" s="610">
        <v>6925</v>
      </c>
      <c r="N16" s="671">
        <v>6924.85</v>
      </c>
      <c r="O16" s="610">
        <v>7211</v>
      </c>
      <c r="P16" s="671">
        <v>7210.5</v>
      </c>
      <c r="Q16" s="336">
        <f t="shared" si="1"/>
        <v>7508</v>
      </c>
      <c r="R16" s="336"/>
      <c r="S16" s="336"/>
      <c r="T16" s="336"/>
      <c r="U16" s="610">
        <f>+'Split Debt Service'!G13</f>
        <v>6651</v>
      </c>
      <c r="V16" s="610">
        <f>+'Split Debt Service'!H13</f>
        <v>6925</v>
      </c>
      <c r="W16" s="610">
        <f>+'Split Debt Service'!I13</f>
        <v>7211</v>
      </c>
      <c r="X16" s="610">
        <f>+'Split Debt Service'!J13</f>
        <v>7508</v>
      </c>
      <c r="Y16" s="610">
        <f>+'Split Debt Service'!K13</f>
        <v>7818</v>
      </c>
      <c r="Z16" s="610">
        <f>+'Split Debt Service'!L13</f>
        <v>8140</v>
      </c>
      <c r="AA16" s="610">
        <f>+'Split Debt Service'!M13</f>
        <v>8476</v>
      </c>
      <c r="AB16" s="610">
        <f>+'Split Debt Service'!N13</f>
        <v>8826</v>
      </c>
      <c r="AC16" s="610">
        <f>+'Split Debt Service'!O13</f>
        <v>9190</v>
      </c>
      <c r="AD16" s="610">
        <f>+'Split Debt Service'!P13</f>
        <v>9569</v>
      </c>
      <c r="AE16" s="610">
        <f>+'Split Debt Service'!Q13</f>
        <v>9964</v>
      </c>
      <c r="AF16" s="610">
        <f>+'Split Debt Service'!R13</f>
        <v>10374</v>
      </c>
      <c r="AG16" s="610">
        <f>+'Split Debt Service'!S13</f>
        <v>10802</v>
      </c>
      <c r="AH16" s="610">
        <f>+'Split Debt Service'!T13</f>
        <v>11248</v>
      </c>
      <c r="AI16" s="610">
        <f>+'Split Debt Service'!U13</f>
        <v>11712</v>
      </c>
      <c r="AJ16" s="610">
        <f>+'Split Debt Service'!V13</f>
        <v>12195</v>
      </c>
      <c r="AK16" s="610">
        <f>+'Split Debt Service'!W13</f>
        <v>12698</v>
      </c>
      <c r="AL16" s="610">
        <f>+'Split Debt Service'!X13</f>
        <v>13222</v>
      </c>
      <c r="AM16" s="610">
        <f>+'Split Debt Service'!Y13</f>
        <v>13767</v>
      </c>
      <c r="AN16" s="610">
        <f>+'Split Debt Service'!Z13</f>
        <v>14335</v>
      </c>
      <c r="AO16" s="610">
        <f>+'Split Debt Service'!AA13</f>
        <v>14927</v>
      </c>
      <c r="AP16" s="610">
        <f>+'Split Debt Service'!AB13</f>
        <v>15542</v>
      </c>
      <c r="AQ16" s="610">
        <f>+'Split Debt Service'!AC13</f>
        <v>16184</v>
      </c>
      <c r="AR16" s="610">
        <f>+'Split Debt Service'!AD13</f>
        <v>16851</v>
      </c>
      <c r="AS16" s="610">
        <f>+'Split Debt Service'!AE13</f>
        <v>17546</v>
      </c>
      <c r="AT16" s="610">
        <f>+'Split Debt Service'!AF13</f>
        <v>18270</v>
      </c>
      <c r="AU16" s="610">
        <f>+'Split Debt Service'!AG13</f>
        <v>19024</v>
      </c>
      <c r="AV16" s="610">
        <f>+'Split Debt Service'!AH13</f>
        <v>19685</v>
      </c>
      <c r="AW16" s="610">
        <f>+'Split Debt Service'!AI13</f>
        <v>0</v>
      </c>
      <c r="AX16" s="610">
        <f>+'Split Debt Service'!AJ13</f>
        <v>0</v>
      </c>
      <c r="AY16" s="923"/>
    </row>
    <row r="17" spans="1:52" x14ac:dyDescent="0.2">
      <c r="A17" s="779">
        <v>5934</v>
      </c>
      <c r="B17" s="60" t="s">
        <v>1542</v>
      </c>
      <c r="C17" s="228">
        <v>5000</v>
      </c>
      <c r="D17" s="35">
        <v>5000</v>
      </c>
      <c r="E17" s="35">
        <v>5000</v>
      </c>
      <c r="F17" s="35">
        <v>5000</v>
      </c>
      <c r="G17" s="35">
        <v>5000</v>
      </c>
      <c r="H17" s="35">
        <v>5000</v>
      </c>
      <c r="I17" s="218">
        <v>5000</v>
      </c>
      <c r="J17" s="218">
        <v>5000</v>
      </c>
      <c r="K17" s="36">
        <v>3553</v>
      </c>
      <c r="L17" s="218">
        <v>3552.5</v>
      </c>
      <c r="M17" s="36">
        <v>3770</v>
      </c>
      <c r="N17" s="35">
        <v>3770</v>
      </c>
      <c r="O17" s="36">
        <v>3915</v>
      </c>
      <c r="P17" s="35"/>
      <c r="Q17" s="36">
        <f t="shared" si="1"/>
        <v>4133</v>
      </c>
      <c r="R17" s="36"/>
      <c r="S17" s="36"/>
      <c r="T17" s="36"/>
      <c r="U17" s="36">
        <v>3553</v>
      </c>
      <c r="V17" s="36">
        <v>3770</v>
      </c>
      <c r="W17" s="36">
        <v>3915</v>
      </c>
      <c r="X17" s="36">
        <v>4133</v>
      </c>
      <c r="Y17" s="36">
        <v>4350</v>
      </c>
      <c r="Z17" s="36">
        <v>4568</v>
      </c>
      <c r="AA17" s="36">
        <v>4785</v>
      </c>
      <c r="AB17" s="36">
        <v>5075</v>
      </c>
      <c r="AC17" s="36"/>
      <c r="AD17" s="36"/>
      <c r="AE17" s="36"/>
      <c r="AF17" s="36"/>
      <c r="AG17" s="36"/>
      <c r="AH17" s="36"/>
      <c r="AI17" s="36"/>
      <c r="AJ17" s="36"/>
      <c r="AK17" s="36"/>
      <c r="AL17" s="36"/>
      <c r="AM17" s="36"/>
      <c r="AN17" s="36"/>
      <c r="AO17" s="36"/>
      <c r="AP17" s="36"/>
      <c r="AQ17" s="36"/>
      <c r="AR17" s="36"/>
      <c r="AS17" s="36"/>
      <c r="AT17" s="36"/>
      <c r="AU17" s="36"/>
      <c r="AV17" s="36"/>
      <c r="AW17" s="36"/>
      <c r="AX17" s="36"/>
    </row>
    <row r="18" spans="1:52" hidden="1" x14ac:dyDescent="0.2">
      <c r="A18" s="779">
        <v>5935</v>
      </c>
      <c r="B18" s="60" t="s">
        <v>1543</v>
      </c>
      <c r="C18" s="228"/>
      <c r="D18" s="35">
        <v>3652.65</v>
      </c>
      <c r="E18" s="35"/>
      <c r="F18" s="35"/>
      <c r="G18" s="35"/>
      <c r="H18" s="35"/>
      <c r="I18" s="218"/>
      <c r="J18" s="218"/>
      <c r="K18" s="36"/>
      <c r="L18" s="218"/>
      <c r="M18" s="36"/>
      <c r="N18" s="35"/>
      <c r="O18" s="36"/>
      <c r="P18" s="35"/>
      <c r="Q18" s="36">
        <f t="shared" si="1"/>
        <v>0</v>
      </c>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row>
    <row r="19" spans="1:52" x14ac:dyDescent="0.2">
      <c r="A19" s="779">
        <v>5936</v>
      </c>
      <c r="B19" s="12" t="s">
        <v>1544</v>
      </c>
      <c r="C19" s="35"/>
      <c r="D19" s="35">
        <v>5089.1400000000003</v>
      </c>
      <c r="E19" s="35">
        <v>5216.3599999999997</v>
      </c>
      <c r="F19" s="35">
        <v>5346.77</v>
      </c>
      <c r="G19" s="35">
        <v>5480.44</v>
      </c>
      <c r="H19" s="35">
        <v>5617.47</v>
      </c>
      <c r="I19" s="218">
        <v>5757.9</v>
      </c>
      <c r="J19" s="218">
        <v>5901.85</v>
      </c>
      <c r="K19" s="36">
        <v>6050</v>
      </c>
      <c r="L19" s="218">
        <v>6049.38</v>
      </c>
      <c r="M19" s="36">
        <v>6201</v>
      </c>
      <c r="N19" s="35">
        <v>6200.62</v>
      </c>
      <c r="O19" s="36">
        <v>6356</v>
      </c>
      <c r="P19" s="35">
        <v>1574.3</v>
      </c>
      <c r="Q19" s="1082"/>
      <c r="R19" s="36"/>
      <c r="S19" s="36"/>
      <c r="T19" s="36"/>
      <c r="U19" s="36">
        <v>6050</v>
      </c>
      <c r="V19" s="36">
        <v>6201</v>
      </c>
      <c r="W19" s="36">
        <v>6356</v>
      </c>
      <c r="X19" s="36">
        <v>6515</v>
      </c>
      <c r="Y19" s="36">
        <v>6678</v>
      </c>
      <c r="Z19" s="36">
        <v>6845</v>
      </c>
      <c r="AA19" s="36">
        <v>7016</v>
      </c>
      <c r="AB19" s="36">
        <v>7191</v>
      </c>
      <c r="AC19" s="36">
        <v>7371</v>
      </c>
      <c r="AD19" s="36">
        <v>7555</v>
      </c>
      <c r="AE19" s="36">
        <v>7744</v>
      </c>
      <c r="AF19" s="36">
        <v>7938</v>
      </c>
      <c r="AG19" s="36">
        <v>8136</v>
      </c>
      <c r="AH19" s="36"/>
      <c r="AI19" s="36"/>
      <c r="AJ19" s="36"/>
      <c r="AK19" s="36"/>
      <c r="AL19" s="36"/>
      <c r="AM19" s="36"/>
      <c r="AN19" s="36"/>
      <c r="AO19" s="36"/>
      <c r="AP19" s="36"/>
      <c r="AQ19" s="36"/>
      <c r="AR19" s="36"/>
      <c r="AS19" s="36"/>
      <c r="AT19" s="36"/>
      <c r="AU19" s="36"/>
      <c r="AV19" s="36"/>
      <c r="AW19" s="36"/>
      <c r="AX19" s="36"/>
    </row>
    <row r="20" spans="1:52" s="335" customFormat="1" x14ac:dyDescent="0.2">
      <c r="A20" s="807">
        <v>5937</v>
      </c>
      <c r="B20" s="676" t="s">
        <v>1545</v>
      </c>
      <c r="C20" s="675"/>
      <c r="D20" s="675"/>
      <c r="E20" s="675">
        <v>8000</v>
      </c>
      <c r="F20" s="675">
        <v>5000</v>
      </c>
      <c r="G20" s="675">
        <v>5000</v>
      </c>
      <c r="H20" s="675">
        <v>5000</v>
      </c>
      <c r="I20" s="675">
        <v>5000</v>
      </c>
      <c r="J20" s="675">
        <v>5000</v>
      </c>
      <c r="K20" s="336">
        <v>5000</v>
      </c>
      <c r="L20" s="675">
        <v>5000</v>
      </c>
      <c r="M20" s="336">
        <v>5000</v>
      </c>
      <c r="N20" s="675">
        <v>5000</v>
      </c>
      <c r="O20" s="336">
        <v>5000</v>
      </c>
      <c r="P20" s="675"/>
      <c r="Q20" s="336">
        <f t="shared" si="1"/>
        <v>5000</v>
      </c>
      <c r="R20" s="336"/>
      <c r="S20" s="336"/>
      <c r="T20" s="336"/>
      <c r="U20" s="336">
        <v>5000</v>
      </c>
      <c r="V20" s="336">
        <v>5000</v>
      </c>
      <c r="W20" s="336">
        <v>5000</v>
      </c>
      <c r="X20" s="336">
        <v>5000</v>
      </c>
      <c r="Y20" s="336">
        <v>5000</v>
      </c>
      <c r="Z20" s="336">
        <v>5000</v>
      </c>
      <c r="AA20" s="336">
        <v>5000</v>
      </c>
      <c r="AB20" s="336">
        <v>5000</v>
      </c>
      <c r="AC20" s="336">
        <v>5000</v>
      </c>
      <c r="AD20" s="336">
        <v>5000</v>
      </c>
      <c r="AE20" s="336">
        <v>5000</v>
      </c>
      <c r="AF20" s="336">
        <v>5000</v>
      </c>
      <c r="AG20" s="336">
        <v>5000</v>
      </c>
      <c r="AH20" s="336">
        <v>5000</v>
      </c>
      <c r="AI20" s="336"/>
      <c r="AJ20" s="336"/>
      <c r="AK20" s="336"/>
      <c r="AL20" s="336"/>
      <c r="AM20" s="336"/>
      <c r="AN20" s="336"/>
      <c r="AO20" s="336"/>
      <c r="AP20" s="336"/>
      <c r="AQ20" s="336"/>
      <c r="AR20" s="336"/>
      <c r="AS20" s="336"/>
      <c r="AT20" s="336"/>
      <c r="AU20" s="336"/>
      <c r="AV20" s="336"/>
      <c r="AW20" s="336"/>
      <c r="AX20" s="336"/>
      <c r="AY20" s="923"/>
    </row>
    <row r="21" spans="1:52" hidden="1" x14ac:dyDescent="0.2">
      <c r="A21" s="796">
        <v>5938</v>
      </c>
      <c r="B21" s="12" t="s">
        <v>1546</v>
      </c>
      <c r="C21" s="35"/>
      <c r="D21" s="35"/>
      <c r="E21" s="35">
        <v>10000</v>
      </c>
      <c r="F21" s="35">
        <v>10000</v>
      </c>
      <c r="G21" s="35">
        <v>10000</v>
      </c>
      <c r="H21" s="35">
        <v>10000</v>
      </c>
      <c r="I21" s="35">
        <v>10000</v>
      </c>
      <c r="J21" s="35">
        <v>10000</v>
      </c>
      <c r="K21" s="36">
        <v>10000</v>
      </c>
      <c r="L21" s="35">
        <v>10000</v>
      </c>
      <c r="M21" s="36"/>
      <c r="N21" s="35"/>
      <c r="O21" s="36"/>
      <c r="P21" s="35"/>
      <c r="Q21" s="36">
        <f t="shared" si="1"/>
        <v>0</v>
      </c>
      <c r="R21" s="36"/>
      <c r="S21" s="36"/>
      <c r="T21" s="36"/>
      <c r="U21" s="36">
        <v>10000</v>
      </c>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row>
    <row r="22" spans="1:52" hidden="1" x14ac:dyDescent="0.2">
      <c r="A22" s="796">
        <v>5939</v>
      </c>
      <c r="B22" s="12" t="s">
        <v>1547</v>
      </c>
      <c r="C22" s="35"/>
      <c r="D22" s="35"/>
      <c r="E22" s="35">
        <v>8720.9</v>
      </c>
      <c r="F22" s="35">
        <v>10000</v>
      </c>
      <c r="G22" s="35">
        <v>10000</v>
      </c>
      <c r="H22" s="35">
        <v>10000</v>
      </c>
      <c r="I22" s="35">
        <v>10000</v>
      </c>
      <c r="J22" s="35">
        <v>10000</v>
      </c>
      <c r="K22" s="36">
        <v>10000</v>
      </c>
      <c r="L22" s="35">
        <v>10000</v>
      </c>
      <c r="M22" s="36"/>
      <c r="N22" s="35"/>
      <c r="O22" s="36"/>
      <c r="P22" s="35"/>
      <c r="Q22" s="36">
        <f t="shared" si="1"/>
        <v>0</v>
      </c>
      <c r="R22" s="36"/>
      <c r="S22" s="36"/>
      <c r="T22" s="36"/>
      <c r="U22" s="36">
        <v>10000</v>
      </c>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row>
    <row r="23" spans="1:52" x14ac:dyDescent="0.2">
      <c r="A23" s="796">
        <v>5944</v>
      </c>
      <c r="B23" s="12" t="s">
        <v>1548</v>
      </c>
      <c r="C23" s="35"/>
      <c r="D23" s="35"/>
      <c r="E23" s="35"/>
      <c r="F23" s="35"/>
      <c r="G23" s="35"/>
      <c r="H23" s="35"/>
      <c r="I23" s="35">
        <v>0</v>
      </c>
      <c r="J23" s="35">
        <v>4000</v>
      </c>
      <c r="K23" s="36">
        <v>6000</v>
      </c>
      <c r="L23" s="218">
        <v>6000</v>
      </c>
      <c r="M23" s="36">
        <v>6000</v>
      </c>
      <c r="N23" s="35">
        <v>6000</v>
      </c>
      <c r="O23" s="36">
        <v>6000</v>
      </c>
      <c r="P23" s="35">
        <v>6000</v>
      </c>
      <c r="Q23" s="36">
        <f t="shared" si="1"/>
        <v>7000</v>
      </c>
      <c r="R23" s="36"/>
      <c r="S23" s="36"/>
      <c r="T23" s="36"/>
      <c r="U23" s="36">
        <v>6000</v>
      </c>
      <c r="V23" s="36">
        <v>6000</v>
      </c>
      <c r="W23" s="36">
        <v>6000</v>
      </c>
      <c r="X23" s="36">
        <v>7000</v>
      </c>
      <c r="Y23" s="36">
        <v>7000</v>
      </c>
      <c r="Z23" s="36">
        <v>7000</v>
      </c>
      <c r="AA23" s="36">
        <v>8000</v>
      </c>
      <c r="AB23" s="36">
        <v>8000</v>
      </c>
      <c r="AC23" s="36">
        <v>8000</v>
      </c>
      <c r="AD23" s="36">
        <v>8000</v>
      </c>
      <c r="AE23" s="36">
        <v>9000</v>
      </c>
      <c r="AF23" s="36"/>
      <c r="AG23" s="36"/>
      <c r="AH23" s="36"/>
      <c r="AI23" s="36"/>
      <c r="AJ23" s="36"/>
      <c r="AK23" s="36"/>
      <c r="AL23" s="36"/>
      <c r="AM23" s="36"/>
      <c r="AN23" s="36"/>
      <c r="AO23" s="36"/>
      <c r="AP23" s="36"/>
      <c r="AQ23" s="36"/>
      <c r="AR23" s="36"/>
      <c r="AS23" s="36"/>
      <c r="AT23" s="36"/>
      <c r="AU23" s="36"/>
      <c r="AV23" s="36"/>
      <c r="AW23" s="36"/>
      <c r="AX23" s="36"/>
    </row>
    <row r="24" spans="1:52" x14ac:dyDescent="0.2">
      <c r="A24" s="796">
        <v>5947</v>
      </c>
      <c r="B24" s="12" t="s">
        <v>1549</v>
      </c>
      <c r="C24" s="35"/>
      <c r="D24" s="35"/>
      <c r="E24" s="35"/>
      <c r="F24" s="35"/>
      <c r="G24" s="35"/>
      <c r="H24" s="35">
        <v>3679</v>
      </c>
      <c r="I24" s="35">
        <v>0</v>
      </c>
      <c r="J24" s="35">
        <v>4000</v>
      </c>
      <c r="K24" s="36">
        <v>5000</v>
      </c>
      <c r="L24" s="218">
        <v>5000</v>
      </c>
      <c r="M24" s="36">
        <v>5000</v>
      </c>
      <c r="N24" s="35">
        <v>5000</v>
      </c>
      <c r="O24" s="36">
        <v>6000</v>
      </c>
      <c r="P24" s="35">
        <v>6000</v>
      </c>
      <c r="Q24" s="36">
        <f t="shared" si="1"/>
        <v>6000</v>
      </c>
      <c r="R24" s="36"/>
      <c r="S24" s="36"/>
      <c r="T24" s="36"/>
      <c r="U24" s="36">
        <v>5000</v>
      </c>
      <c r="V24" s="36">
        <v>5000</v>
      </c>
      <c r="W24" s="36">
        <v>6000</v>
      </c>
      <c r="X24" s="36">
        <v>6000</v>
      </c>
      <c r="Y24" s="36">
        <v>6000</v>
      </c>
      <c r="Z24" s="36">
        <v>6000</v>
      </c>
      <c r="AA24" s="36">
        <v>6000</v>
      </c>
      <c r="AB24" s="36">
        <v>7000</v>
      </c>
      <c r="AC24" s="36">
        <v>7000</v>
      </c>
      <c r="AD24" s="36">
        <v>7000</v>
      </c>
      <c r="AE24" s="36">
        <v>7000</v>
      </c>
      <c r="AF24" s="36"/>
      <c r="AG24" s="36"/>
      <c r="AH24" s="36"/>
      <c r="AI24" s="36"/>
      <c r="AJ24" s="36"/>
      <c r="AK24" s="36"/>
      <c r="AL24" s="36"/>
      <c r="AM24" s="36"/>
      <c r="AN24" s="36"/>
      <c r="AO24" s="36"/>
      <c r="AP24" s="36"/>
      <c r="AQ24" s="36"/>
      <c r="AR24" s="36"/>
      <c r="AS24" s="36"/>
      <c r="AT24" s="36"/>
      <c r="AU24" s="36"/>
      <c r="AV24" s="36"/>
      <c r="AW24" s="36"/>
      <c r="AX24" s="36"/>
    </row>
    <row r="25" spans="1:52" s="335" customFormat="1" x14ac:dyDescent="0.2">
      <c r="A25" s="807">
        <v>5948</v>
      </c>
      <c r="B25" s="677" t="s">
        <v>1550</v>
      </c>
      <c r="C25" s="675"/>
      <c r="D25" s="675"/>
      <c r="E25" s="675"/>
      <c r="F25" s="675"/>
      <c r="G25" s="675"/>
      <c r="H25" s="675"/>
      <c r="I25" s="675"/>
      <c r="J25" s="675">
        <v>13000</v>
      </c>
      <c r="K25" s="336">
        <v>21000</v>
      </c>
      <c r="L25" s="675">
        <v>21000</v>
      </c>
      <c r="M25" s="336">
        <v>22000</v>
      </c>
      <c r="N25" s="675">
        <v>22000</v>
      </c>
      <c r="O25" s="336">
        <v>23000</v>
      </c>
      <c r="P25" s="675">
        <v>23000</v>
      </c>
      <c r="Q25" s="336">
        <f t="shared" si="1"/>
        <v>24000</v>
      </c>
      <c r="R25" s="336"/>
      <c r="S25" s="336"/>
      <c r="T25" s="336"/>
      <c r="U25" s="336">
        <v>21000</v>
      </c>
      <c r="V25" s="336">
        <v>22000</v>
      </c>
      <c r="W25" s="336">
        <v>23000</v>
      </c>
      <c r="X25" s="336">
        <v>24000</v>
      </c>
      <c r="Y25" s="336">
        <v>25000</v>
      </c>
      <c r="Z25" s="336">
        <v>26000</v>
      </c>
      <c r="AA25" s="336">
        <v>27000</v>
      </c>
      <c r="AB25" s="336">
        <v>28000</v>
      </c>
      <c r="AC25" s="336">
        <v>29000</v>
      </c>
      <c r="AD25" s="336">
        <v>30000</v>
      </c>
      <c r="AE25" s="336">
        <v>30000</v>
      </c>
      <c r="AF25" s="336">
        <v>31000</v>
      </c>
      <c r="AG25" s="336">
        <v>32000</v>
      </c>
      <c r="AH25" s="336">
        <v>33000</v>
      </c>
      <c r="AI25" s="336">
        <v>34000</v>
      </c>
      <c r="AJ25" s="336">
        <v>36000</v>
      </c>
      <c r="AK25" s="336">
        <v>37000</v>
      </c>
      <c r="AL25" s="336">
        <v>38000</v>
      </c>
      <c r="AM25" s="336">
        <v>40000</v>
      </c>
      <c r="AN25" s="336"/>
      <c r="AO25" s="336"/>
      <c r="AP25" s="336"/>
      <c r="AQ25" s="336"/>
      <c r="AR25" s="336"/>
      <c r="AS25" s="336"/>
      <c r="AT25" s="336"/>
      <c r="AU25" s="336"/>
      <c r="AV25" s="336"/>
      <c r="AW25" s="336"/>
      <c r="AX25" s="336"/>
      <c r="AY25" s="923"/>
    </row>
    <row r="26" spans="1:52" s="335" customFormat="1" x14ac:dyDescent="0.2">
      <c r="A26" s="807">
        <v>5949</v>
      </c>
      <c r="B26" s="677" t="s">
        <v>1551</v>
      </c>
      <c r="C26" s="675"/>
      <c r="D26" s="675"/>
      <c r="E26" s="675"/>
      <c r="F26" s="675"/>
      <c r="G26" s="675"/>
      <c r="H26" s="675"/>
      <c r="I26" s="675"/>
      <c r="J26" s="675">
        <v>35000</v>
      </c>
      <c r="K26" s="336">
        <v>64000</v>
      </c>
      <c r="L26" s="675">
        <v>64000</v>
      </c>
      <c r="M26" s="336">
        <v>72000</v>
      </c>
      <c r="N26" s="675">
        <v>72000</v>
      </c>
      <c r="O26" s="336">
        <v>72000</v>
      </c>
      <c r="P26" s="675">
        <v>72000</v>
      </c>
      <c r="Q26" s="336">
        <f t="shared" si="1"/>
        <v>78000</v>
      </c>
      <c r="R26" s="336"/>
      <c r="S26" s="336"/>
      <c r="T26" s="336"/>
      <c r="U26" s="336">
        <v>64000</v>
      </c>
      <c r="V26" s="336">
        <v>72000</v>
      </c>
      <c r="W26" s="336">
        <v>72000</v>
      </c>
      <c r="X26" s="336">
        <v>78000</v>
      </c>
      <c r="Y26" s="336">
        <v>82000</v>
      </c>
      <c r="Z26" s="336">
        <v>84000</v>
      </c>
      <c r="AA26" s="336">
        <v>86000</v>
      </c>
      <c r="AB26" s="336">
        <v>86000</v>
      </c>
      <c r="AC26" s="336">
        <v>93000</v>
      </c>
      <c r="AD26" s="336">
        <v>95000</v>
      </c>
      <c r="AE26" s="336">
        <v>97000</v>
      </c>
      <c r="AF26" s="336">
        <v>101000</v>
      </c>
      <c r="AG26" s="336">
        <v>104000</v>
      </c>
      <c r="AH26" s="336">
        <v>105000</v>
      </c>
      <c r="AI26" s="336">
        <v>108000</v>
      </c>
      <c r="AJ26" s="336">
        <v>114000</v>
      </c>
      <c r="AK26" s="336">
        <v>115000</v>
      </c>
      <c r="AL26" s="336">
        <v>118000</v>
      </c>
      <c r="AM26" s="336">
        <v>123000</v>
      </c>
      <c r="AN26" s="336">
        <v>126000</v>
      </c>
      <c r="AO26" s="336">
        <v>129000</v>
      </c>
      <c r="AP26" s="336">
        <v>134000</v>
      </c>
      <c r="AQ26" s="336">
        <v>137000</v>
      </c>
      <c r="AR26" s="336">
        <v>145000</v>
      </c>
      <c r="AS26" s="336"/>
      <c r="AT26" s="336"/>
      <c r="AU26" s="336"/>
      <c r="AV26" s="336"/>
      <c r="AW26" s="336"/>
      <c r="AX26" s="336"/>
      <c r="AY26" s="923"/>
    </row>
    <row r="27" spans="1:52" s="335" customFormat="1" x14ac:dyDescent="0.2">
      <c r="A27" s="807">
        <v>5950</v>
      </c>
      <c r="B27" s="677" t="s">
        <v>1552</v>
      </c>
      <c r="C27" s="675"/>
      <c r="D27" s="675"/>
      <c r="E27" s="675"/>
      <c r="F27" s="675"/>
      <c r="G27" s="675"/>
      <c r="H27" s="675"/>
      <c r="I27" s="675"/>
      <c r="J27" s="675"/>
      <c r="K27" s="336">
        <v>135000</v>
      </c>
      <c r="L27" s="675">
        <v>135000</v>
      </c>
      <c r="M27" s="336">
        <v>145000</v>
      </c>
      <c r="N27" s="675">
        <v>145000</v>
      </c>
      <c r="O27" s="336">
        <v>155000</v>
      </c>
      <c r="P27" s="675"/>
      <c r="Q27" s="336">
        <f t="shared" si="1"/>
        <v>160000</v>
      </c>
      <c r="R27" s="336"/>
      <c r="S27" s="336"/>
      <c r="T27" s="336"/>
      <c r="U27" s="336">
        <v>135000</v>
      </c>
      <c r="V27" s="336">
        <v>145000</v>
      </c>
      <c r="W27" s="336">
        <v>155000</v>
      </c>
      <c r="X27" s="336">
        <v>160000</v>
      </c>
      <c r="Y27" s="336">
        <v>170000</v>
      </c>
      <c r="Z27" s="336">
        <v>180000</v>
      </c>
      <c r="AA27" s="336">
        <v>190000</v>
      </c>
      <c r="AB27" s="336">
        <v>200000</v>
      </c>
      <c r="AC27" s="336">
        <v>205000</v>
      </c>
      <c r="AD27" s="336">
        <v>220000</v>
      </c>
      <c r="AE27" s="336">
        <v>230000</v>
      </c>
      <c r="AF27" s="336">
        <v>235000</v>
      </c>
      <c r="AG27" s="336">
        <v>240000</v>
      </c>
      <c r="AH27" s="336">
        <v>245000</v>
      </c>
      <c r="AI27" s="336">
        <v>250000</v>
      </c>
      <c r="AJ27" s="336">
        <v>255000</v>
      </c>
      <c r="AK27" s="336">
        <v>260000</v>
      </c>
      <c r="AL27" s="336">
        <v>265000</v>
      </c>
      <c r="AM27" s="336">
        <v>270000</v>
      </c>
      <c r="AN27" s="336">
        <v>280000</v>
      </c>
      <c r="AO27" s="336">
        <v>285000</v>
      </c>
      <c r="AP27" s="336">
        <v>290000</v>
      </c>
      <c r="AQ27" s="336">
        <v>300000</v>
      </c>
      <c r="AR27" s="336">
        <v>305000</v>
      </c>
      <c r="AS27" s="336">
        <v>315000</v>
      </c>
      <c r="AT27" s="336"/>
      <c r="AU27" s="336"/>
      <c r="AV27" s="336"/>
      <c r="AW27" s="336"/>
      <c r="AX27" s="336"/>
      <c r="AY27" s="923"/>
    </row>
    <row r="28" spans="1:52" s="335" customFormat="1" x14ac:dyDescent="0.2">
      <c r="A28" s="807">
        <v>5951</v>
      </c>
      <c r="B28" s="677" t="s">
        <v>1553</v>
      </c>
      <c r="C28" s="675"/>
      <c r="D28" s="675"/>
      <c r="E28" s="675"/>
      <c r="F28" s="675"/>
      <c r="G28" s="675"/>
      <c r="H28" s="675"/>
      <c r="I28" s="675"/>
      <c r="J28" s="675"/>
      <c r="K28" s="336"/>
      <c r="L28" s="675"/>
      <c r="M28" s="336"/>
      <c r="N28" s="675"/>
      <c r="O28" s="336">
        <v>30000</v>
      </c>
      <c r="P28" s="675">
        <v>30000</v>
      </c>
      <c r="Q28" s="336">
        <f t="shared" si="1"/>
        <v>50000</v>
      </c>
      <c r="R28" s="336"/>
      <c r="S28" s="336"/>
      <c r="T28" s="336"/>
      <c r="U28" s="336"/>
      <c r="V28" s="336"/>
      <c r="W28" s="336">
        <v>30000</v>
      </c>
      <c r="X28" s="336">
        <v>50000</v>
      </c>
      <c r="Y28" s="336">
        <v>55000</v>
      </c>
      <c r="Z28" s="336">
        <v>60000</v>
      </c>
      <c r="AA28" s="336">
        <v>60000</v>
      </c>
      <c r="AB28" s="336">
        <v>65000</v>
      </c>
      <c r="AC28" s="336">
        <v>65000</v>
      </c>
      <c r="AD28" s="336">
        <v>70000</v>
      </c>
      <c r="AE28" s="336">
        <v>75000</v>
      </c>
      <c r="AF28" s="336">
        <v>80000</v>
      </c>
      <c r="AG28" s="336">
        <v>80000</v>
      </c>
      <c r="AH28" s="336">
        <v>80000</v>
      </c>
      <c r="AI28" s="336">
        <v>85000</v>
      </c>
      <c r="AJ28" s="336">
        <v>85000</v>
      </c>
      <c r="AK28" s="336">
        <v>85000</v>
      </c>
      <c r="AL28" s="336">
        <v>90000</v>
      </c>
      <c r="AM28" s="336">
        <v>90000</v>
      </c>
      <c r="AN28" s="336">
        <v>90000</v>
      </c>
      <c r="AO28" s="336"/>
      <c r="AP28" s="336"/>
      <c r="AQ28" s="336"/>
      <c r="AR28" s="336"/>
      <c r="AS28" s="336"/>
      <c r="AT28" s="336"/>
      <c r="AU28" s="336"/>
      <c r="AV28" s="336"/>
      <c r="AW28" s="336"/>
      <c r="AX28" s="336"/>
      <c r="AY28" s="923">
        <f>SUM(W28:AX28)</f>
        <v>1295000</v>
      </c>
    </row>
    <row r="29" spans="1:52" x14ac:dyDescent="0.2">
      <c r="A29" s="796">
        <v>5952</v>
      </c>
      <c r="B29" s="27" t="s">
        <v>1554</v>
      </c>
      <c r="C29" s="218"/>
      <c r="D29" s="218"/>
      <c r="E29" s="218"/>
      <c r="F29" s="218"/>
      <c r="G29" s="218"/>
      <c r="H29" s="218"/>
      <c r="I29" s="218"/>
      <c r="J29" s="218"/>
      <c r="K29" s="36"/>
      <c r="L29" s="218"/>
      <c r="M29" s="36"/>
      <c r="N29" s="218"/>
      <c r="O29" s="36">
        <v>13000</v>
      </c>
      <c r="P29" s="218">
        <v>13000</v>
      </c>
      <c r="Q29" s="36">
        <f t="shared" si="1"/>
        <v>18000</v>
      </c>
      <c r="R29" s="36"/>
      <c r="S29" s="36"/>
      <c r="T29" s="36"/>
      <c r="U29" s="36"/>
      <c r="V29" s="36"/>
      <c r="W29" s="36">
        <v>13000</v>
      </c>
      <c r="X29" s="36">
        <v>18000</v>
      </c>
      <c r="Y29" s="36">
        <v>19000</v>
      </c>
      <c r="Z29" s="36">
        <v>19000</v>
      </c>
      <c r="AA29" s="36">
        <v>20000</v>
      </c>
      <c r="AB29" s="36">
        <v>21000</v>
      </c>
      <c r="AC29" s="36">
        <v>22000</v>
      </c>
      <c r="AD29" s="36">
        <v>23000</v>
      </c>
      <c r="AE29" s="36">
        <v>23000</v>
      </c>
      <c r="AF29" s="36">
        <v>24000</v>
      </c>
      <c r="AG29" s="36">
        <v>24000</v>
      </c>
      <c r="AH29" s="36">
        <v>25000</v>
      </c>
      <c r="AI29" s="36">
        <v>25000</v>
      </c>
      <c r="AJ29" s="36"/>
      <c r="AK29" s="36"/>
      <c r="AL29" s="36"/>
      <c r="AM29" s="36"/>
      <c r="AN29" s="36"/>
      <c r="AO29" s="36"/>
      <c r="AP29" s="36"/>
      <c r="AQ29" s="36"/>
      <c r="AR29" s="36"/>
      <c r="AS29" s="36"/>
      <c r="AT29" s="36"/>
      <c r="AU29" s="36"/>
      <c r="AV29" s="36"/>
      <c r="AW29" s="36"/>
      <c r="AX29" s="36"/>
      <c r="AY29" s="923">
        <f>SUM(W29:AX29)</f>
        <v>276000</v>
      </c>
    </row>
    <row r="30" spans="1:52" ht="13.5" thickBot="1" x14ac:dyDescent="0.25">
      <c r="A30" s="779"/>
      <c r="B30" s="12"/>
      <c r="C30" s="15"/>
      <c r="D30" s="15"/>
      <c r="E30" s="15"/>
      <c r="F30" s="15"/>
      <c r="G30" s="15"/>
      <c r="H30" s="15"/>
      <c r="I30" s="15"/>
      <c r="J30" s="15"/>
      <c r="K30" s="16"/>
      <c r="L30" s="15"/>
      <c r="M30" s="16"/>
      <c r="N30" s="15"/>
      <c r="O30" s="16"/>
      <c r="P30" s="15"/>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row>
    <row r="31" spans="1:52" x14ac:dyDescent="0.2">
      <c r="A31" s="779"/>
      <c r="B31" s="17" t="s">
        <v>1534</v>
      </c>
      <c r="C31" s="18">
        <f>SUM(C9:C30)</f>
        <v>352041.57999999996</v>
      </c>
      <c r="D31" s="18">
        <f>SUM(D9:D30)</f>
        <v>361807.59000000008</v>
      </c>
      <c r="E31" s="18">
        <f>SUM(E9:E30)</f>
        <v>396291.01</v>
      </c>
      <c r="F31" s="18">
        <f>SUM(F10:F30)</f>
        <v>406027.3</v>
      </c>
      <c r="G31" s="18">
        <f>SUM(G10:G30)</f>
        <v>417526.67000000004</v>
      </c>
      <c r="H31" s="18">
        <f>SUM(H10:H30)</f>
        <v>407748.56999999995</v>
      </c>
      <c r="I31" s="18">
        <f>SUM(I9:I30)</f>
        <v>410658.50000000006</v>
      </c>
      <c r="J31" s="18">
        <f>SUM(J9:J30)</f>
        <v>478293.7099999999</v>
      </c>
      <c r="K31" s="19">
        <f>SUM(K9:K30)</f>
        <v>580976</v>
      </c>
      <c r="L31" s="18">
        <f t="shared" ref="L31:O31" si="2">SUM(L9:L30)</f>
        <v>580650.30000000005</v>
      </c>
      <c r="M31" s="19">
        <f t="shared" si="2"/>
        <v>596064</v>
      </c>
      <c r="N31" s="18">
        <f t="shared" si="2"/>
        <v>596063.87</v>
      </c>
      <c r="O31" s="19">
        <f t="shared" si="2"/>
        <v>662515</v>
      </c>
      <c r="P31" s="18">
        <f>SUM(P10:P30)</f>
        <v>219732.8</v>
      </c>
      <c r="Q31" s="19">
        <f>SUM(Q9:Q30)</f>
        <v>712490</v>
      </c>
      <c r="R31" s="19"/>
      <c r="S31" s="19">
        <f>SUM(S9:S30)</f>
        <v>0</v>
      </c>
      <c r="T31" s="19"/>
      <c r="U31" s="19">
        <f t="shared" ref="U31:AX31" si="3">SUM(U8:U30)</f>
        <v>580976</v>
      </c>
      <c r="V31" s="19">
        <f t="shared" si="3"/>
        <v>596064</v>
      </c>
      <c r="W31" s="19">
        <f t="shared" si="3"/>
        <v>662515</v>
      </c>
      <c r="X31" s="19">
        <f t="shared" si="3"/>
        <v>719005</v>
      </c>
      <c r="Y31" s="19">
        <f t="shared" si="3"/>
        <v>756532</v>
      </c>
      <c r="Z31" s="19">
        <f t="shared" si="3"/>
        <v>791103</v>
      </c>
      <c r="AA31" s="19">
        <f t="shared" si="3"/>
        <v>822714</v>
      </c>
      <c r="AB31" s="19">
        <f t="shared" si="3"/>
        <v>825861</v>
      </c>
      <c r="AC31" s="19">
        <f t="shared" si="3"/>
        <v>491085</v>
      </c>
      <c r="AD31" s="19">
        <f t="shared" si="3"/>
        <v>516345</v>
      </c>
      <c r="AE31" s="19">
        <f t="shared" si="3"/>
        <v>537643</v>
      </c>
      <c r="AF31" s="19">
        <f t="shared" si="3"/>
        <v>538979</v>
      </c>
      <c r="AG31" s="19">
        <f t="shared" si="3"/>
        <v>549354</v>
      </c>
      <c r="AH31" s="19">
        <f t="shared" si="3"/>
        <v>550432</v>
      </c>
      <c r="AI31" s="19">
        <f t="shared" si="3"/>
        <v>560682</v>
      </c>
      <c r="AJ31" s="19">
        <f t="shared" si="3"/>
        <v>549971</v>
      </c>
      <c r="AK31" s="19">
        <f t="shared" si="3"/>
        <v>558299</v>
      </c>
      <c r="AL31" s="19">
        <f t="shared" si="3"/>
        <v>575668</v>
      </c>
      <c r="AM31" s="19">
        <f t="shared" si="3"/>
        <v>552767</v>
      </c>
      <c r="AN31" s="19">
        <f t="shared" si="3"/>
        <v>526335</v>
      </c>
      <c r="AO31" s="19">
        <f t="shared" si="3"/>
        <v>444927</v>
      </c>
      <c r="AP31" s="19">
        <f t="shared" si="3"/>
        <v>455542</v>
      </c>
      <c r="AQ31" s="19">
        <f t="shared" si="3"/>
        <v>471184</v>
      </c>
      <c r="AR31" s="19">
        <f t="shared" si="3"/>
        <v>484851</v>
      </c>
      <c r="AS31" s="19">
        <f t="shared" si="3"/>
        <v>350546</v>
      </c>
      <c r="AT31" s="19">
        <f t="shared" si="3"/>
        <v>18270</v>
      </c>
      <c r="AU31" s="19">
        <f t="shared" si="3"/>
        <v>19024</v>
      </c>
      <c r="AV31" s="19">
        <f t="shared" si="3"/>
        <v>19685</v>
      </c>
      <c r="AW31" s="19">
        <f t="shared" si="3"/>
        <v>0</v>
      </c>
      <c r="AX31" s="19">
        <f t="shared" si="3"/>
        <v>0</v>
      </c>
      <c r="AY31" s="924">
        <f>SUM(U31:AX31)</f>
        <v>14526359</v>
      </c>
      <c r="AZ31" t="s">
        <v>1555</v>
      </c>
    </row>
    <row r="32" spans="1:52" x14ac:dyDescent="0.2">
      <c r="A32" s="779"/>
      <c r="B32" s="12"/>
      <c r="C32" s="13"/>
      <c r="D32" s="127"/>
      <c r="E32" s="127"/>
      <c r="F32" s="127"/>
      <c r="G32" s="127"/>
      <c r="H32" s="127"/>
      <c r="I32" s="127"/>
      <c r="J32" s="127"/>
      <c r="K32" s="152"/>
      <c r="L32" s="127"/>
      <c r="M32" s="152"/>
      <c r="N32" s="127"/>
      <c r="O32" s="152"/>
      <c r="P32" s="13"/>
      <c r="Q32" s="152"/>
      <c r="R32" s="152"/>
      <c r="S32" s="152"/>
      <c r="T32" s="152"/>
      <c r="U32" s="152"/>
      <c r="V32" s="152"/>
      <c r="W32" s="152"/>
      <c r="X32" s="152"/>
      <c r="Y32" s="152"/>
      <c r="Z32" s="152"/>
      <c r="AA32" s="152"/>
      <c r="AB32" s="152"/>
      <c r="AC32" s="152"/>
      <c r="AD32" s="152"/>
      <c r="AE32" s="152"/>
      <c r="AF32" s="152"/>
      <c r="AG32" s="152"/>
      <c r="AH32" s="152"/>
      <c r="AI32" s="152"/>
      <c r="AJ32" s="152"/>
      <c r="AK32" s="152"/>
      <c r="AL32" s="152"/>
      <c r="AM32" s="152"/>
      <c r="AN32" s="152"/>
      <c r="AO32" s="152"/>
      <c r="AP32" s="152"/>
      <c r="AQ32" s="152"/>
      <c r="AR32" s="152"/>
      <c r="AS32" s="152"/>
      <c r="AT32" s="152"/>
      <c r="AU32" s="152"/>
      <c r="AV32" s="152"/>
      <c r="AW32" s="152"/>
      <c r="AX32" s="152"/>
      <c r="AY32" s="612">
        <f>SUM(V31:AE31)</f>
        <v>6718867</v>
      </c>
      <c r="AZ32" t="s">
        <v>1556</v>
      </c>
    </row>
    <row r="33" spans="1:52" x14ac:dyDescent="0.2">
      <c r="A33" s="779">
        <v>751</v>
      </c>
      <c r="B33" s="12" t="s">
        <v>1557</v>
      </c>
      <c r="C33" s="13"/>
      <c r="D33" s="127"/>
      <c r="E33" s="127"/>
      <c r="F33" s="127"/>
      <c r="G33" s="127"/>
      <c r="H33" s="127"/>
      <c r="I33" s="127"/>
      <c r="J33" s="127"/>
      <c r="K33" s="152"/>
      <c r="L33" s="127"/>
      <c r="M33" s="152"/>
      <c r="N33" s="127"/>
      <c r="O33" s="152"/>
      <c r="P33" s="13"/>
      <c r="Q33" s="152"/>
      <c r="R33" s="152"/>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612">
        <f>ROUND((+AY32/AY31),4)</f>
        <v>0.46250000000000002</v>
      </c>
      <c r="AZ33" t="s">
        <v>1558</v>
      </c>
    </row>
    <row r="34" spans="1:52" hidden="1" x14ac:dyDescent="0.2">
      <c r="A34" s="779">
        <v>5910</v>
      </c>
      <c r="B34" s="12" t="s">
        <v>1535</v>
      </c>
      <c r="C34" s="35">
        <v>14445</v>
      </c>
      <c r="D34" s="35">
        <v>12477.5</v>
      </c>
      <c r="E34" s="35">
        <v>10605</v>
      </c>
      <c r="F34" s="35">
        <v>8715</v>
      </c>
      <c r="G34" s="35">
        <v>6807.5</v>
      </c>
      <c r="H34" s="35">
        <v>4882.5</v>
      </c>
      <c r="I34" s="218">
        <v>2940</v>
      </c>
      <c r="J34" s="218">
        <v>980</v>
      </c>
      <c r="K34" s="36">
        <v>0</v>
      </c>
      <c r="L34" s="218"/>
      <c r="M34" s="36"/>
      <c r="N34" s="218"/>
      <c r="O34" s="36"/>
      <c r="P34" s="35"/>
      <c r="Q34" s="36">
        <f>+V34</f>
        <v>0</v>
      </c>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row>
    <row r="35" spans="1:52" x14ac:dyDescent="0.2">
      <c r="A35" s="779">
        <v>5916</v>
      </c>
      <c r="B35" s="12" t="s">
        <v>1536</v>
      </c>
      <c r="C35" s="13">
        <v>19175</v>
      </c>
      <c r="D35" s="13">
        <v>16425</v>
      </c>
      <c r="E35" s="13">
        <v>13675</v>
      </c>
      <c r="F35" s="13">
        <v>10925</v>
      </c>
      <c r="G35" s="13">
        <v>8175</v>
      </c>
      <c r="H35" s="13">
        <v>6300</v>
      </c>
      <c r="I35" s="128">
        <v>5400</v>
      </c>
      <c r="J35" s="128">
        <v>4600</v>
      </c>
      <c r="K35" s="14">
        <v>3900</v>
      </c>
      <c r="L35" s="128">
        <v>3900</v>
      </c>
      <c r="M35" s="14">
        <v>3300</v>
      </c>
      <c r="N35" s="13">
        <v>3300</v>
      </c>
      <c r="O35" s="14">
        <v>2700</v>
      </c>
      <c r="P35" s="13">
        <v>1500</v>
      </c>
      <c r="Q35" s="36">
        <f t="shared" ref="Q35:Q54" si="4">+X35</f>
        <v>2100</v>
      </c>
      <c r="R35" s="36"/>
      <c r="S35" s="36"/>
      <c r="T35" s="36"/>
      <c r="U35" s="14">
        <f>700+600+1400+1200</f>
        <v>3900</v>
      </c>
      <c r="V35" s="14">
        <f>600+500+1200+1000</f>
        <v>3300</v>
      </c>
      <c r="W35" s="14">
        <f>500+400+1000+800</f>
        <v>2700</v>
      </c>
      <c r="X35" s="14">
        <f>400+300+800+600</f>
        <v>2100</v>
      </c>
      <c r="Y35" s="14">
        <f>300+200+600+400</f>
        <v>1500</v>
      </c>
      <c r="Z35" s="14">
        <f>200+100+400+200</f>
        <v>900</v>
      </c>
      <c r="AA35" s="14">
        <f>100+200</f>
        <v>300</v>
      </c>
      <c r="AB35" s="14"/>
      <c r="AC35" s="14"/>
      <c r="AD35" s="14"/>
      <c r="AE35" s="14"/>
      <c r="AF35" s="14"/>
      <c r="AG35" s="14"/>
      <c r="AH35" s="14"/>
      <c r="AI35" s="14"/>
      <c r="AJ35" s="14"/>
      <c r="AK35" s="14"/>
      <c r="AL35" s="14"/>
      <c r="AM35" s="14"/>
      <c r="AN35" s="14"/>
      <c r="AO35" s="14"/>
      <c r="AP35" s="14"/>
      <c r="AQ35" s="14"/>
      <c r="AR35" s="14"/>
      <c r="AS35" s="14"/>
      <c r="AT35" s="14"/>
      <c r="AU35" s="14"/>
      <c r="AV35" s="14"/>
      <c r="AW35" s="14"/>
      <c r="AX35" s="14"/>
    </row>
    <row r="36" spans="1:52" s="335" customFormat="1" x14ac:dyDescent="0.2">
      <c r="A36" s="806">
        <v>5920</v>
      </c>
      <c r="B36" s="676" t="s">
        <v>1537</v>
      </c>
      <c r="C36" s="671">
        <v>173250</v>
      </c>
      <c r="D36" s="671">
        <v>169100</v>
      </c>
      <c r="E36" s="671">
        <v>163700</v>
      </c>
      <c r="F36" s="671">
        <v>156950</v>
      </c>
      <c r="G36" s="671">
        <v>149900</v>
      </c>
      <c r="H36" s="671">
        <v>141200</v>
      </c>
      <c r="I36" s="671">
        <v>130800</v>
      </c>
      <c r="J36" s="671">
        <v>116652.53</v>
      </c>
      <c r="K36" s="610">
        <v>118944</v>
      </c>
      <c r="L36" s="671">
        <v>118943.69</v>
      </c>
      <c r="M36" s="610">
        <v>103971</v>
      </c>
      <c r="N36" s="671">
        <v>103970.26</v>
      </c>
      <c r="O36" s="610">
        <v>91159</v>
      </c>
      <c r="P36" s="671">
        <v>45579.38</v>
      </c>
      <c r="Q36" s="336">
        <f t="shared" si="4"/>
        <v>77855</v>
      </c>
      <c r="R36" s="336"/>
      <c r="S36" s="336"/>
      <c r="T36" s="336"/>
      <c r="U36" s="610">
        <v>118944</v>
      </c>
      <c r="V36" s="610">
        <v>103971</v>
      </c>
      <c r="W36" s="610">
        <v>91159</v>
      </c>
      <c r="X36" s="610">
        <v>77855</v>
      </c>
      <c r="Y36" s="610">
        <v>63812</v>
      </c>
      <c r="Z36" s="610">
        <v>49029</v>
      </c>
      <c r="AA36" s="610">
        <v>33507</v>
      </c>
      <c r="AB36" s="610">
        <v>17246</v>
      </c>
      <c r="AC36" s="610"/>
      <c r="AD36" s="610"/>
      <c r="AE36" s="610"/>
      <c r="AF36" s="610"/>
      <c r="AG36" s="610"/>
      <c r="AH36" s="610"/>
      <c r="AI36" s="610"/>
      <c r="AJ36" s="610"/>
      <c r="AK36" s="610"/>
      <c r="AL36" s="610"/>
      <c r="AM36" s="610"/>
      <c r="AN36" s="610"/>
      <c r="AO36" s="610"/>
      <c r="AP36" s="610"/>
      <c r="AQ36" s="610"/>
      <c r="AR36" s="610"/>
      <c r="AS36" s="610"/>
      <c r="AT36" s="610"/>
      <c r="AU36" s="610"/>
      <c r="AV36" s="610"/>
      <c r="AW36" s="610"/>
      <c r="AX36" s="610"/>
      <c r="AY36" s="923"/>
    </row>
    <row r="37" spans="1:52" s="335" customFormat="1" x14ac:dyDescent="0.2">
      <c r="A37" s="806">
        <v>5930</v>
      </c>
      <c r="B37" s="613" t="s">
        <v>1538</v>
      </c>
      <c r="C37" s="671">
        <v>5857.8</v>
      </c>
      <c r="D37" s="671">
        <v>5506</v>
      </c>
      <c r="E37" s="671">
        <v>5147.08</v>
      </c>
      <c r="F37" s="671">
        <v>4780.91</v>
      </c>
      <c r="G37" s="671">
        <v>4446.9399999999996</v>
      </c>
      <c r="H37" s="671">
        <v>4026.22</v>
      </c>
      <c r="I37" s="671">
        <v>3637.42</v>
      </c>
      <c r="J37" s="671">
        <v>3240.76</v>
      </c>
      <c r="K37" s="610">
        <v>2836</v>
      </c>
      <c r="L37" s="671">
        <v>2836.08</v>
      </c>
      <c r="M37" s="610">
        <v>2424</v>
      </c>
      <c r="N37" s="671">
        <v>2423.23</v>
      </c>
      <c r="O37" s="610">
        <v>2002</v>
      </c>
      <c r="P37" s="671">
        <v>1107.3599999999999</v>
      </c>
      <c r="Q37" s="336">
        <f t="shared" si="4"/>
        <v>1572</v>
      </c>
      <c r="R37" s="336"/>
      <c r="S37" s="336"/>
      <c r="T37" s="336"/>
      <c r="U37" s="610">
        <f>+'Split Debt Service'!G17</f>
        <v>2836</v>
      </c>
      <c r="V37" s="610">
        <f>+'Split Debt Service'!H17</f>
        <v>2424</v>
      </c>
      <c r="W37" s="610">
        <f>+'Split Debt Service'!I17</f>
        <v>2002</v>
      </c>
      <c r="X37" s="610">
        <f>+'Split Debt Service'!J17</f>
        <v>1572</v>
      </c>
      <c r="Y37" s="610">
        <f>+'Split Debt Service'!K17</f>
        <v>1134</v>
      </c>
      <c r="Z37" s="610">
        <f>+'Split Debt Service'!L17</f>
        <v>687</v>
      </c>
      <c r="AA37" s="610">
        <f>+'Split Debt Service'!M17</f>
        <v>231</v>
      </c>
      <c r="AB37" s="610">
        <f>+'Split Debt Service'!N17</f>
        <v>0</v>
      </c>
      <c r="AC37" s="610">
        <f>+'Split Debt Service'!O17</f>
        <v>0</v>
      </c>
      <c r="AD37" s="610">
        <f>+'Split Debt Service'!P17</f>
        <v>0</v>
      </c>
      <c r="AE37" s="610">
        <f>+'Split Debt Service'!Q17</f>
        <v>0</v>
      </c>
      <c r="AF37" s="610">
        <f>+'Split Debt Service'!R17</f>
        <v>0</v>
      </c>
      <c r="AG37" s="610">
        <f>+'Split Debt Service'!S17</f>
        <v>0</v>
      </c>
      <c r="AH37" s="610">
        <f>+'Split Debt Service'!T17</f>
        <v>0</v>
      </c>
      <c r="AI37" s="610">
        <f>+'Split Debt Service'!U17</f>
        <v>0</v>
      </c>
      <c r="AJ37" s="610">
        <f>+'Split Debt Service'!V17</f>
        <v>0</v>
      </c>
      <c r="AK37" s="610">
        <f>+'Split Debt Service'!W17</f>
        <v>0</v>
      </c>
      <c r="AL37" s="610">
        <f>+'Split Debt Service'!X17</f>
        <v>0</v>
      </c>
      <c r="AM37" s="610">
        <f>+'Split Debt Service'!Y17</f>
        <v>0</v>
      </c>
      <c r="AN37" s="610">
        <f>+'Split Debt Service'!Z17</f>
        <v>0</v>
      </c>
      <c r="AO37" s="610">
        <f>+'Split Debt Service'!AA17</f>
        <v>0</v>
      </c>
      <c r="AP37" s="610">
        <f>+'Split Debt Service'!AB17</f>
        <v>0</v>
      </c>
      <c r="AQ37" s="610">
        <f>+'Split Debt Service'!AC17</f>
        <v>0</v>
      </c>
      <c r="AR37" s="610">
        <f>+'Split Debt Service'!AD17</f>
        <v>0</v>
      </c>
      <c r="AS37" s="610">
        <f>+'Split Debt Service'!AE17</f>
        <v>0</v>
      </c>
      <c r="AT37" s="610">
        <f>+'Split Debt Service'!AF17</f>
        <v>0</v>
      </c>
      <c r="AU37" s="610">
        <f>+'Split Debt Service'!AG17</f>
        <v>0</v>
      </c>
      <c r="AV37" s="610">
        <f>+'Split Debt Service'!AH17</f>
        <v>0</v>
      </c>
      <c r="AW37" s="610">
        <f>+'Split Debt Service'!AI17</f>
        <v>0</v>
      </c>
      <c r="AX37" s="610">
        <f>+'Split Debt Service'!AJ17</f>
        <v>0</v>
      </c>
      <c r="AY37" s="923"/>
    </row>
    <row r="38" spans="1:52" s="335" customFormat="1" x14ac:dyDescent="0.2">
      <c r="A38" s="806" t="s">
        <v>1559</v>
      </c>
      <c r="B38" s="613" t="s">
        <v>1560</v>
      </c>
      <c r="C38" s="675">
        <v>552.4</v>
      </c>
      <c r="D38" s="675">
        <v>412.96</v>
      </c>
      <c r="E38" s="675">
        <v>386.04</v>
      </c>
      <c r="F38" s="675">
        <v>358.57</v>
      </c>
      <c r="G38" s="675">
        <v>330.55</v>
      </c>
      <c r="H38" s="675">
        <v>301.97000000000003</v>
      </c>
      <c r="I38" s="671">
        <v>272.81</v>
      </c>
      <c r="J38" s="675">
        <v>243.06</v>
      </c>
      <c r="K38" s="336">
        <v>213</v>
      </c>
      <c r="L38" s="675">
        <v>212.71</v>
      </c>
      <c r="M38" s="336">
        <v>182</v>
      </c>
      <c r="N38" s="675">
        <v>181.75</v>
      </c>
      <c r="O38" s="336">
        <v>151</v>
      </c>
      <c r="P38" s="675">
        <v>83.05</v>
      </c>
      <c r="Q38" s="336">
        <f t="shared" si="4"/>
        <v>118</v>
      </c>
      <c r="R38" s="336"/>
      <c r="S38" s="336"/>
      <c r="T38" s="336"/>
      <c r="U38" s="610">
        <f>+'Split Debt Service'!G18</f>
        <v>213</v>
      </c>
      <c r="V38" s="610">
        <f>+'Split Debt Service'!H18</f>
        <v>182</v>
      </c>
      <c r="W38" s="610">
        <f>+'Split Debt Service'!I18</f>
        <v>150</v>
      </c>
      <c r="X38" s="610">
        <f>+'Split Debt Service'!J18</f>
        <v>118</v>
      </c>
      <c r="Y38" s="610">
        <f>+'Split Debt Service'!K18</f>
        <v>85</v>
      </c>
      <c r="Z38" s="610">
        <f>+'Split Debt Service'!L18</f>
        <v>52</v>
      </c>
      <c r="AA38" s="610">
        <f>+'Split Debt Service'!M18</f>
        <v>178</v>
      </c>
      <c r="AB38" s="610">
        <f>+'Split Debt Service'!N18</f>
        <v>0</v>
      </c>
      <c r="AC38" s="610">
        <f>+'Split Debt Service'!O18</f>
        <v>0</v>
      </c>
      <c r="AD38" s="610">
        <f>+'Split Debt Service'!P18</f>
        <v>0</v>
      </c>
      <c r="AE38" s="610">
        <f>+'Split Debt Service'!Q18</f>
        <v>0</v>
      </c>
      <c r="AF38" s="610">
        <f>+'Split Debt Service'!R18</f>
        <v>0</v>
      </c>
      <c r="AG38" s="610">
        <f>+'Split Debt Service'!S18</f>
        <v>0</v>
      </c>
      <c r="AH38" s="610">
        <f>+'Split Debt Service'!T18</f>
        <v>0</v>
      </c>
      <c r="AI38" s="610">
        <f>+'Split Debt Service'!U18</f>
        <v>0</v>
      </c>
      <c r="AJ38" s="610">
        <f>+'Split Debt Service'!V18</f>
        <v>0</v>
      </c>
      <c r="AK38" s="610">
        <f>+'Split Debt Service'!W18</f>
        <v>0</v>
      </c>
      <c r="AL38" s="610">
        <f>+'Split Debt Service'!X18</f>
        <v>0</v>
      </c>
      <c r="AM38" s="610">
        <f>+'Split Debt Service'!Y18</f>
        <v>0</v>
      </c>
      <c r="AN38" s="610">
        <f>+'Split Debt Service'!Z18</f>
        <v>0</v>
      </c>
      <c r="AO38" s="610">
        <f>+'Split Debt Service'!AA18</f>
        <v>0</v>
      </c>
      <c r="AP38" s="610">
        <f>+'Split Debt Service'!AB18</f>
        <v>0</v>
      </c>
      <c r="AQ38" s="610">
        <f>+'Split Debt Service'!AC18</f>
        <v>0</v>
      </c>
      <c r="AR38" s="610">
        <f>+'Split Debt Service'!AD18</f>
        <v>0</v>
      </c>
      <c r="AS38" s="610">
        <f>+'Split Debt Service'!AE18</f>
        <v>0</v>
      </c>
      <c r="AT38" s="610">
        <f>+'Split Debt Service'!AF18</f>
        <v>0</v>
      </c>
      <c r="AU38" s="610">
        <f>+'Split Debt Service'!AG18</f>
        <v>0</v>
      </c>
      <c r="AV38" s="610">
        <f>+'Split Debt Service'!AH18</f>
        <v>0</v>
      </c>
      <c r="AW38" s="610">
        <f>+'Split Debt Service'!AI18</f>
        <v>0</v>
      </c>
      <c r="AX38" s="610">
        <f>+'Split Debt Service'!AJ18</f>
        <v>0</v>
      </c>
      <c r="AY38" s="923"/>
    </row>
    <row r="39" spans="1:52" s="335" customFormat="1" x14ac:dyDescent="0.2">
      <c r="A39" s="806">
        <v>5931</v>
      </c>
      <c r="B39" s="613" t="s">
        <v>1539</v>
      </c>
      <c r="C39" s="675">
        <v>16489.34</v>
      </c>
      <c r="D39" s="671">
        <v>16015.69</v>
      </c>
      <c r="E39" s="671">
        <v>15530.44</v>
      </c>
      <c r="F39" s="671">
        <v>15033.34</v>
      </c>
      <c r="G39" s="671">
        <v>14524.1</v>
      </c>
      <c r="H39" s="671">
        <v>14002.41</v>
      </c>
      <c r="I39" s="671">
        <v>13467.98</v>
      </c>
      <c r="J39" s="675">
        <v>12920.49</v>
      </c>
      <c r="K39" s="336">
        <v>12360</v>
      </c>
      <c r="L39" s="675">
        <v>12359.62</v>
      </c>
      <c r="M39" s="336">
        <v>11785</v>
      </c>
      <c r="N39" s="675">
        <v>11785.05</v>
      </c>
      <c r="O39" s="336">
        <v>11197</v>
      </c>
      <c r="P39" s="675">
        <v>5747.14</v>
      </c>
      <c r="Q39" s="336">
        <f t="shared" si="4"/>
        <v>10594</v>
      </c>
      <c r="R39" s="336"/>
      <c r="S39" s="336"/>
      <c r="T39" s="336"/>
      <c r="U39" s="610">
        <f>+'Split Debt Service'!G19</f>
        <v>12360</v>
      </c>
      <c r="V39" s="610">
        <f>+'Split Debt Service'!H19</f>
        <v>11785</v>
      </c>
      <c r="W39" s="610">
        <f>+'Split Debt Service'!I19</f>
        <v>11197</v>
      </c>
      <c r="X39" s="610">
        <f>+'Split Debt Service'!J19</f>
        <v>10594</v>
      </c>
      <c r="Y39" s="610">
        <f>+'Split Debt Service'!K19</f>
        <v>9976</v>
      </c>
      <c r="Z39" s="610">
        <f>+'Split Debt Service'!L19</f>
        <v>9343</v>
      </c>
      <c r="AA39" s="610">
        <f>+'Split Debt Service'!M19</f>
        <v>8695</v>
      </c>
      <c r="AB39" s="610">
        <f>+'Split Debt Service'!N19</f>
        <v>8030</v>
      </c>
      <c r="AC39" s="610">
        <f>+'Split Debt Service'!O19</f>
        <v>7350</v>
      </c>
      <c r="AD39" s="610">
        <f>+'Split Debt Service'!P19</f>
        <v>6653</v>
      </c>
      <c r="AE39" s="610">
        <f>+'Split Debt Service'!Q19</f>
        <v>5939</v>
      </c>
      <c r="AF39" s="610">
        <f>+'Split Debt Service'!R19</f>
        <v>5208</v>
      </c>
      <c r="AG39" s="610">
        <f>+'Split Debt Service'!S19</f>
        <v>4458</v>
      </c>
      <c r="AH39" s="610">
        <f>+'Split Debt Service'!T19</f>
        <v>3691</v>
      </c>
      <c r="AI39" s="610">
        <f>+'Split Debt Service'!U19</f>
        <v>2904</v>
      </c>
      <c r="AJ39" s="610">
        <f>+'Split Debt Service'!V19</f>
        <v>2099</v>
      </c>
      <c r="AK39" s="610">
        <f>+'Split Debt Service'!W19</f>
        <v>1274</v>
      </c>
      <c r="AL39" s="610">
        <f>+'Split Debt Service'!X19</f>
        <v>428</v>
      </c>
      <c r="AM39" s="610">
        <f>+'Split Debt Service'!Y19</f>
        <v>0</v>
      </c>
      <c r="AN39" s="610">
        <f>+'Split Debt Service'!Z19</f>
        <v>0</v>
      </c>
      <c r="AO39" s="610">
        <f>+'Split Debt Service'!AA19</f>
        <v>0</v>
      </c>
      <c r="AP39" s="610">
        <f>+'Split Debt Service'!AB19</f>
        <v>0</v>
      </c>
      <c r="AQ39" s="610">
        <f>+'Split Debt Service'!AC19</f>
        <v>0</v>
      </c>
      <c r="AR39" s="610">
        <f>+'Split Debt Service'!AD19</f>
        <v>0</v>
      </c>
      <c r="AS39" s="610">
        <f>+'Split Debt Service'!AE19</f>
        <v>0</v>
      </c>
      <c r="AT39" s="610">
        <f>+'Split Debt Service'!AF19</f>
        <v>0</v>
      </c>
      <c r="AU39" s="610">
        <f>+'Split Debt Service'!AG19</f>
        <v>0</v>
      </c>
      <c r="AV39" s="610">
        <f>+'Split Debt Service'!AH19</f>
        <v>0</v>
      </c>
      <c r="AW39" s="610">
        <f>+'Split Debt Service'!AI19</f>
        <v>0</v>
      </c>
      <c r="AX39" s="610">
        <f>+'Split Debt Service'!AJ19</f>
        <v>0</v>
      </c>
      <c r="AY39" s="923"/>
    </row>
    <row r="40" spans="1:52" s="335" customFormat="1" x14ac:dyDescent="0.2">
      <c r="A40" s="806" t="s">
        <v>1561</v>
      </c>
      <c r="B40" s="613" t="s">
        <v>1562</v>
      </c>
      <c r="C40" s="675">
        <v>1024.6199999999999</v>
      </c>
      <c r="D40" s="671">
        <v>995.18</v>
      </c>
      <c r="E40" s="671">
        <v>965.02</v>
      </c>
      <c r="F40" s="671">
        <v>934.13</v>
      </c>
      <c r="G40" s="671">
        <v>902.49</v>
      </c>
      <c r="H40" s="671">
        <v>870.08</v>
      </c>
      <c r="I40" s="671">
        <v>836.87</v>
      </c>
      <c r="J40" s="675">
        <v>802.85</v>
      </c>
      <c r="K40" s="336">
        <v>768</v>
      </c>
      <c r="L40" s="675">
        <v>768</v>
      </c>
      <c r="M40" s="336">
        <v>732</v>
      </c>
      <c r="N40" s="675">
        <v>732.3</v>
      </c>
      <c r="O40" s="336">
        <v>696</v>
      </c>
      <c r="P40" s="675">
        <v>357.11</v>
      </c>
      <c r="Q40" s="336">
        <f t="shared" si="4"/>
        <v>658</v>
      </c>
      <c r="R40" s="336"/>
      <c r="S40" s="336"/>
      <c r="T40" s="336"/>
      <c r="U40" s="610">
        <f>+'Split Debt Service'!G20</f>
        <v>768</v>
      </c>
      <c r="V40" s="610">
        <f>+'Split Debt Service'!H20</f>
        <v>732</v>
      </c>
      <c r="W40" s="610">
        <f>+'Split Debt Service'!I20</f>
        <v>696</v>
      </c>
      <c r="X40" s="610">
        <f>+'Split Debt Service'!J20</f>
        <v>658</v>
      </c>
      <c r="Y40" s="610">
        <f>+'Split Debt Service'!K20</f>
        <v>580</v>
      </c>
      <c r="Z40" s="610">
        <f>+'Split Debt Service'!L20</f>
        <v>581</v>
      </c>
      <c r="AA40" s="610">
        <f>+'Split Debt Service'!M20</f>
        <v>540</v>
      </c>
      <c r="AB40" s="610">
        <f>+'Split Debt Service'!N20</f>
        <v>499</v>
      </c>
      <c r="AC40" s="610">
        <f>+'Split Debt Service'!O20</f>
        <v>457</v>
      </c>
      <c r="AD40" s="610">
        <f>+'Split Debt Service'!P20</f>
        <v>414</v>
      </c>
      <c r="AE40" s="610">
        <f>+'Split Debt Service'!Q20</f>
        <v>369</v>
      </c>
      <c r="AF40" s="610">
        <f>+'Split Debt Service'!R20</f>
        <v>324</v>
      </c>
      <c r="AG40" s="610">
        <f>+'Split Debt Service'!S20</f>
        <v>277</v>
      </c>
      <c r="AH40" s="610">
        <f>+'Split Debt Service'!T20</f>
        <v>230</v>
      </c>
      <c r="AI40" s="610">
        <f>+'Split Debt Service'!U20</f>
        <v>181</v>
      </c>
      <c r="AJ40" s="610">
        <f>+'Split Debt Service'!V20</f>
        <v>131</v>
      </c>
      <c r="AK40" s="610">
        <f>+'Split Debt Service'!W20</f>
        <v>79</v>
      </c>
      <c r="AL40" s="610">
        <f>+'Split Debt Service'!X20</f>
        <v>27</v>
      </c>
      <c r="AM40" s="610">
        <f>+'Split Debt Service'!Y20</f>
        <v>0</v>
      </c>
      <c r="AN40" s="610">
        <f>+'Split Debt Service'!Z20</f>
        <v>0</v>
      </c>
      <c r="AO40" s="610">
        <f>+'Split Debt Service'!AA20</f>
        <v>0</v>
      </c>
      <c r="AP40" s="610">
        <f>+'Split Debt Service'!AB20</f>
        <v>0</v>
      </c>
      <c r="AQ40" s="610">
        <f>+'Split Debt Service'!AC20</f>
        <v>0</v>
      </c>
      <c r="AR40" s="610">
        <f>+'Split Debt Service'!AD20</f>
        <v>0</v>
      </c>
      <c r="AS40" s="610">
        <f>+'Split Debt Service'!AE20</f>
        <v>0</v>
      </c>
      <c r="AT40" s="610">
        <f>+'Split Debt Service'!AF20</f>
        <v>0</v>
      </c>
      <c r="AU40" s="610">
        <f>+'Split Debt Service'!AG20</f>
        <v>0</v>
      </c>
      <c r="AV40" s="610">
        <f>+'Split Debt Service'!AH20</f>
        <v>0</v>
      </c>
      <c r="AW40" s="610">
        <f>+'Split Debt Service'!AI20</f>
        <v>0</v>
      </c>
      <c r="AX40" s="610">
        <f>+'Split Debt Service'!AJ20</f>
        <v>0</v>
      </c>
      <c r="AY40" s="923"/>
    </row>
    <row r="41" spans="1:52" s="335" customFormat="1" x14ac:dyDescent="0.2">
      <c r="A41" s="806">
        <v>5932</v>
      </c>
      <c r="B41" s="613" t="s">
        <v>1540</v>
      </c>
      <c r="C41" s="675">
        <v>16873.62</v>
      </c>
      <c r="D41" s="671">
        <v>16873.62</v>
      </c>
      <c r="E41" s="671">
        <v>16636.099999999999</v>
      </c>
      <c r="F41" s="671">
        <v>16388.18</v>
      </c>
      <c r="G41" s="671">
        <v>16129.41</v>
      </c>
      <c r="H41" s="671">
        <v>15859.33</v>
      </c>
      <c r="I41" s="671">
        <v>15577.42</v>
      </c>
      <c r="J41" s="675">
        <v>18523.64</v>
      </c>
      <c r="K41" s="336">
        <v>10765</v>
      </c>
      <c r="L41" s="675">
        <v>10765.06</v>
      </c>
      <c r="M41" s="336">
        <v>10103</v>
      </c>
      <c r="N41" s="675">
        <v>10102.5</v>
      </c>
      <c r="O41" s="336">
        <v>9703</v>
      </c>
      <c r="P41" s="675">
        <v>4851.25</v>
      </c>
      <c r="Q41" s="336">
        <f t="shared" si="4"/>
        <v>9303</v>
      </c>
      <c r="R41" s="336"/>
      <c r="S41" s="336"/>
      <c r="T41" s="336"/>
      <c r="U41" s="610">
        <f>+'Split Debt Service'!G21</f>
        <v>10765</v>
      </c>
      <c r="V41" s="610">
        <f>+'Split Debt Service'!H21</f>
        <v>10103</v>
      </c>
      <c r="W41" s="610">
        <f>+'Split Debt Service'!I21</f>
        <v>9703</v>
      </c>
      <c r="X41" s="610">
        <f>+'Split Debt Service'!J21</f>
        <v>9303</v>
      </c>
      <c r="Y41" s="610">
        <f>+'Split Debt Service'!K21</f>
        <v>8803</v>
      </c>
      <c r="Z41" s="610">
        <f>+'Split Debt Service'!L21</f>
        <v>8303</v>
      </c>
      <c r="AA41" s="610">
        <f>+'Split Debt Service'!M21</f>
        <v>7803</v>
      </c>
      <c r="AB41" s="610">
        <f>+'Split Debt Service'!N21</f>
        <v>7303</v>
      </c>
      <c r="AC41" s="610">
        <f>+'Split Debt Service'!O21</f>
        <v>6703</v>
      </c>
      <c r="AD41" s="610">
        <f>+'Split Debt Service'!P21</f>
        <v>6103</v>
      </c>
      <c r="AE41" s="610">
        <f>+'Split Debt Service'!Q21</f>
        <v>5503</v>
      </c>
      <c r="AF41" s="610">
        <f>+'Split Debt Service'!R21</f>
        <v>5223</v>
      </c>
      <c r="AG41" s="610">
        <f>+'Split Debt Service'!S21</f>
        <v>4943</v>
      </c>
      <c r="AH41" s="610">
        <f>+'Split Debt Service'!T21</f>
        <v>4663</v>
      </c>
      <c r="AI41" s="610">
        <f>+'Split Debt Service'!U21</f>
        <v>4365</v>
      </c>
      <c r="AJ41" s="610">
        <f>+'Split Debt Service'!V21</f>
        <v>4068</v>
      </c>
      <c r="AK41" s="610">
        <f>+'Split Debt Service'!W21</f>
        <v>3753</v>
      </c>
      <c r="AL41" s="610">
        <f>+'Split Debt Service'!X21</f>
        <v>3420</v>
      </c>
      <c r="AM41" s="610">
        <f>+'Split Debt Service'!Y21</f>
        <v>3040</v>
      </c>
      <c r="AN41" s="610">
        <f>+'Split Debt Service'!Z21</f>
        <v>2660</v>
      </c>
      <c r="AO41" s="610">
        <f>+'Split Debt Service'!AA21</f>
        <v>2260</v>
      </c>
      <c r="AP41" s="610">
        <f>+'Split Debt Service'!AB21</f>
        <v>1860</v>
      </c>
      <c r="AQ41" s="610">
        <f>+'Split Debt Service'!AC21</f>
        <v>1440</v>
      </c>
      <c r="AR41" s="610">
        <f>+'Split Debt Service'!AD21</f>
        <v>968</v>
      </c>
      <c r="AS41" s="610">
        <f>+'Split Debt Service'!AE21</f>
        <v>495</v>
      </c>
      <c r="AT41" s="610">
        <f>+'Split Debt Service'!AF21</f>
        <v>0</v>
      </c>
      <c r="AU41" s="610">
        <f>+'Split Debt Service'!AG21</f>
        <v>0</v>
      </c>
      <c r="AV41" s="610">
        <f>+'Split Debt Service'!AH21</f>
        <v>0</v>
      </c>
      <c r="AW41" s="610">
        <f>+'Split Debt Service'!AI21</f>
        <v>0</v>
      </c>
      <c r="AX41" s="610">
        <f>+'Split Debt Service'!AJ21</f>
        <v>0</v>
      </c>
      <c r="AY41" s="923"/>
    </row>
    <row r="42" spans="1:52" s="335" customFormat="1" x14ac:dyDescent="0.2">
      <c r="A42" s="806">
        <v>5933</v>
      </c>
      <c r="B42" s="613" t="s">
        <v>1541</v>
      </c>
      <c r="C42" s="675">
        <v>15807.2</v>
      </c>
      <c r="D42" s="671">
        <v>15608.47</v>
      </c>
      <c r="E42" s="671">
        <v>15401.74</v>
      </c>
      <c r="F42" s="671">
        <v>15186.5</v>
      </c>
      <c r="G42" s="671">
        <v>14962.36</v>
      </c>
      <c r="H42" s="671">
        <v>14728.98</v>
      </c>
      <c r="I42" s="671">
        <v>14485.98</v>
      </c>
      <c r="J42" s="675">
        <v>14232.95</v>
      </c>
      <c r="K42" s="336">
        <v>13970</v>
      </c>
      <c r="L42" s="675">
        <v>13969.49</v>
      </c>
      <c r="M42" s="336">
        <v>13695</v>
      </c>
      <c r="N42" s="675">
        <v>13695.15</v>
      </c>
      <c r="O42" s="336">
        <v>13410</v>
      </c>
      <c r="P42" s="675">
        <v>13409.5</v>
      </c>
      <c r="Q42" s="336">
        <f t="shared" si="4"/>
        <v>13112</v>
      </c>
      <c r="R42" s="336"/>
      <c r="S42" s="336"/>
      <c r="T42" s="336"/>
      <c r="U42" s="610">
        <f>+'Split Debt Service'!G22</f>
        <v>13970</v>
      </c>
      <c r="V42" s="610">
        <f>+'Split Debt Service'!H22</f>
        <v>13695</v>
      </c>
      <c r="W42" s="610">
        <f>+'Split Debt Service'!I22</f>
        <v>13410</v>
      </c>
      <c r="X42" s="610">
        <f>+'Split Debt Service'!J22</f>
        <v>13112</v>
      </c>
      <c r="Y42" s="610">
        <f>+'Split Debt Service'!K22</f>
        <v>12802</v>
      </c>
      <c r="Z42" s="610">
        <f>+'Split Debt Service'!L22</f>
        <v>12480</v>
      </c>
      <c r="AA42" s="610">
        <f>+'Split Debt Service'!M22</f>
        <v>12144</v>
      </c>
      <c r="AB42" s="610">
        <f>+'Split Debt Service'!N22</f>
        <v>11795</v>
      </c>
      <c r="AC42" s="610">
        <f>+'Split Debt Service'!O22</f>
        <v>11431</v>
      </c>
      <c r="AD42" s="610">
        <f>+'Split Debt Service'!P22</f>
        <v>11052</v>
      </c>
      <c r="AE42" s="610">
        <f>+'Split Debt Service'!Q22</f>
        <v>10657</v>
      </c>
      <c r="AF42" s="610">
        <f>+'Split Debt Service'!R22</f>
        <v>10246</v>
      </c>
      <c r="AG42" s="610">
        <f>+'Split Debt Service'!S22</f>
        <v>9818</v>
      </c>
      <c r="AH42" s="610">
        <f>+'Split Debt Service'!T22</f>
        <v>9372</v>
      </c>
      <c r="AI42" s="610">
        <f>+'Split Debt Service'!U22</f>
        <v>8908</v>
      </c>
      <c r="AJ42" s="610">
        <f>+'Split Debt Service'!V22</f>
        <v>8425</v>
      </c>
      <c r="AK42" s="610">
        <f>+'Split Debt Service'!W22</f>
        <v>7922</v>
      </c>
      <c r="AL42" s="610">
        <f>+'Split Debt Service'!X22</f>
        <v>7398</v>
      </c>
      <c r="AM42" s="610">
        <f>+'Split Debt Service'!Y22</f>
        <v>6853</v>
      </c>
      <c r="AN42" s="610">
        <f>+'Split Debt Service'!Z22</f>
        <v>6285</v>
      </c>
      <c r="AO42" s="610">
        <f>+'Split Debt Service'!AA22</f>
        <v>5694</v>
      </c>
      <c r="AP42" s="610">
        <f>+'Split Debt Service'!AB22</f>
        <v>5078</v>
      </c>
      <c r="AQ42" s="610">
        <f>+'Split Debt Service'!AC22</f>
        <v>4437</v>
      </c>
      <c r="AR42" s="610">
        <f>+'Split Debt Service'!AD22</f>
        <v>3769</v>
      </c>
      <c r="AS42" s="610">
        <f>+'Split Debt Service'!AE22</f>
        <v>3074</v>
      </c>
      <c r="AT42" s="610">
        <f>+'Split Debt Service'!AF22</f>
        <v>1150</v>
      </c>
      <c r="AU42" s="610">
        <f>+'Split Debt Service'!AG22</f>
        <v>1597</v>
      </c>
      <c r="AV42" s="610">
        <f>+'Split Debt Service'!AH22</f>
        <v>812</v>
      </c>
      <c r="AW42" s="610">
        <f>+'Split Debt Service'!AI22</f>
        <v>0</v>
      </c>
      <c r="AX42" s="610">
        <f>+'Split Debt Service'!AJ22</f>
        <v>0</v>
      </c>
      <c r="AY42" s="923"/>
    </row>
    <row r="43" spans="1:52" x14ac:dyDescent="0.2">
      <c r="A43" s="779">
        <v>5934</v>
      </c>
      <c r="B43" s="12" t="s">
        <v>1542</v>
      </c>
      <c r="C43" s="35">
        <v>2875</v>
      </c>
      <c r="D43" s="35">
        <v>2775</v>
      </c>
      <c r="E43" s="35">
        <v>2650</v>
      </c>
      <c r="F43" s="35">
        <v>2500</v>
      </c>
      <c r="G43" s="35">
        <v>2350</v>
      </c>
      <c r="H43" s="35">
        <v>2175</v>
      </c>
      <c r="I43" s="218">
        <v>1975</v>
      </c>
      <c r="J43" s="218">
        <v>1775</v>
      </c>
      <c r="K43" s="36">
        <v>1751</v>
      </c>
      <c r="L43" s="218">
        <v>1750.06</v>
      </c>
      <c r="M43" s="36">
        <v>1530</v>
      </c>
      <c r="N43" s="35">
        <v>1529.76</v>
      </c>
      <c r="O43" s="36">
        <v>1342</v>
      </c>
      <c r="P43" s="35">
        <v>670.63</v>
      </c>
      <c r="Q43" s="36">
        <f t="shared" si="4"/>
        <v>1146</v>
      </c>
      <c r="R43" s="36"/>
      <c r="S43" s="36"/>
      <c r="T43" s="36"/>
      <c r="U43" s="36">
        <v>1751</v>
      </c>
      <c r="V43" s="36">
        <v>1530</v>
      </c>
      <c r="W43" s="36">
        <v>1342</v>
      </c>
      <c r="X43" s="36">
        <v>1146</v>
      </c>
      <c r="Y43" s="36">
        <v>939</v>
      </c>
      <c r="Z43" s="36">
        <v>722</v>
      </c>
      <c r="AA43" s="36">
        <v>493</v>
      </c>
      <c r="AB43" s="36">
        <v>254</v>
      </c>
      <c r="AC43" s="36"/>
      <c r="AD43" s="36"/>
      <c r="AE43" s="36"/>
      <c r="AF43" s="36"/>
      <c r="AG43" s="36"/>
      <c r="AH43" s="36"/>
      <c r="AI43" s="36"/>
      <c r="AJ43" s="36"/>
      <c r="AK43" s="36"/>
      <c r="AL43" s="36"/>
      <c r="AM43" s="36"/>
      <c r="AN43" s="36"/>
      <c r="AO43" s="36"/>
      <c r="AP43" s="36"/>
      <c r="AQ43" s="36"/>
      <c r="AR43" s="36"/>
      <c r="AS43" s="36"/>
      <c r="AT43" s="36"/>
      <c r="AU43" s="36"/>
      <c r="AV43" s="36"/>
      <c r="AW43" s="36"/>
      <c r="AX43" s="36"/>
    </row>
    <row r="44" spans="1:52" x14ac:dyDescent="0.2">
      <c r="A44" s="779">
        <v>5936</v>
      </c>
      <c r="B44" s="27" t="s">
        <v>1563</v>
      </c>
      <c r="C44" s="35"/>
      <c r="D44" s="35">
        <v>3173.22</v>
      </c>
      <c r="E44" s="35">
        <v>3046</v>
      </c>
      <c r="F44" s="35">
        <v>2915.59</v>
      </c>
      <c r="G44" s="35">
        <v>2781.92</v>
      </c>
      <c r="H44" s="35">
        <v>2644.89</v>
      </c>
      <c r="I44" s="218">
        <v>2504.46</v>
      </c>
      <c r="J44" s="218">
        <v>2360.5100000000002</v>
      </c>
      <c r="K44" s="36">
        <v>2213</v>
      </c>
      <c r="L44" s="218">
        <v>2212.98</v>
      </c>
      <c r="M44" s="36">
        <v>2062</v>
      </c>
      <c r="N44" s="35">
        <v>2061.7399999999998</v>
      </c>
      <c r="O44" s="36">
        <v>1907</v>
      </c>
      <c r="P44" s="35">
        <v>491.29</v>
      </c>
      <c r="Q44" s="1082"/>
      <c r="R44" s="36"/>
      <c r="S44" s="36"/>
      <c r="T44" s="36"/>
      <c r="U44" s="36">
        <v>2213</v>
      </c>
      <c r="V44" s="36">
        <v>2062</v>
      </c>
      <c r="W44" s="36">
        <v>1907</v>
      </c>
      <c r="X44" s="36">
        <v>1748</v>
      </c>
      <c r="Y44" s="36">
        <v>1585</v>
      </c>
      <c r="Z44" s="36">
        <v>1419</v>
      </c>
      <c r="AA44" s="36">
        <v>1247</v>
      </c>
      <c r="AB44" s="36">
        <v>1072</v>
      </c>
      <c r="AC44" s="36">
        <v>892</v>
      </c>
      <c r="AD44" s="36">
        <v>708</v>
      </c>
      <c r="AE44" s="36">
        <v>519</v>
      </c>
      <c r="AF44" s="36">
        <v>326</v>
      </c>
      <c r="AG44" s="36">
        <v>127</v>
      </c>
      <c r="AH44" s="36"/>
      <c r="AI44" s="36"/>
      <c r="AJ44" s="36"/>
      <c r="AK44" s="36"/>
      <c r="AL44" s="36"/>
      <c r="AM44" s="36"/>
      <c r="AN44" s="36"/>
      <c r="AO44" s="36"/>
      <c r="AP44" s="36"/>
      <c r="AQ44" s="36"/>
      <c r="AR44" s="36"/>
      <c r="AS44" s="36"/>
      <c r="AT44" s="36"/>
      <c r="AU44" s="36"/>
      <c r="AV44" s="36"/>
      <c r="AW44" s="36"/>
      <c r="AX44" s="36"/>
    </row>
    <row r="45" spans="1:52" s="335" customFormat="1" x14ac:dyDescent="0.2">
      <c r="A45" s="807">
        <v>5937</v>
      </c>
      <c r="B45" s="677" t="s">
        <v>1564</v>
      </c>
      <c r="C45" s="675"/>
      <c r="D45" s="675"/>
      <c r="E45" s="675">
        <v>2860.82</v>
      </c>
      <c r="F45" s="675">
        <v>3275</v>
      </c>
      <c r="G45" s="675">
        <v>3125</v>
      </c>
      <c r="H45" s="675">
        <v>2975</v>
      </c>
      <c r="I45" s="675">
        <v>2825</v>
      </c>
      <c r="J45" s="675">
        <v>2675</v>
      </c>
      <c r="K45" s="336">
        <v>2525</v>
      </c>
      <c r="L45" s="675">
        <v>2525</v>
      </c>
      <c r="M45" s="336">
        <v>2375</v>
      </c>
      <c r="N45" s="675">
        <v>2375</v>
      </c>
      <c r="O45" s="336">
        <v>2225</v>
      </c>
      <c r="P45" s="675">
        <v>1112.5</v>
      </c>
      <c r="Q45" s="336">
        <f t="shared" si="4"/>
        <v>2075</v>
      </c>
      <c r="R45" s="336"/>
      <c r="S45" s="336"/>
      <c r="T45" s="336"/>
      <c r="U45" s="336">
        <v>2525</v>
      </c>
      <c r="V45" s="336">
        <v>2375</v>
      </c>
      <c r="W45" s="336">
        <v>2225</v>
      </c>
      <c r="X45" s="336">
        <v>2075</v>
      </c>
      <c r="Y45" s="336">
        <v>1925</v>
      </c>
      <c r="Z45" s="336">
        <v>1738</v>
      </c>
      <c r="AA45" s="336">
        <v>1550</v>
      </c>
      <c r="AB45" s="336">
        <v>1363</v>
      </c>
      <c r="AC45" s="336">
        <v>1175</v>
      </c>
      <c r="AD45" s="336">
        <v>988</v>
      </c>
      <c r="AE45" s="336">
        <v>800</v>
      </c>
      <c r="AF45" s="336">
        <v>600</v>
      </c>
      <c r="AG45" s="336">
        <v>400</v>
      </c>
      <c r="AH45" s="336">
        <v>200</v>
      </c>
      <c r="AI45" s="336"/>
      <c r="AJ45" s="336"/>
      <c r="AK45" s="336"/>
      <c r="AL45" s="336"/>
      <c r="AM45" s="336"/>
      <c r="AN45" s="336"/>
      <c r="AO45" s="336"/>
      <c r="AP45" s="336"/>
      <c r="AQ45" s="336"/>
      <c r="AR45" s="336"/>
      <c r="AS45" s="336"/>
      <c r="AT45" s="336"/>
      <c r="AU45" s="336"/>
      <c r="AV45" s="336"/>
      <c r="AW45" s="336"/>
      <c r="AX45" s="336"/>
      <c r="AY45" s="923"/>
    </row>
    <row r="46" spans="1:52" hidden="1" x14ac:dyDescent="0.2">
      <c r="A46" s="796">
        <v>5938</v>
      </c>
      <c r="B46" s="12" t="s">
        <v>1546</v>
      </c>
      <c r="C46" s="35"/>
      <c r="D46" s="35"/>
      <c r="E46" s="35">
        <v>1290</v>
      </c>
      <c r="F46" s="35">
        <v>1290</v>
      </c>
      <c r="G46" s="35">
        <v>1075</v>
      </c>
      <c r="H46" s="35">
        <v>860</v>
      </c>
      <c r="I46" s="35">
        <v>645</v>
      </c>
      <c r="J46" s="35">
        <v>430</v>
      </c>
      <c r="K46" s="36">
        <v>215</v>
      </c>
      <c r="L46" s="35">
        <v>215</v>
      </c>
      <c r="M46" s="36"/>
      <c r="N46" s="35"/>
      <c r="O46" s="36"/>
      <c r="P46" s="35"/>
      <c r="Q46" s="36">
        <f t="shared" si="4"/>
        <v>0</v>
      </c>
      <c r="R46" s="36"/>
      <c r="S46" s="36"/>
      <c r="T46" s="36"/>
      <c r="U46" s="36">
        <v>215</v>
      </c>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row>
    <row r="47" spans="1:52" hidden="1" x14ac:dyDescent="0.2">
      <c r="A47" s="796">
        <v>5939</v>
      </c>
      <c r="B47" s="12" t="s">
        <v>1547</v>
      </c>
      <c r="C47" s="35"/>
      <c r="D47" s="35"/>
      <c r="E47" s="35">
        <v>1692.5</v>
      </c>
      <c r="F47" s="35">
        <v>1290</v>
      </c>
      <c r="G47" s="35">
        <v>1075</v>
      </c>
      <c r="H47" s="35">
        <v>860</v>
      </c>
      <c r="I47" s="35">
        <v>645</v>
      </c>
      <c r="J47" s="35">
        <v>430</v>
      </c>
      <c r="K47" s="36">
        <v>215</v>
      </c>
      <c r="L47" s="35">
        <v>215</v>
      </c>
      <c r="M47" s="36"/>
      <c r="N47" s="35"/>
      <c r="O47" s="36"/>
      <c r="P47" s="35"/>
      <c r="Q47" s="36">
        <f t="shared" si="4"/>
        <v>0</v>
      </c>
      <c r="R47" s="36"/>
      <c r="S47" s="36"/>
      <c r="T47" s="36"/>
      <c r="U47" s="36">
        <v>215</v>
      </c>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row>
    <row r="48" spans="1:52" x14ac:dyDescent="0.2">
      <c r="A48" s="796">
        <v>5944</v>
      </c>
      <c r="B48" s="12" t="s">
        <v>1548</v>
      </c>
      <c r="C48" s="35"/>
      <c r="D48" s="35"/>
      <c r="E48" s="35"/>
      <c r="F48" s="35"/>
      <c r="G48" s="35"/>
      <c r="H48" s="35"/>
      <c r="I48" s="35">
        <v>0</v>
      </c>
      <c r="J48" s="35">
        <v>4200</v>
      </c>
      <c r="K48" s="36">
        <v>2875</v>
      </c>
      <c r="L48" s="35">
        <v>2875</v>
      </c>
      <c r="M48" s="36">
        <v>2575</v>
      </c>
      <c r="N48" s="35">
        <v>2575</v>
      </c>
      <c r="O48" s="36">
        <v>2275</v>
      </c>
      <c r="P48" s="35">
        <v>1212.5</v>
      </c>
      <c r="Q48" s="36">
        <f t="shared" si="4"/>
        <v>1950</v>
      </c>
      <c r="R48" s="36"/>
      <c r="S48" s="36"/>
      <c r="T48" s="36"/>
      <c r="U48" s="36">
        <v>2875</v>
      </c>
      <c r="V48" s="36">
        <v>2575</v>
      </c>
      <c r="W48" s="36">
        <v>2275</v>
      </c>
      <c r="X48" s="36">
        <v>1950</v>
      </c>
      <c r="Y48" s="36">
        <v>1679</v>
      </c>
      <c r="Z48" s="36">
        <v>1487</v>
      </c>
      <c r="AA48" s="36">
        <v>1190</v>
      </c>
      <c r="AB48" s="36">
        <v>870</v>
      </c>
      <c r="AC48" s="36">
        <v>630</v>
      </c>
      <c r="AD48" s="36">
        <v>390</v>
      </c>
      <c r="AE48" s="36">
        <v>135</v>
      </c>
      <c r="AF48" s="36"/>
      <c r="AG48" s="36"/>
      <c r="AH48" s="36"/>
      <c r="AI48" s="36"/>
      <c r="AJ48" s="36"/>
      <c r="AK48" s="36"/>
      <c r="AL48" s="36"/>
      <c r="AM48" s="36"/>
      <c r="AN48" s="36"/>
      <c r="AO48" s="36"/>
      <c r="AP48" s="36"/>
      <c r="AQ48" s="36"/>
      <c r="AR48" s="36"/>
      <c r="AS48" s="36"/>
      <c r="AT48" s="36"/>
      <c r="AU48" s="36"/>
      <c r="AV48" s="36"/>
      <c r="AW48" s="36"/>
      <c r="AX48" s="36"/>
    </row>
    <row r="49" spans="1:51" x14ac:dyDescent="0.2">
      <c r="A49" s="796">
        <v>5947</v>
      </c>
      <c r="B49" s="27" t="s">
        <v>1565</v>
      </c>
      <c r="C49" s="35"/>
      <c r="D49" s="35"/>
      <c r="E49" s="35"/>
      <c r="F49" s="35"/>
      <c r="G49" s="35"/>
      <c r="H49" s="35"/>
      <c r="I49" s="35"/>
      <c r="J49" s="35">
        <v>3593.33</v>
      </c>
      <c r="K49" s="36">
        <v>2445</v>
      </c>
      <c r="L49" s="35">
        <v>2445</v>
      </c>
      <c r="M49" s="36">
        <v>2195</v>
      </c>
      <c r="N49" s="35">
        <v>2195</v>
      </c>
      <c r="O49" s="36">
        <v>1920</v>
      </c>
      <c r="P49" s="35">
        <v>1035</v>
      </c>
      <c r="Q49" s="36">
        <f t="shared" si="4"/>
        <v>1620</v>
      </c>
      <c r="R49" s="36"/>
      <c r="S49" s="36"/>
      <c r="T49" s="36"/>
      <c r="U49" s="36">
        <v>2445</v>
      </c>
      <c r="V49" s="36">
        <v>2195</v>
      </c>
      <c r="W49" s="36">
        <v>1920</v>
      </c>
      <c r="X49" s="36">
        <v>1620</v>
      </c>
      <c r="Y49" s="36">
        <v>1388</v>
      </c>
      <c r="Z49" s="36">
        <v>1223</v>
      </c>
      <c r="AA49" s="36">
        <v>990</v>
      </c>
      <c r="AB49" s="36">
        <v>735</v>
      </c>
      <c r="AC49" s="36">
        <v>525</v>
      </c>
      <c r="AD49" s="36">
        <v>315</v>
      </c>
      <c r="AE49" s="36">
        <v>105</v>
      </c>
      <c r="AF49" s="36"/>
      <c r="AG49" s="36"/>
      <c r="AH49" s="36"/>
      <c r="AI49" s="36"/>
      <c r="AJ49" s="36"/>
      <c r="AK49" s="36"/>
      <c r="AL49" s="36"/>
      <c r="AM49" s="36"/>
      <c r="AN49" s="36"/>
      <c r="AO49" s="36"/>
      <c r="AP49" s="36"/>
      <c r="AQ49" s="36"/>
      <c r="AR49" s="36"/>
      <c r="AS49" s="36"/>
      <c r="AT49" s="36"/>
      <c r="AU49" s="36"/>
      <c r="AV49" s="36"/>
      <c r="AW49" s="36"/>
      <c r="AX49" s="36"/>
    </row>
    <row r="50" spans="1:51" s="335" customFormat="1" x14ac:dyDescent="0.2">
      <c r="A50" s="807">
        <v>5948</v>
      </c>
      <c r="B50" s="677" t="s">
        <v>1566</v>
      </c>
      <c r="C50" s="675"/>
      <c r="D50" s="675"/>
      <c r="E50" s="675"/>
      <c r="F50" s="675"/>
      <c r="G50" s="675"/>
      <c r="H50" s="675"/>
      <c r="I50" s="675"/>
      <c r="J50" s="675">
        <v>26758.31</v>
      </c>
      <c r="K50" s="336">
        <v>19138</v>
      </c>
      <c r="L50" s="675">
        <v>19137.5</v>
      </c>
      <c r="M50" s="336">
        <v>18063</v>
      </c>
      <c r="N50" s="675">
        <v>18062.509999999998</v>
      </c>
      <c r="O50" s="336">
        <v>16938</v>
      </c>
      <c r="P50" s="675">
        <v>8756.25</v>
      </c>
      <c r="Q50" s="336">
        <f t="shared" si="4"/>
        <v>15763</v>
      </c>
      <c r="R50" s="336"/>
      <c r="S50" s="336"/>
      <c r="T50" s="336"/>
      <c r="U50" s="336">
        <v>19138</v>
      </c>
      <c r="V50" s="336">
        <v>18063</v>
      </c>
      <c r="W50" s="336">
        <v>16938</v>
      </c>
      <c r="X50" s="336">
        <v>15763</v>
      </c>
      <c r="Y50" s="336">
        <v>14819</v>
      </c>
      <c r="Z50" s="336">
        <v>14118</v>
      </c>
      <c r="AA50" s="336">
        <v>13085</v>
      </c>
      <c r="AB50" s="336">
        <v>11990</v>
      </c>
      <c r="AC50" s="336">
        <v>11135</v>
      </c>
      <c r="AD50" s="336">
        <v>10250</v>
      </c>
      <c r="AE50" s="336">
        <v>9350</v>
      </c>
      <c r="AF50" s="336">
        <v>8435</v>
      </c>
      <c r="AG50" s="336">
        <v>7490</v>
      </c>
      <c r="AH50" s="336">
        <v>6515</v>
      </c>
      <c r="AI50" s="336">
        <v>5489</v>
      </c>
      <c r="AJ50" s="336">
        <v>4373</v>
      </c>
      <c r="AK50" s="336">
        <v>3187</v>
      </c>
      <c r="AL50" s="336">
        <v>1968</v>
      </c>
      <c r="AM50" s="336">
        <v>675</v>
      </c>
      <c r="AN50" s="336"/>
      <c r="AO50" s="336"/>
      <c r="AP50" s="336"/>
      <c r="AQ50" s="336"/>
      <c r="AR50" s="336"/>
      <c r="AS50" s="336"/>
      <c r="AT50" s="336"/>
      <c r="AU50" s="336"/>
      <c r="AV50" s="336"/>
      <c r="AW50" s="336"/>
      <c r="AX50" s="336"/>
      <c r="AY50" s="923"/>
    </row>
    <row r="51" spans="1:51" s="335" customFormat="1" x14ac:dyDescent="0.2">
      <c r="A51" s="807">
        <v>5949</v>
      </c>
      <c r="B51" s="677" t="s">
        <v>1551</v>
      </c>
      <c r="C51" s="675"/>
      <c r="D51" s="675"/>
      <c r="E51" s="675"/>
      <c r="F51" s="675"/>
      <c r="G51" s="675"/>
      <c r="H51" s="675"/>
      <c r="I51" s="675"/>
      <c r="J51" s="675">
        <v>115970.04</v>
      </c>
      <c r="K51" s="336">
        <v>84284</v>
      </c>
      <c r="L51" s="675">
        <v>84283.73</v>
      </c>
      <c r="M51" s="336">
        <v>80884</v>
      </c>
      <c r="N51" s="675">
        <v>80883.73</v>
      </c>
      <c r="O51" s="336">
        <v>77284</v>
      </c>
      <c r="P51" s="675">
        <v>39541.870000000003</v>
      </c>
      <c r="Q51" s="336">
        <f t="shared" si="4"/>
        <v>73534</v>
      </c>
      <c r="R51" s="336"/>
      <c r="S51" s="336"/>
      <c r="T51" s="336"/>
      <c r="U51" s="336">
        <v>84284</v>
      </c>
      <c r="V51" s="336">
        <v>80884</v>
      </c>
      <c r="W51" s="336">
        <v>77284</v>
      </c>
      <c r="X51" s="336">
        <v>73534</v>
      </c>
      <c r="Y51" s="336">
        <v>70457</v>
      </c>
      <c r="Z51" s="336">
        <v>68174</v>
      </c>
      <c r="AA51" s="336">
        <v>64869</v>
      </c>
      <c r="AB51" s="336">
        <v>61429</v>
      </c>
      <c r="AC51" s="336">
        <v>58744</v>
      </c>
      <c r="AD51" s="336">
        <v>55924</v>
      </c>
      <c r="AE51" s="336">
        <v>53044</v>
      </c>
      <c r="AF51" s="336">
        <v>50074</v>
      </c>
      <c r="AG51" s="336">
        <v>46999</v>
      </c>
      <c r="AH51" s="336">
        <v>43864</v>
      </c>
      <c r="AI51" s="336">
        <v>40602</v>
      </c>
      <c r="AJ51" s="336">
        <v>37062</v>
      </c>
      <c r="AK51" s="336">
        <v>33340</v>
      </c>
      <c r="AL51" s="336">
        <v>29554</v>
      </c>
      <c r="AM51" s="336">
        <v>25561</v>
      </c>
      <c r="AN51" s="336">
        <v>21280</v>
      </c>
      <c r="AO51" s="336">
        <v>16818</v>
      </c>
      <c r="AP51" s="336">
        <v>12215</v>
      </c>
      <c r="AQ51" s="336">
        <v>7473</v>
      </c>
      <c r="AR51" s="336">
        <v>2538</v>
      </c>
      <c r="AS51" s="336"/>
      <c r="AT51" s="336"/>
      <c r="AU51" s="336"/>
      <c r="AV51" s="336"/>
      <c r="AW51" s="336"/>
      <c r="AX51" s="336"/>
      <c r="AY51" s="923"/>
    </row>
    <row r="52" spans="1:51" s="335" customFormat="1" x14ac:dyDescent="0.2">
      <c r="A52" s="807">
        <v>5950</v>
      </c>
      <c r="B52" s="677" t="s">
        <v>1552</v>
      </c>
      <c r="C52" s="675"/>
      <c r="D52" s="675"/>
      <c r="E52" s="675"/>
      <c r="F52" s="675"/>
      <c r="G52" s="675"/>
      <c r="H52" s="675"/>
      <c r="I52" s="675"/>
      <c r="J52" s="675"/>
      <c r="K52" s="336">
        <v>188107</v>
      </c>
      <c r="L52" s="675">
        <v>188106.75</v>
      </c>
      <c r="M52" s="336">
        <v>176769</v>
      </c>
      <c r="N52" s="675">
        <v>176768.76</v>
      </c>
      <c r="O52" s="336">
        <v>169519</v>
      </c>
      <c r="P52" s="675">
        <v>84759.38</v>
      </c>
      <c r="Q52" s="336">
        <f t="shared" si="4"/>
        <v>161769</v>
      </c>
      <c r="R52" s="336"/>
      <c r="S52" s="336"/>
      <c r="T52" s="336"/>
      <c r="U52" s="336">
        <v>188107</v>
      </c>
      <c r="V52" s="336">
        <v>176769</v>
      </c>
      <c r="W52" s="336">
        <v>169519</v>
      </c>
      <c r="X52" s="336">
        <v>161769</v>
      </c>
      <c r="Y52" s="336">
        <v>153769</v>
      </c>
      <c r="Z52" s="336">
        <v>145269</v>
      </c>
      <c r="AA52" s="336">
        <v>136269</v>
      </c>
      <c r="AB52" s="336">
        <v>126769</v>
      </c>
      <c r="AC52" s="336">
        <v>116769</v>
      </c>
      <c r="AD52" s="336">
        <v>106519</v>
      </c>
      <c r="AE52" s="336">
        <v>95519</v>
      </c>
      <c r="AF52" s="336">
        <v>90919</v>
      </c>
      <c r="AG52" s="336">
        <v>86219</v>
      </c>
      <c r="AH52" s="336">
        <v>81419</v>
      </c>
      <c r="AI52" s="336">
        <v>76213</v>
      </c>
      <c r="AJ52" s="336">
        <v>70900</v>
      </c>
      <c r="AK52" s="336">
        <v>65163</v>
      </c>
      <c r="AL52" s="336">
        <v>58988</v>
      </c>
      <c r="AM52" s="336">
        <v>52694</v>
      </c>
      <c r="AN52" s="336">
        <v>46282</v>
      </c>
      <c r="AO52" s="336">
        <v>39282</v>
      </c>
      <c r="AP52" s="336">
        <v>32157</v>
      </c>
      <c r="AQ52" s="336">
        <v>24544</v>
      </c>
      <c r="AR52" s="336">
        <v>16669</v>
      </c>
      <c r="AS52" s="336">
        <v>8663</v>
      </c>
      <c r="AT52" s="336"/>
      <c r="AU52" s="336"/>
      <c r="AV52" s="336"/>
      <c r="AW52" s="336"/>
      <c r="AX52" s="336"/>
      <c r="AY52" s="923"/>
    </row>
    <row r="53" spans="1:51" s="335" customFormat="1" x14ac:dyDescent="0.2">
      <c r="A53" s="807">
        <v>5951</v>
      </c>
      <c r="B53" s="677" t="s">
        <v>1553</v>
      </c>
      <c r="C53" s="675"/>
      <c r="D53" s="675"/>
      <c r="E53" s="675"/>
      <c r="F53" s="675"/>
      <c r="G53" s="675"/>
      <c r="H53" s="675"/>
      <c r="I53" s="675"/>
      <c r="J53" s="675"/>
      <c r="K53" s="336"/>
      <c r="L53" s="675"/>
      <c r="M53" s="336"/>
      <c r="N53" s="675"/>
      <c r="O53" s="336">
        <v>62542</v>
      </c>
      <c r="P53" s="675">
        <v>41591.67</v>
      </c>
      <c r="Q53" s="336">
        <f t="shared" si="4"/>
        <v>40650</v>
      </c>
      <c r="R53" s="336"/>
      <c r="S53" s="336"/>
      <c r="T53" s="336"/>
      <c r="U53" s="336"/>
      <c r="V53" s="336"/>
      <c r="W53" s="336">
        <v>62542</v>
      </c>
      <c r="X53" s="336">
        <v>40650</v>
      </c>
      <c r="Y53" s="336">
        <v>38025</v>
      </c>
      <c r="Z53" s="336">
        <v>35150</v>
      </c>
      <c r="AA53" s="336">
        <v>32150</v>
      </c>
      <c r="AB53" s="336">
        <v>29025</v>
      </c>
      <c r="AC53" s="336">
        <v>25775</v>
      </c>
      <c r="AD53" s="336">
        <v>22400</v>
      </c>
      <c r="AE53" s="336">
        <v>18775</v>
      </c>
      <c r="AF53" s="336">
        <v>15300</v>
      </c>
      <c r="AG53" s="336">
        <v>12900</v>
      </c>
      <c r="AH53" s="336">
        <v>11300</v>
      </c>
      <c r="AI53" s="336">
        <v>9650</v>
      </c>
      <c r="AJ53" s="336">
        <v>7950</v>
      </c>
      <c r="AK53" s="336">
        <v>6250</v>
      </c>
      <c r="AL53" s="336">
        <v>4500</v>
      </c>
      <c r="AM53" s="336">
        <v>2700</v>
      </c>
      <c r="AN53" s="336">
        <v>900</v>
      </c>
      <c r="AO53" s="336"/>
      <c r="AP53" s="336"/>
      <c r="AQ53" s="336"/>
      <c r="AR53" s="336"/>
      <c r="AS53" s="336"/>
      <c r="AT53" s="336"/>
      <c r="AU53" s="336"/>
      <c r="AV53" s="336"/>
      <c r="AW53" s="336"/>
      <c r="AX53" s="336"/>
      <c r="AY53" s="923">
        <f>SUM(W53:AX53)</f>
        <v>375942</v>
      </c>
    </row>
    <row r="54" spans="1:51" x14ac:dyDescent="0.2">
      <c r="A54" s="796">
        <v>5952</v>
      </c>
      <c r="B54" s="27" t="s">
        <v>1554</v>
      </c>
      <c r="C54" s="218"/>
      <c r="D54" s="218"/>
      <c r="E54" s="218"/>
      <c r="F54" s="218"/>
      <c r="G54" s="218"/>
      <c r="H54" s="218"/>
      <c r="I54" s="218"/>
      <c r="J54" s="218"/>
      <c r="K54" s="36"/>
      <c r="L54" s="218"/>
      <c r="M54" s="36"/>
      <c r="N54" s="35"/>
      <c r="O54" s="36">
        <v>12705</v>
      </c>
      <c r="P54" s="218">
        <v>8519.58</v>
      </c>
      <c r="Q54" s="36">
        <f t="shared" si="4"/>
        <v>8010</v>
      </c>
      <c r="R54" s="36"/>
      <c r="S54" s="36"/>
      <c r="T54" s="36"/>
      <c r="U54" s="36"/>
      <c r="V54" s="36"/>
      <c r="W54" s="36">
        <v>12705</v>
      </c>
      <c r="X54" s="36">
        <v>8010</v>
      </c>
      <c r="Y54" s="36">
        <v>7270</v>
      </c>
      <c r="Z54" s="36">
        <v>6510</v>
      </c>
      <c r="AA54" s="36">
        <v>5730</v>
      </c>
      <c r="AB54" s="36">
        <v>4910</v>
      </c>
      <c r="AC54" s="36">
        <v>4050</v>
      </c>
      <c r="AD54" s="36">
        <v>3150</v>
      </c>
      <c r="AE54" s="36">
        <v>2454.25</v>
      </c>
      <c r="AF54" s="36">
        <v>1960.5</v>
      </c>
      <c r="AG54" s="36">
        <v>1432.5</v>
      </c>
      <c r="AH54" s="36">
        <v>875</v>
      </c>
      <c r="AI54" s="36">
        <v>293.75</v>
      </c>
      <c r="AJ54" s="36"/>
      <c r="AK54" s="36"/>
      <c r="AL54" s="36"/>
      <c r="AM54" s="36"/>
      <c r="AN54" s="36"/>
      <c r="AO54" s="36"/>
      <c r="AP54" s="36"/>
      <c r="AQ54" s="36"/>
      <c r="AR54" s="36"/>
      <c r="AS54" s="36"/>
      <c r="AT54" s="36"/>
      <c r="AU54" s="36"/>
      <c r="AV54" s="36"/>
      <c r="AW54" s="36"/>
      <c r="AX54" s="36"/>
      <c r="AY54" s="923">
        <f>SUM(W54:AX54)</f>
        <v>59351</v>
      </c>
    </row>
    <row r="55" spans="1:51" ht="13.5" thickBot="1" x14ac:dyDescent="0.25">
      <c r="A55" s="796"/>
      <c r="B55" s="27"/>
      <c r="C55" s="15"/>
      <c r="D55" s="15"/>
      <c r="E55" s="15"/>
      <c r="F55" s="15"/>
      <c r="G55" s="15"/>
      <c r="H55" s="15"/>
      <c r="I55" s="15"/>
      <c r="J55" s="15"/>
      <c r="K55" s="16"/>
      <c r="L55" s="15"/>
      <c r="M55" s="16"/>
      <c r="N55" s="15"/>
      <c r="O55" s="16"/>
      <c r="P55" s="15"/>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row>
    <row r="56" spans="1:51" x14ac:dyDescent="0.2">
      <c r="A56" s="779"/>
      <c r="B56" s="17" t="s">
        <v>1557</v>
      </c>
      <c r="C56" s="18">
        <f t="shared" ref="C56:P56" si="5">SUM(C33:C55)</f>
        <v>266349.98</v>
      </c>
      <c r="D56" s="18">
        <f t="shared" si="5"/>
        <v>259362.63999999998</v>
      </c>
      <c r="E56" s="18">
        <f t="shared" si="5"/>
        <v>253585.74</v>
      </c>
      <c r="F56" s="18">
        <f>SUM(F34:F55)</f>
        <v>240542.22</v>
      </c>
      <c r="G56" s="18">
        <f>SUM(G34:G55)</f>
        <v>226585.27</v>
      </c>
      <c r="H56" s="18">
        <f>SUM(H34:H55)</f>
        <v>211686.38</v>
      </c>
      <c r="I56" s="18">
        <f t="shared" si="5"/>
        <v>196012.94000000003</v>
      </c>
      <c r="J56" s="18">
        <f t="shared" si="5"/>
        <v>330388.47000000003</v>
      </c>
      <c r="K56" s="19">
        <f>SUM(K33:K55)</f>
        <v>467524</v>
      </c>
      <c r="L56" s="18">
        <f t="shared" ref="L56:O56" si="6">SUM(L33:L55)</f>
        <v>467520.67</v>
      </c>
      <c r="M56" s="19">
        <f t="shared" si="6"/>
        <v>432645</v>
      </c>
      <c r="N56" s="18">
        <f t="shared" ref="N56" si="7">SUM(N33:N55)</f>
        <v>432641.74</v>
      </c>
      <c r="O56" s="19">
        <f t="shared" si="6"/>
        <v>479675</v>
      </c>
      <c r="P56" s="18">
        <f t="shared" si="5"/>
        <v>260325.46</v>
      </c>
      <c r="Q56" s="19">
        <f>SUM(Q33:Q55)</f>
        <v>421829</v>
      </c>
      <c r="R56" s="19"/>
      <c r="S56" s="19">
        <f>SUM(S33:S55)</f>
        <v>0</v>
      </c>
      <c r="T56" s="19"/>
      <c r="U56" s="19">
        <f t="shared" ref="U56:AX56" si="8">SUM(U33:U55)</f>
        <v>467524</v>
      </c>
      <c r="V56" s="19">
        <f t="shared" si="8"/>
        <v>432645</v>
      </c>
      <c r="W56" s="19">
        <f t="shared" si="8"/>
        <v>479674</v>
      </c>
      <c r="X56" s="19">
        <f t="shared" si="8"/>
        <v>423577</v>
      </c>
      <c r="Y56" s="19">
        <f t="shared" si="8"/>
        <v>390548</v>
      </c>
      <c r="Z56" s="19">
        <f t="shared" si="8"/>
        <v>357185</v>
      </c>
      <c r="AA56" s="19">
        <f t="shared" si="8"/>
        <v>320971</v>
      </c>
      <c r="AB56" s="19">
        <f t="shared" si="8"/>
        <v>283290</v>
      </c>
      <c r="AC56" s="19">
        <f t="shared" si="8"/>
        <v>245636</v>
      </c>
      <c r="AD56" s="19">
        <f t="shared" si="8"/>
        <v>224866</v>
      </c>
      <c r="AE56" s="19">
        <f t="shared" si="8"/>
        <v>203169.25</v>
      </c>
      <c r="AF56" s="19">
        <f t="shared" si="8"/>
        <v>188615.5</v>
      </c>
      <c r="AG56" s="19">
        <f t="shared" si="8"/>
        <v>175063.5</v>
      </c>
      <c r="AH56" s="19">
        <f t="shared" si="8"/>
        <v>162129</v>
      </c>
      <c r="AI56" s="19">
        <f t="shared" si="8"/>
        <v>148605.75</v>
      </c>
      <c r="AJ56" s="19">
        <f t="shared" si="8"/>
        <v>135008</v>
      </c>
      <c r="AK56" s="19">
        <f t="shared" si="8"/>
        <v>120968</v>
      </c>
      <c r="AL56" s="19">
        <f t="shared" si="8"/>
        <v>106283</v>
      </c>
      <c r="AM56" s="19">
        <f t="shared" si="8"/>
        <v>91523</v>
      </c>
      <c r="AN56" s="19">
        <f t="shared" si="8"/>
        <v>77407</v>
      </c>
      <c r="AO56" s="19">
        <f t="shared" si="8"/>
        <v>64054</v>
      </c>
      <c r="AP56" s="19">
        <f t="shared" si="8"/>
        <v>51310</v>
      </c>
      <c r="AQ56" s="19">
        <f t="shared" si="8"/>
        <v>37894</v>
      </c>
      <c r="AR56" s="19">
        <f t="shared" si="8"/>
        <v>23944</v>
      </c>
      <c r="AS56" s="19">
        <f t="shared" si="8"/>
        <v>12232</v>
      </c>
      <c r="AT56" s="19">
        <f t="shared" si="8"/>
        <v>1150</v>
      </c>
      <c r="AU56" s="19">
        <f t="shared" si="8"/>
        <v>1597</v>
      </c>
      <c r="AV56" s="19">
        <f t="shared" si="8"/>
        <v>812</v>
      </c>
      <c r="AW56" s="19">
        <f t="shared" si="8"/>
        <v>0</v>
      </c>
      <c r="AX56" s="19">
        <f t="shared" si="8"/>
        <v>0</v>
      </c>
    </row>
    <row r="57" spans="1:51" x14ac:dyDescent="0.2">
      <c r="A57" s="779"/>
      <c r="B57" s="12"/>
      <c r="C57" s="13"/>
      <c r="D57" s="13"/>
      <c r="E57" s="13"/>
      <c r="F57" s="13"/>
      <c r="G57" s="13"/>
      <c r="H57" s="13"/>
      <c r="I57" s="13"/>
      <c r="J57" s="13"/>
      <c r="K57" s="14"/>
      <c r="L57" s="13"/>
      <c r="M57" s="14"/>
      <c r="N57" s="13"/>
      <c r="O57" s="14"/>
      <c r="P57" s="13"/>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row>
    <row r="58" spans="1:51" hidden="1" x14ac:dyDescent="0.2">
      <c r="A58" s="779" t="s">
        <v>1567</v>
      </c>
      <c r="B58" s="12" t="s">
        <v>1568</v>
      </c>
      <c r="C58" s="35">
        <v>602.20000000000005</v>
      </c>
      <c r="D58" s="35">
        <v>547.45000000000005</v>
      </c>
      <c r="E58" s="35"/>
      <c r="F58" s="35"/>
      <c r="G58" s="35"/>
      <c r="H58" s="35"/>
      <c r="I58" s="218"/>
      <c r="J58" s="218"/>
      <c r="K58" s="36"/>
      <c r="L58" s="218"/>
      <c r="M58" s="36"/>
      <c r="N58" s="35"/>
      <c r="O58" s="36"/>
      <c r="P58" s="35">
        <v>0</v>
      </c>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row>
    <row r="59" spans="1:51" x14ac:dyDescent="0.2">
      <c r="A59" s="779" t="s">
        <v>1569</v>
      </c>
      <c r="B59" s="12" t="s">
        <v>1570</v>
      </c>
      <c r="C59" s="35"/>
      <c r="D59" s="35"/>
      <c r="E59" s="35"/>
      <c r="F59" s="35"/>
      <c r="G59" s="35"/>
      <c r="H59" s="35"/>
      <c r="I59" s="218"/>
      <c r="J59" s="218"/>
      <c r="K59" s="36">
        <v>60000</v>
      </c>
      <c r="L59" s="218"/>
      <c r="M59" s="36">
        <v>18100</v>
      </c>
      <c r="N59" s="35">
        <v>19182.54</v>
      </c>
      <c r="O59" s="36"/>
      <c r="P59" s="35"/>
      <c r="Q59" s="36">
        <f t="shared" ref="Q59" si="9">+W59</f>
        <v>0</v>
      </c>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row>
    <row r="60" spans="1:51" ht="13.5" thickBot="1" x14ac:dyDescent="0.25">
      <c r="A60" s="779" t="s">
        <v>1571</v>
      </c>
      <c r="B60" s="12" t="s">
        <v>1572</v>
      </c>
      <c r="C60" s="35">
        <v>5065.4399999999996</v>
      </c>
      <c r="D60" s="35">
        <v>5388.35</v>
      </c>
      <c r="E60" s="35">
        <v>3399.08</v>
      </c>
      <c r="F60" s="35">
        <v>4461.7700000000004</v>
      </c>
      <c r="G60" s="35">
        <v>10940.62</v>
      </c>
      <c r="H60" s="35">
        <v>11476.39</v>
      </c>
      <c r="I60" s="218">
        <v>18676.84</v>
      </c>
      <c r="J60" s="218">
        <v>15664.11</v>
      </c>
      <c r="K60" s="36">
        <v>20000</v>
      </c>
      <c r="L60" s="218">
        <v>9702.6</v>
      </c>
      <c r="M60" s="36">
        <v>20000</v>
      </c>
      <c r="N60" s="35">
        <v>6266.44</v>
      </c>
      <c r="O60" s="36">
        <v>20000</v>
      </c>
      <c r="P60" s="35"/>
      <c r="Q60" s="36">
        <v>20000</v>
      </c>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row>
    <row r="61" spans="1:51" x14ac:dyDescent="0.2">
      <c r="A61" s="779"/>
      <c r="B61" s="17" t="s">
        <v>1573</v>
      </c>
      <c r="C61" s="30">
        <f t="shared" ref="C61:P61" si="10">SUM(C58:C60)</f>
        <v>5667.6399999999994</v>
      </c>
      <c r="D61" s="30">
        <f t="shared" si="10"/>
        <v>5935.8</v>
      </c>
      <c r="E61" s="30">
        <f t="shared" si="10"/>
        <v>3399.08</v>
      </c>
      <c r="F61" s="30">
        <f>SUM(F58:F60)</f>
        <v>4461.7700000000004</v>
      </c>
      <c r="G61" s="30">
        <f>SUM(G58:G60)</f>
        <v>10940.62</v>
      </c>
      <c r="H61" s="30">
        <f>SUM(H58:H60)</f>
        <v>11476.39</v>
      </c>
      <c r="I61" s="30">
        <f>SUM(I58:I60)</f>
        <v>18676.84</v>
      </c>
      <c r="J61" s="30">
        <f>SUM(J58:J60)</f>
        <v>15664.11</v>
      </c>
      <c r="K61" s="182">
        <f t="shared" ref="K61:O61" si="11">SUM(K58:K60)</f>
        <v>80000</v>
      </c>
      <c r="L61" s="30">
        <f t="shared" si="11"/>
        <v>9702.6</v>
      </c>
      <c r="M61" s="182">
        <f t="shared" si="11"/>
        <v>38100</v>
      </c>
      <c r="N61" s="30">
        <f t="shared" ref="N61" si="12">SUM(N58:N60)</f>
        <v>25448.98</v>
      </c>
      <c r="O61" s="182">
        <f t="shared" si="11"/>
        <v>20000</v>
      </c>
      <c r="P61" s="30">
        <f t="shared" si="10"/>
        <v>0</v>
      </c>
      <c r="Q61" s="182">
        <f t="shared" ref="Q61" si="13">SUM(Q58:Q60)</f>
        <v>20000</v>
      </c>
      <c r="R61" s="182"/>
      <c r="S61" s="182">
        <f>SUM(S58:S60)</f>
        <v>0</v>
      </c>
      <c r="T61" s="182"/>
      <c r="U61" s="182">
        <f t="shared" ref="U61:AX61" si="14">SUM(U58:U60)</f>
        <v>0</v>
      </c>
      <c r="V61" s="182">
        <f t="shared" si="14"/>
        <v>0</v>
      </c>
      <c r="W61" s="182">
        <f t="shared" si="14"/>
        <v>0</v>
      </c>
      <c r="X61" s="182">
        <f t="shared" si="14"/>
        <v>0</v>
      </c>
      <c r="Y61" s="182">
        <f t="shared" si="14"/>
        <v>0</v>
      </c>
      <c r="Z61" s="182">
        <f t="shared" si="14"/>
        <v>0</v>
      </c>
      <c r="AA61" s="182">
        <f t="shared" si="14"/>
        <v>0</v>
      </c>
      <c r="AB61" s="182">
        <f t="shared" si="14"/>
        <v>0</v>
      </c>
      <c r="AC61" s="182">
        <f t="shared" si="14"/>
        <v>0</v>
      </c>
      <c r="AD61" s="182">
        <f t="shared" si="14"/>
        <v>0</v>
      </c>
      <c r="AE61" s="182">
        <f t="shared" si="14"/>
        <v>0</v>
      </c>
      <c r="AF61" s="182">
        <f t="shared" si="14"/>
        <v>0</v>
      </c>
      <c r="AG61" s="182">
        <f t="shared" si="14"/>
        <v>0</v>
      </c>
      <c r="AH61" s="182">
        <f t="shared" si="14"/>
        <v>0</v>
      </c>
      <c r="AI61" s="182">
        <f t="shared" si="14"/>
        <v>0</v>
      </c>
      <c r="AJ61" s="182">
        <f t="shared" si="14"/>
        <v>0</v>
      </c>
      <c r="AK61" s="182">
        <f t="shared" si="14"/>
        <v>0</v>
      </c>
      <c r="AL61" s="182">
        <f t="shared" si="14"/>
        <v>0</v>
      </c>
      <c r="AM61" s="182">
        <f t="shared" si="14"/>
        <v>0</v>
      </c>
      <c r="AN61" s="182">
        <f t="shared" si="14"/>
        <v>0</v>
      </c>
      <c r="AO61" s="182">
        <f t="shared" si="14"/>
        <v>0</v>
      </c>
      <c r="AP61" s="182">
        <f t="shared" si="14"/>
        <v>0</v>
      </c>
      <c r="AQ61" s="182">
        <f t="shared" si="14"/>
        <v>0</v>
      </c>
      <c r="AR61" s="182">
        <f t="shared" si="14"/>
        <v>0</v>
      </c>
      <c r="AS61" s="182">
        <f t="shared" si="14"/>
        <v>0</v>
      </c>
      <c r="AT61" s="182">
        <f t="shared" si="14"/>
        <v>0</v>
      </c>
      <c r="AU61" s="182">
        <f t="shared" si="14"/>
        <v>0</v>
      </c>
      <c r="AV61" s="182">
        <f t="shared" si="14"/>
        <v>0</v>
      </c>
      <c r="AW61" s="182">
        <f t="shared" si="14"/>
        <v>0</v>
      </c>
      <c r="AX61" s="182">
        <f t="shared" si="14"/>
        <v>0</v>
      </c>
    </row>
    <row r="62" spans="1:51" x14ac:dyDescent="0.2">
      <c r="A62" s="779"/>
      <c r="B62" s="12"/>
      <c r="C62" s="13"/>
      <c r="D62" s="13"/>
      <c r="E62" s="13"/>
      <c r="F62" s="13"/>
      <c r="G62" s="13"/>
      <c r="H62" s="13"/>
      <c r="I62" s="13"/>
      <c r="J62" s="13"/>
      <c r="K62" s="14"/>
      <c r="L62" s="13"/>
      <c r="M62" s="14"/>
      <c r="N62" s="13"/>
      <c r="O62" s="14"/>
      <c r="P62" s="13"/>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row>
    <row r="63" spans="1:51" x14ac:dyDescent="0.2">
      <c r="A63" s="779"/>
      <c r="B63" s="12"/>
      <c r="C63" s="13"/>
      <c r="D63" s="13"/>
      <c r="E63" s="13"/>
      <c r="F63" s="13"/>
      <c r="G63" s="13"/>
      <c r="H63" s="13"/>
      <c r="I63" s="13"/>
      <c r="J63" s="13"/>
      <c r="K63" s="14"/>
      <c r="L63" s="13"/>
      <c r="M63" s="14"/>
      <c r="N63" s="13"/>
      <c r="O63" s="14"/>
      <c r="P63" s="13"/>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row>
    <row r="64" spans="1:51" ht="13.5" thickBot="1" x14ac:dyDescent="0.25">
      <c r="A64" s="780"/>
      <c r="B64" s="20" t="s">
        <v>1574</v>
      </c>
      <c r="C64" s="21">
        <f>+C61+C56+C31</f>
        <v>624059.19999999995</v>
      </c>
      <c r="D64" s="21">
        <f>+D31+D56+D61</f>
        <v>627106.03000000014</v>
      </c>
      <c r="E64" s="21">
        <f>+E31+E56+E61</f>
        <v>653275.82999999996</v>
      </c>
      <c r="F64" s="21">
        <f>+F61+F56+F31</f>
        <v>651031.29</v>
      </c>
      <c r="G64" s="21">
        <f>+G61+G56+G31</f>
        <v>655052.56000000006</v>
      </c>
      <c r="H64" s="21">
        <f>+H61+H56+H31</f>
        <v>630911.34</v>
      </c>
      <c r="I64" s="21">
        <f>+I31+I56+I61</f>
        <v>625348.28</v>
      </c>
      <c r="J64" s="21">
        <f>+J31+J56+J61</f>
        <v>824346.28999999992</v>
      </c>
      <c r="K64" s="22">
        <f>+K31+K56+K61</f>
        <v>1128500</v>
      </c>
      <c r="L64" s="21">
        <f t="shared" ref="L64:O64" si="15">+L31+L56+L61</f>
        <v>1057873.57</v>
      </c>
      <c r="M64" s="22">
        <f t="shared" si="15"/>
        <v>1066809</v>
      </c>
      <c r="N64" s="21">
        <f t="shared" ref="N64" si="16">+N31+N56+N61</f>
        <v>1054154.5900000001</v>
      </c>
      <c r="O64" s="22">
        <f t="shared" si="15"/>
        <v>1162190</v>
      </c>
      <c r="P64" s="21">
        <f>+P61+P56+P31</f>
        <v>480058.26</v>
      </c>
      <c r="Q64" s="22">
        <f>+Q31+Q56+Q61</f>
        <v>1154319</v>
      </c>
      <c r="R64" s="22">
        <f>+Q64</f>
        <v>1154319</v>
      </c>
      <c r="S64" s="22">
        <f>+Q64</f>
        <v>1154319</v>
      </c>
      <c r="T64" s="22"/>
      <c r="U64" s="22">
        <f t="shared" ref="U64:AX64" si="17">+U61+U56+U31</f>
        <v>1048500</v>
      </c>
      <c r="V64" s="22">
        <f t="shared" si="17"/>
        <v>1028709</v>
      </c>
      <c r="W64" s="22">
        <f t="shared" si="17"/>
        <v>1142189</v>
      </c>
      <c r="X64" s="22">
        <f t="shared" si="17"/>
        <v>1142582</v>
      </c>
      <c r="Y64" s="22">
        <f t="shared" si="17"/>
        <v>1147080</v>
      </c>
      <c r="Z64" s="22">
        <f t="shared" si="17"/>
        <v>1148288</v>
      </c>
      <c r="AA64" s="22">
        <f t="shared" si="17"/>
        <v>1143685</v>
      </c>
      <c r="AB64" s="22">
        <f t="shared" si="17"/>
        <v>1109151</v>
      </c>
      <c r="AC64" s="22">
        <f t="shared" si="17"/>
        <v>736721</v>
      </c>
      <c r="AD64" s="22">
        <f t="shared" si="17"/>
        <v>741211</v>
      </c>
      <c r="AE64" s="22">
        <f t="shared" si="17"/>
        <v>740812.25</v>
      </c>
      <c r="AF64" s="22">
        <f t="shared" si="17"/>
        <v>727594.5</v>
      </c>
      <c r="AG64" s="22">
        <f t="shared" si="17"/>
        <v>724417.5</v>
      </c>
      <c r="AH64" s="22">
        <f t="shared" si="17"/>
        <v>712561</v>
      </c>
      <c r="AI64" s="22">
        <f t="shared" si="17"/>
        <v>709287.75</v>
      </c>
      <c r="AJ64" s="22">
        <f t="shared" si="17"/>
        <v>684979</v>
      </c>
      <c r="AK64" s="22">
        <f t="shared" si="17"/>
        <v>679267</v>
      </c>
      <c r="AL64" s="22">
        <f t="shared" si="17"/>
        <v>681951</v>
      </c>
      <c r="AM64" s="22">
        <f t="shared" si="17"/>
        <v>644290</v>
      </c>
      <c r="AN64" s="22">
        <f t="shared" si="17"/>
        <v>603742</v>
      </c>
      <c r="AO64" s="22">
        <f t="shared" si="17"/>
        <v>508981</v>
      </c>
      <c r="AP64" s="22">
        <f t="shared" si="17"/>
        <v>506852</v>
      </c>
      <c r="AQ64" s="22">
        <f t="shared" si="17"/>
        <v>509078</v>
      </c>
      <c r="AR64" s="22">
        <f t="shared" si="17"/>
        <v>508795</v>
      </c>
      <c r="AS64" s="22">
        <f t="shared" si="17"/>
        <v>362778</v>
      </c>
      <c r="AT64" s="22">
        <f t="shared" si="17"/>
        <v>19420</v>
      </c>
      <c r="AU64" s="22">
        <f t="shared" si="17"/>
        <v>20621</v>
      </c>
      <c r="AV64" s="22">
        <f t="shared" si="17"/>
        <v>20497</v>
      </c>
      <c r="AW64" s="22">
        <f t="shared" si="17"/>
        <v>0</v>
      </c>
      <c r="AX64" s="22">
        <f t="shared" si="17"/>
        <v>0</v>
      </c>
    </row>
    <row r="65" spans="1:20" ht="13.5" thickTop="1" x14ac:dyDescent="0.2">
      <c r="A65" s="774"/>
      <c r="B65" s="4"/>
      <c r="C65" s="23"/>
      <c r="D65" s="23"/>
      <c r="E65" s="23"/>
      <c r="F65" s="23"/>
      <c r="G65" s="23"/>
      <c r="H65" s="23"/>
      <c r="I65" s="23"/>
      <c r="J65" s="23"/>
      <c r="K65" s="23"/>
      <c r="L65" s="23"/>
      <c r="M65" s="23"/>
      <c r="N65" s="23"/>
      <c r="O65" s="23"/>
      <c r="P65" s="199" t="s">
        <v>843</v>
      </c>
      <c r="Q65" s="1116">
        <f>+Q64-O64</f>
        <v>-7871</v>
      </c>
      <c r="R65" s="1117">
        <f>ROUND((+Q65/O64),4)</f>
        <v>-6.7999999999999996E-3</v>
      </c>
      <c r="S65" s="23"/>
      <c r="T65" s="23"/>
    </row>
    <row r="66" spans="1:20" x14ac:dyDescent="0.2">
      <c r="A66" s="774"/>
      <c r="B66" s="1081" t="s">
        <v>1575</v>
      </c>
      <c r="C66" s="23"/>
      <c r="D66" s="23"/>
      <c r="E66" s="23"/>
      <c r="F66" s="23"/>
      <c r="G66" s="23"/>
      <c r="H66" s="23"/>
      <c r="I66" s="23"/>
      <c r="J66" s="23"/>
      <c r="K66" s="23"/>
      <c r="L66" s="23"/>
      <c r="M66" s="23"/>
      <c r="N66" s="23"/>
      <c r="O66" s="23"/>
      <c r="P66" s="25"/>
      <c r="Q66" s="277"/>
      <c r="R66" s="277"/>
      <c r="S66" s="567"/>
      <c r="T66" s="567"/>
    </row>
    <row r="67" spans="1:20" x14ac:dyDescent="0.2">
      <c r="A67" s="774"/>
      <c r="B67" s="4"/>
      <c r="C67" s="23"/>
      <c r="D67" s="23"/>
      <c r="E67" s="23"/>
      <c r="F67" s="23"/>
      <c r="G67" s="23"/>
      <c r="H67" s="23"/>
      <c r="I67" s="23"/>
      <c r="J67" s="23"/>
      <c r="K67" s="23"/>
      <c r="L67" s="23"/>
      <c r="M67" s="23"/>
      <c r="N67" s="23"/>
      <c r="O67" s="23"/>
      <c r="P67" s="25"/>
      <c r="Q67" s="23"/>
      <c r="R67" s="23"/>
      <c r="S67" s="23"/>
      <c r="T67" s="23"/>
    </row>
    <row r="68" spans="1:20" x14ac:dyDescent="0.2">
      <c r="A68" s="774"/>
      <c r="B68" s="23" t="s">
        <v>1576</v>
      </c>
      <c r="C68" s="23"/>
      <c r="D68" s="23"/>
      <c r="E68" s="23"/>
      <c r="F68" s="23"/>
      <c r="G68" s="23"/>
      <c r="H68" s="23"/>
      <c r="I68" s="23"/>
      <c r="J68" s="23"/>
      <c r="K68" s="212"/>
      <c r="L68" s="23"/>
      <c r="M68" s="23"/>
      <c r="N68" s="23"/>
      <c r="O68" s="23"/>
      <c r="P68" s="4"/>
      <c r="S68" s="23"/>
      <c r="T68" s="23"/>
    </row>
    <row r="69" spans="1:20" x14ac:dyDescent="0.2">
      <c r="A69" s="774"/>
      <c r="B69" s="23" t="s">
        <v>1577</v>
      </c>
      <c r="C69" s="23"/>
      <c r="D69" s="23"/>
      <c r="E69" s="23"/>
      <c r="F69" s="23"/>
      <c r="G69" s="23"/>
      <c r="H69" s="23"/>
      <c r="I69" s="23"/>
      <c r="J69" s="23"/>
      <c r="K69" s="212"/>
      <c r="L69" s="23"/>
      <c r="M69" s="23"/>
      <c r="N69" s="23"/>
      <c r="O69" s="23"/>
      <c r="P69" s="4"/>
      <c r="Q69" s="627">
        <f>+Q64/(+'Working Budget with funding det'!R109-'Working Budget with funding det'!R98+'Working Budget with funding det'!R130)</f>
        <v>4.8768232651946901E-2</v>
      </c>
      <c r="R69" s="627"/>
      <c r="S69" s="23"/>
      <c r="T69" s="23"/>
    </row>
    <row r="70" spans="1:20" x14ac:dyDescent="0.2">
      <c r="A70" s="774"/>
      <c r="B70" s="23" t="s">
        <v>1578</v>
      </c>
      <c r="C70" s="23"/>
      <c r="D70" s="23"/>
      <c r="E70" s="23"/>
      <c r="F70" s="23"/>
      <c r="G70" s="23"/>
      <c r="H70" s="23"/>
      <c r="I70" s="23"/>
      <c r="J70" s="23"/>
      <c r="K70" s="212"/>
      <c r="L70" s="23"/>
      <c r="M70" s="23"/>
      <c r="N70" s="23"/>
      <c r="O70" s="23"/>
      <c r="P70" s="4"/>
      <c r="Q70" s="628">
        <f>+Q64/(+'Working Budget with funding det'!R109-Q64)</f>
        <v>0.10680942109654448</v>
      </c>
      <c r="R70" s="628"/>
      <c r="S70" s="23"/>
      <c r="T70" s="23"/>
    </row>
    <row r="71" spans="1:20" x14ac:dyDescent="0.2">
      <c r="A71" s="774"/>
      <c r="B71" s="23" t="s">
        <v>1579</v>
      </c>
      <c r="C71" s="23"/>
      <c r="D71" s="23"/>
      <c r="E71" s="23"/>
      <c r="F71" s="23"/>
      <c r="G71" s="23"/>
      <c r="H71" s="23"/>
      <c r="I71" s="23"/>
      <c r="J71" s="23"/>
      <c r="K71" s="212"/>
      <c r="L71" s="23"/>
      <c r="M71" s="23"/>
      <c r="N71" s="23"/>
      <c r="O71" s="23"/>
      <c r="P71" s="4"/>
      <c r="Q71" s="23"/>
      <c r="R71" s="23"/>
      <c r="S71" s="23"/>
      <c r="T71" s="23"/>
    </row>
    <row r="72" spans="1:20" x14ac:dyDescent="0.2">
      <c r="A72" s="774"/>
      <c r="B72" s="23"/>
      <c r="C72" s="23"/>
      <c r="D72" s="23"/>
      <c r="E72" s="23"/>
      <c r="F72" s="23"/>
      <c r="G72" s="23"/>
      <c r="H72" s="23"/>
      <c r="I72" s="23"/>
      <c r="J72" s="23"/>
      <c r="K72" s="212"/>
      <c r="L72" s="23"/>
      <c r="M72" s="23"/>
      <c r="N72" s="23"/>
      <c r="O72" s="23"/>
      <c r="P72" s="4"/>
      <c r="Q72" s="23"/>
      <c r="R72" s="23"/>
      <c r="S72" s="23"/>
      <c r="T72" s="23"/>
    </row>
    <row r="73" spans="1:20" x14ac:dyDescent="0.2">
      <c r="A73" s="774"/>
      <c r="B73" s="23" t="s">
        <v>1580</v>
      </c>
      <c r="C73" s="23"/>
      <c r="D73" s="23"/>
      <c r="E73" s="23"/>
      <c r="F73" s="23"/>
      <c r="G73" s="23"/>
      <c r="H73" s="23"/>
      <c r="I73" s="23"/>
      <c r="J73" s="23"/>
      <c r="K73" s="212"/>
      <c r="L73" s="23"/>
      <c r="M73" s="23"/>
      <c r="N73" s="23"/>
      <c r="O73" s="23"/>
      <c r="P73" s="4"/>
      <c r="Q73" s="23">
        <f>+Q56+Q31</f>
        <v>1134319</v>
      </c>
      <c r="R73" s="23"/>
      <c r="S73" s="23"/>
      <c r="T73" s="23"/>
    </row>
    <row r="74" spans="1:20" x14ac:dyDescent="0.2">
      <c r="A74" s="774"/>
      <c r="B74" s="23" t="s">
        <v>1581</v>
      </c>
      <c r="C74" s="23"/>
      <c r="D74" s="23"/>
      <c r="E74" s="23"/>
      <c r="F74" s="23"/>
      <c r="G74" s="23"/>
      <c r="H74" s="23"/>
      <c r="I74" s="23"/>
      <c r="J74" s="23"/>
      <c r="K74" s="212"/>
      <c r="L74" s="23"/>
      <c r="M74" s="23"/>
      <c r="N74" s="23"/>
      <c r="O74" s="23"/>
      <c r="P74" s="4"/>
      <c r="Q74" s="23">
        <f>+'Revenue Projections Detail'!M16</f>
        <v>21570869</v>
      </c>
      <c r="R74" s="23"/>
      <c r="S74" s="23"/>
      <c r="T74" s="23"/>
    </row>
    <row r="75" spans="1:20" x14ac:dyDescent="0.2">
      <c r="A75" s="774"/>
      <c r="B75" s="23" t="s">
        <v>1582</v>
      </c>
      <c r="C75" s="23"/>
      <c r="D75" s="23"/>
      <c r="E75" s="23"/>
      <c r="F75" s="23"/>
      <c r="G75" s="23"/>
      <c r="H75" s="23"/>
      <c r="I75" s="23"/>
      <c r="J75" s="23"/>
      <c r="K75" s="212"/>
      <c r="L75" s="23"/>
      <c r="M75" s="23"/>
      <c r="N75" s="23"/>
      <c r="O75" s="23"/>
      <c r="P75" s="4"/>
      <c r="Q75" s="678">
        <f>ROUND((+Q73/Q74),4)</f>
        <v>5.2600000000000001E-2</v>
      </c>
      <c r="R75" s="678"/>
      <c r="S75" s="23"/>
      <c r="T75" s="23"/>
    </row>
    <row r="76" spans="1:20" x14ac:dyDescent="0.2">
      <c r="A76" s="774"/>
      <c r="B76" s="23"/>
      <c r="C76" s="23"/>
      <c r="D76" s="23"/>
      <c r="E76" s="23"/>
      <c r="F76" s="23"/>
      <c r="G76" s="23"/>
      <c r="H76" s="23"/>
      <c r="I76" s="23"/>
      <c r="J76" s="23"/>
      <c r="K76" s="212"/>
      <c r="L76" s="23"/>
      <c r="M76" s="23"/>
      <c r="N76" s="23"/>
      <c r="O76" s="23"/>
      <c r="P76" s="4"/>
      <c r="Q76" s="23"/>
      <c r="R76" s="23"/>
      <c r="S76" s="23"/>
      <c r="T76" s="23"/>
    </row>
    <row r="77" spans="1:20" x14ac:dyDescent="0.2">
      <c r="A77" s="774"/>
      <c r="B77" s="23" t="s">
        <v>1583</v>
      </c>
      <c r="C77" s="23"/>
      <c r="D77" s="23"/>
      <c r="E77" s="23"/>
      <c r="F77" s="23"/>
      <c r="G77" s="23"/>
      <c r="H77" s="23"/>
      <c r="I77" s="23"/>
      <c r="J77" s="23"/>
      <c r="K77" s="212"/>
      <c r="L77" s="23"/>
      <c r="M77" s="23"/>
      <c r="N77" s="23"/>
      <c r="O77" s="23"/>
      <c r="P77" s="4"/>
      <c r="Q77" s="23">
        <f>+Q11+Q17+Q19+Q23+Q24+Q35+Q43+Q44+Q48+Q49</f>
        <v>38949</v>
      </c>
      <c r="R77" s="23"/>
      <c r="S77" s="23"/>
      <c r="T77" s="23"/>
    </row>
    <row r="78" spans="1:20" x14ac:dyDescent="0.2">
      <c r="A78" s="774"/>
      <c r="B78" s="23" t="s">
        <v>1584</v>
      </c>
      <c r="C78" s="23"/>
      <c r="D78" s="23"/>
      <c r="E78" s="23"/>
      <c r="F78" s="23"/>
      <c r="G78" s="23"/>
      <c r="H78" s="23"/>
      <c r="I78" s="23"/>
      <c r="J78" s="23"/>
      <c r="K78" s="212"/>
      <c r="L78" s="23"/>
      <c r="M78" s="23"/>
      <c r="N78" s="23"/>
      <c r="O78" s="23"/>
      <c r="P78" s="4"/>
      <c r="Q78" s="23">
        <f>+'Revenue Projections Detail'!M16-'Revenue Projections Detail'!M11</f>
        <v>20391808</v>
      </c>
      <c r="R78" s="23"/>
      <c r="S78" s="23"/>
      <c r="T78" s="23"/>
    </row>
    <row r="79" spans="1:20" x14ac:dyDescent="0.2">
      <c r="A79" s="774"/>
      <c r="B79" s="23" t="s">
        <v>1585</v>
      </c>
      <c r="C79" s="23"/>
      <c r="D79" s="23"/>
      <c r="E79" s="23"/>
      <c r="F79" s="23"/>
      <c r="G79" s="23"/>
      <c r="H79" s="23"/>
      <c r="I79" s="23"/>
      <c r="J79" s="23"/>
      <c r="K79" s="212"/>
      <c r="L79" s="23"/>
      <c r="M79" s="23"/>
      <c r="N79" s="23"/>
      <c r="O79" s="23"/>
      <c r="P79" s="4"/>
      <c r="Q79" s="678">
        <f>ROUND((+Q77/Q78),4)</f>
        <v>1.9E-3</v>
      </c>
      <c r="R79" s="678"/>
      <c r="S79" s="23"/>
      <c r="T79" s="23"/>
    </row>
    <row r="80" spans="1:20" x14ac:dyDescent="0.2">
      <c r="A80" s="774"/>
      <c r="B80" s="4"/>
      <c r="C80" s="23"/>
      <c r="D80" s="23"/>
      <c r="E80" s="23"/>
      <c r="F80" s="23"/>
      <c r="G80" s="23"/>
      <c r="H80" s="23"/>
      <c r="I80" s="23"/>
      <c r="J80" s="23"/>
      <c r="K80" s="23"/>
      <c r="L80" s="23"/>
      <c r="M80" s="23"/>
      <c r="N80" s="23"/>
      <c r="O80" s="23"/>
      <c r="P80" s="4"/>
      <c r="Q80" s="23"/>
      <c r="R80" s="23"/>
      <c r="S80" s="23"/>
      <c r="T80" s="23"/>
    </row>
    <row r="81" spans="1:20" x14ac:dyDescent="0.2">
      <c r="A81" s="774"/>
      <c r="B81" s="4"/>
      <c r="C81" s="23"/>
      <c r="D81" s="23"/>
      <c r="E81" s="23"/>
      <c r="F81" s="23"/>
      <c r="G81" s="23"/>
      <c r="H81" s="23"/>
      <c r="I81" s="23"/>
      <c r="J81" s="23"/>
      <c r="K81" s="23"/>
      <c r="L81" s="23"/>
      <c r="M81" s="23"/>
      <c r="N81" s="23"/>
      <c r="O81" s="23"/>
      <c r="P81" s="4"/>
      <c r="Q81" s="23"/>
      <c r="R81" s="23"/>
      <c r="S81" s="23"/>
      <c r="T81" s="23"/>
    </row>
    <row r="82" spans="1:20" x14ac:dyDescent="0.2">
      <c r="A82" s="774"/>
      <c r="B82" s="4"/>
      <c r="C82" s="23"/>
      <c r="D82" s="23"/>
      <c r="E82" s="23"/>
      <c r="F82" s="23"/>
      <c r="G82" s="23"/>
      <c r="H82" s="23"/>
      <c r="I82" s="23"/>
      <c r="J82" s="23"/>
      <c r="K82" s="23"/>
      <c r="L82" s="23"/>
      <c r="M82" s="23"/>
      <c r="N82" s="23"/>
      <c r="O82" s="23"/>
      <c r="P82" s="4"/>
      <c r="Q82" s="23"/>
      <c r="R82" s="23"/>
      <c r="S82" s="23"/>
      <c r="T82" s="23"/>
    </row>
    <row r="83" spans="1:20" x14ac:dyDescent="0.2">
      <c r="A83" s="774"/>
      <c r="B83" s="4"/>
      <c r="C83" s="23"/>
      <c r="D83" s="23"/>
      <c r="E83" s="23"/>
      <c r="F83" s="23"/>
      <c r="G83" s="23"/>
      <c r="H83" s="23"/>
      <c r="I83" s="23"/>
      <c r="J83" s="23"/>
      <c r="K83" s="23"/>
      <c r="L83" s="23"/>
      <c r="M83" s="23"/>
      <c r="N83" s="23"/>
      <c r="O83" s="23"/>
      <c r="P83" s="4"/>
      <c r="Q83" s="23"/>
      <c r="R83" s="23"/>
      <c r="S83" s="23"/>
      <c r="T83" s="23"/>
    </row>
    <row r="84" spans="1:20" x14ac:dyDescent="0.2">
      <c r="A84" s="774"/>
      <c r="B84" s="4"/>
      <c r="C84" s="23"/>
      <c r="D84" s="23"/>
      <c r="E84" s="23"/>
      <c r="F84" s="23"/>
      <c r="G84" s="23"/>
      <c r="H84" s="23"/>
      <c r="I84" s="23"/>
      <c r="J84" s="23"/>
      <c r="K84" s="23"/>
      <c r="L84" s="23"/>
      <c r="M84" s="23"/>
      <c r="N84" s="23"/>
      <c r="O84" s="23"/>
      <c r="P84" s="4"/>
      <c r="Q84" s="23"/>
      <c r="R84" s="23"/>
      <c r="S84" s="23"/>
      <c r="T84" s="23"/>
    </row>
    <row r="85" spans="1:20" x14ac:dyDescent="0.2">
      <c r="A85" s="774"/>
      <c r="B85" s="4"/>
      <c r="C85" s="23"/>
      <c r="D85" s="23"/>
      <c r="E85" s="23"/>
      <c r="F85" s="23"/>
      <c r="G85" s="23"/>
      <c r="H85" s="23"/>
      <c r="I85" s="23"/>
      <c r="J85" s="23"/>
      <c r="K85" s="23"/>
      <c r="L85" s="23"/>
      <c r="M85" s="23"/>
      <c r="N85" s="23"/>
      <c r="O85" s="23"/>
      <c r="P85" s="4"/>
      <c r="Q85" s="23"/>
      <c r="R85" s="23"/>
      <c r="S85" s="23"/>
      <c r="T85" s="23"/>
    </row>
    <row r="86" spans="1:20" x14ac:dyDescent="0.2">
      <c r="A86" s="774"/>
      <c r="B86" s="4"/>
      <c r="C86" s="23"/>
      <c r="D86" s="23"/>
      <c r="E86" s="23"/>
      <c r="F86" s="23"/>
      <c r="G86" s="23"/>
      <c r="H86" s="23"/>
      <c r="I86" s="23"/>
      <c r="J86" s="23"/>
      <c r="K86" s="23"/>
      <c r="L86" s="23"/>
      <c r="M86" s="23"/>
      <c r="N86" s="23"/>
      <c r="O86" s="23"/>
      <c r="P86" s="4"/>
      <c r="Q86" s="23"/>
      <c r="R86" s="23"/>
      <c r="S86" s="23"/>
      <c r="T86" s="23"/>
    </row>
    <row r="87" spans="1:20" x14ac:dyDescent="0.2">
      <c r="A87" s="774"/>
      <c r="B87" s="4"/>
      <c r="C87" s="23"/>
      <c r="D87" s="23"/>
      <c r="E87" s="23"/>
      <c r="F87" s="23"/>
      <c r="G87" s="23"/>
      <c r="H87" s="23"/>
      <c r="I87" s="23"/>
      <c r="J87" s="23"/>
      <c r="K87" s="23"/>
      <c r="L87" s="23"/>
      <c r="M87" s="23"/>
      <c r="N87" s="23"/>
      <c r="O87" s="23"/>
      <c r="P87" s="4"/>
      <c r="Q87" s="23"/>
      <c r="R87" s="23"/>
      <c r="S87" s="23"/>
      <c r="T87" s="23"/>
    </row>
    <row r="88" spans="1:20" x14ac:dyDescent="0.2">
      <c r="A88" s="774"/>
      <c r="B88" s="4"/>
      <c r="C88" s="23"/>
      <c r="D88" s="23"/>
      <c r="E88" s="23"/>
      <c r="F88" s="23"/>
      <c r="G88" s="23"/>
      <c r="H88" s="23"/>
      <c r="I88" s="23"/>
      <c r="J88" s="23"/>
      <c r="K88" s="23"/>
      <c r="L88" s="23"/>
      <c r="M88" s="23"/>
      <c r="N88" s="23"/>
      <c r="O88" s="23"/>
      <c r="P88" s="4"/>
      <c r="Q88" s="23"/>
      <c r="R88" s="23"/>
      <c r="S88" s="23"/>
      <c r="T88" s="23"/>
    </row>
    <row r="89" spans="1:20" x14ac:dyDescent="0.2">
      <c r="A89" s="774"/>
      <c r="B89" s="4"/>
      <c r="C89" s="23"/>
      <c r="D89" s="23"/>
      <c r="E89" s="23"/>
      <c r="F89" s="23"/>
      <c r="G89" s="23"/>
      <c r="H89" s="23"/>
      <c r="I89" s="23"/>
      <c r="J89" s="23"/>
      <c r="K89" s="23"/>
      <c r="L89" s="23"/>
      <c r="M89" s="23"/>
      <c r="N89" s="23"/>
      <c r="O89" s="23"/>
      <c r="P89" s="4"/>
      <c r="Q89" s="23"/>
      <c r="R89" s="23"/>
      <c r="S89" s="23"/>
      <c r="T89" s="23"/>
    </row>
    <row r="90" spans="1:20" x14ac:dyDescent="0.2">
      <c r="A90" s="774"/>
      <c r="B90" s="4"/>
      <c r="C90" s="23"/>
      <c r="D90" s="23"/>
      <c r="E90" s="23"/>
      <c r="F90" s="23"/>
      <c r="G90" s="23"/>
      <c r="H90" s="23"/>
      <c r="I90" s="23"/>
      <c r="J90" s="23"/>
      <c r="K90" s="23"/>
      <c r="L90" s="23"/>
      <c r="M90" s="23"/>
      <c r="N90" s="23"/>
      <c r="O90" s="23"/>
      <c r="P90" s="4"/>
      <c r="Q90" s="23"/>
      <c r="R90" s="23"/>
      <c r="S90" s="23"/>
      <c r="T90" s="23"/>
    </row>
    <row r="91" spans="1:20" x14ac:dyDescent="0.2">
      <c r="A91" s="774"/>
      <c r="B91" s="4"/>
      <c r="C91" s="23"/>
      <c r="D91" s="23"/>
      <c r="E91" s="23"/>
      <c r="F91" s="23"/>
      <c r="G91" s="23"/>
      <c r="H91" s="23"/>
      <c r="I91" s="23"/>
      <c r="J91" s="23"/>
      <c r="K91" s="23"/>
      <c r="L91" s="23"/>
      <c r="M91" s="23"/>
      <c r="N91" s="23"/>
      <c r="O91" s="23"/>
      <c r="P91" s="4"/>
      <c r="Q91" s="23"/>
      <c r="R91" s="23"/>
      <c r="S91" s="23"/>
      <c r="T91" s="23"/>
    </row>
    <row r="92" spans="1:20" x14ac:dyDescent="0.2">
      <c r="A92" s="774"/>
      <c r="B92" s="4"/>
      <c r="C92" s="23"/>
      <c r="D92" s="23"/>
      <c r="E92" s="23"/>
      <c r="F92" s="23"/>
      <c r="G92" s="23"/>
      <c r="H92" s="23"/>
      <c r="I92" s="23"/>
      <c r="J92" s="23"/>
      <c r="K92" s="23"/>
      <c r="L92" s="23"/>
      <c r="M92" s="23"/>
      <c r="N92" s="23"/>
      <c r="O92" s="23"/>
      <c r="P92" s="4"/>
      <c r="Q92" s="23"/>
      <c r="R92" s="23"/>
      <c r="S92" s="23"/>
      <c r="T92" s="23"/>
    </row>
    <row r="93" spans="1:20" x14ac:dyDescent="0.2">
      <c r="A93" s="774"/>
      <c r="B93" s="4"/>
      <c r="C93" s="23"/>
      <c r="D93" s="23"/>
      <c r="E93" s="23"/>
      <c r="F93" s="23"/>
      <c r="G93" s="23"/>
      <c r="H93" s="23"/>
      <c r="I93" s="23"/>
      <c r="J93" s="23"/>
      <c r="K93" s="23"/>
      <c r="L93" s="23"/>
      <c r="M93" s="23"/>
      <c r="N93" s="23"/>
      <c r="O93" s="23"/>
      <c r="P93" s="4"/>
      <c r="Q93" s="23"/>
      <c r="R93" s="23"/>
      <c r="S93" s="23"/>
      <c r="T93" s="23"/>
    </row>
    <row r="94" spans="1:20" x14ac:dyDescent="0.2">
      <c r="A94" s="774"/>
      <c r="B94" s="4"/>
      <c r="C94" s="23"/>
      <c r="D94" s="23"/>
      <c r="E94" s="23"/>
      <c r="F94" s="23"/>
      <c r="G94" s="23"/>
      <c r="H94" s="23"/>
      <c r="I94" s="23"/>
      <c r="J94" s="23"/>
      <c r="K94" s="23"/>
      <c r="L94" s="23"/>
      <c r="M94" s="23"/>
      <c r="N94" s="23"/>
      <c r="O94" s="23"/>
      <c r="P94" s="4"/>
      <c r="Q94" s="23"/>
      <c r="R94" s="23"/>
      <c r="S94" s="23"/>
      <c r="T94" s="23"/>
    </row>
    <row r="95" spans="1:20" x14ac:dyDescent="0.2">
      <c r="A95" s="774"/>
      <c r="B95" s="4"/>
      <c r="C95" s="23"/>
      <c r="D95" s="23"/>
      <c r="E95" s="23"/>
      <c r="F95" s="23"/>
      <c r="G95" s="23"/>
      <c r="H95" s="23"/>
      <c r="I95" s="23"/>
      <c r="J95" s="23"/>
      <c r="K95" s="23"/>
      <c r="L95" s="23"/>
      <c r="M95" s="23"/>
      <c r="N95" s="23"/>
      <c r="O95" s="23"/>
      <c r="P95" s="4"/>
      <c r="Q95" s="23"/>
      <c r="R95" s="23"/>
      <c r="S95" s="23"/>
      <c r="T95" s="23"/>
    </row>
    <row r="96" spans="1:20" x14ac:dyDescent="0.2">
      <c r="A96" s="774"/>
      <c r="B96" s="4"/>
      <c r="C96" s="23"/>
      <c r="D96" s="23"/>
      <c r="E96" s="23"/>
      <c r="F96" s="23"/>
      <c r="G96" s="23"/>
      <c r="H96" s="23"/>
      <c r="I96" s="23"/>
      <c r="J96" s="23"/>
      <c r="K96" s="23"/>
      <c r="L96" s="23"/>
      <c r="M96" s="23"/>
      <c r="N96" s="23"/>
      <c r="O96" s="23"/>
      <c r="P96" s="4"/>
      <c r="Q96" s="23"/>
      <c r="R96" s="23"/>
      <c r="S96" s="23"/>
      <c r="T96" s="23"/>
    </row>
    <row r="97" spans="1:20" x14ac:dyDescent="0.2">
      <c r="A97" s="774"/>
      <c r="B97" s="4"/>
      <c r="C97" s="23"/>
      <c r="D97" s="23"/>
      <c r="E97" s="23"/>
      <c r="F97" s="23"/>
      <c r="G97" s="23"/>
      <c r="H97" s="23"/>
      <c r="I97" s="23"/>
      <c r="J97" s="23"/>
      <c r="K97" s="23"/>
      <c r="L97" s="23"/>
      <c r="M97" s="23"/>
      <c r="N97" s="23"/>
      <c r="O97" s="23"/>
      <c r="P97" s="4"/>
      <c r="Q97" s="23"/>
      <c r="R97" s="23"/>
      <c r="S97" s="23"/>
      <c r="T97" s="23"/>
    </row>
    <row r="98" spans="1:20" x14ac:dyDescent="0.2">
      <c r="A98" s="774"/>
      <c r="B98" s="4"/>
      <c r="C98" s="23"/>
      <c r="D98" s="23"/>
      <c r="E98" s="23"/>
      <c r="F98" s="23"/>
      <c r="G98" s="23"/>
      <c r="H98" s="23"/>
      <c r="I98" s="23"/>
      <c r="J98" s="23"/>
      <c r="K98" s="23"/>
      <c r="L98" s="23"/>
      <c r="M98" s="23"/>
      <c r="N98" s="23"/>
      <c r="O98" s="23"/>
      <c r="P98" s="4"/>
      <c r="Q98" s="23"/>
      <c r="R98" s="23"/>
      <c r="S98" s="23"/>
      <c r="T98" s="23"/>
    </row>
    <row r="99" spans="1:20" x14ac:dyDescent="0.2">
      <c r="A99" s="774"/>
      <c r="B99" s="4"/>
      <c r="C99" s="23"/>
      <c r="D99" s="23"/>
      <c r="E99" s="23"/>
      <c r="F99" s="23"/>
      <c r="G99" s="23"/>
      <c r="H99" s="23"/>
      <c r="I99" s="23"/>
      <c r="J99" s="23"/>
      <c r="K99" s="23"/>
      <c r="L99" s="23"/>
      <c r="M99" s="23"/>
      <c r="N99" s="23"/>
      <c r="O99" s="23"/>
      <c r="P99" s="4"/>
      <c r="Q99" s="23"/>
      <c r="R99" s="23"/>
      <c r="S99" s="23"/>
      <c r="T99" s="23"/>
    </row>
    <row r="100" spans="1:20" x14ac:dyDescent="0.2">
      <c r="A100" s="774"/>
      <c r="B100" s="4"/>
      <c r="C100" s="23"/>
      <c r="D100" s="23"/>
      <c r="E100" s="23"/>
      <c r="F100" s="23"/>
      <c r="G100" s="23"/>
      <c r="H100" s="23"/>
      <c r="I100" s="23"/>
      <c r="J100" s="23"/>
      <c r="K100" s="23"/>
      <c r="L100" s="23"/>
      <c r="M100" s="23"/>
      <c r="N100" s="23"/>
      <c r="O100" s="23"/>
      <c r="P100" s="4"/>
      <c r="Q100" s="23"/>
      <c r="R100" s="23"/>
      <c r="S100" s="23"/>
      <c r="T100" s="23"/>
    </row>
    <row r="101" spans="1:20" x14ac:dyDescent="0.2">
      <c r="A101" s="774"/>
      <c r="B101" s="4"/>
      <c r="C101" s="23"/>
      <c r="D101" s="23"/>
      <c r="E101" s="23"/>
      <c r="F101" s="23"/>
      <c r="G101" s="23"/>
      <c r="H101" s="23"/>
      <c r="I101" s="23"/>
      <c r="J101" s="23"/>
      <c r="K101" s="23"/>
      <c r="L101" s="23"/>
      <c r="M101" s="23"/>
      <c r="N101" s="23"/>
      <c r="O101" s="23"/>
      <c r="P101" s="4"/>
      <c r="Q101" s="23"/>
      <c r="R101" s="23"/>
      <c r="S101" s="23"/>
      <c r="T101" s="23"/>
    </row>
    <row r="102" spans="1:20" x14ac:dyDescent="0.2">
      <c r="A102" s="774"/>
      <c r="B102" s="4"/>
      <c r="C102" s="23"/>
      <c r="D102" s="23"/>
      <c r="E102" s="23"/>
      <c r="F102" s="23"/>
      <c r="G102" s="23"/>
      <c r="H102" s="23"/>
      <c r="I102" s="23"/>
      <c r="J102" s="23"/>
      <c r="K102" s="23"/>
      <c r="L102" s="23"/>
      <c r="M102" s="23"/>
      <c r="N102" s="23"/>
      <c r="O102" s="23"/>
      <c r="P102" s="4"/>
      <c r="Q102" s="23"/>
      <c r="R102" s="23"/>
      <c r="S102" s="23"/>
      <c r="T102" s="23"/>
    </row>
    <row r="103" spans="1:20" x14ac:dyDescent="0.2">
      <c r="A103" s="774"/>
      <c r="B103" s="4"/>
      <c r="C103" s="23"/>
      <c r="D103" s="23"/>
      <c r="E103" s="23"/>
      <c r="F103" s="23"/>
      <c r="G103" s="23"/>
      <c r="H103" s="23"/>
      <c r="I103" s="23"/>
      <c r="J103" s="23"/>
      <c r="K103" s="23"/>
      <c r="L103" s="23"/>
      <c r="M103" s="23"/>
      <c r="N103" s="23"/>
      <c r="O103" s="23"/>
      <c r="P103" s="4"/>
      <c r="Q103" s="23"/>
      <c r="R103" s="23"/>
      <c r="S103" s="23"/>
      <c r="T103" s="23"/>
    </row>
    <row r="104" spans="1:20" x14ac:dyDescent="0.2">
      <c r="A104" s="774"/>
      <c r="B104" s="4"/>
      <c r="C104" s="23"/>
      <c r="D104" s="23"/>
      <c r="E104" s="23"/>
      <c r="F104" s="23"/>
      <c r="G104" s="23"/>
      <c r="H104" s="23"/>
      <c r="I104" s="23"/>
      <c r="J104" s="23"/>
      <c r="K104" s="23"/>
      <c r="L104" s="23"/>
      <c r="M104" s="23"/>
      <c r="N104" s="23"/>
      <c r="O104" s="23"/>
      <c r="P104" s="4"/>
      <c r="Q104" s="23"/>
      <c r="R104" s="23"/>
      <c r="S104" s="23"/>
      <c r="T104" s="23"/>
    </row>
    <row r="105" spans="1:20" x14ac:dyDescent="0.2">
      <c r="A105" s="774"/>
      <c r="B105" s="4"/>
      <c r="C105" s="23"/>
      <c r="D105" s="23"/>
      <c r="E105" s="23"/>
      <c r="F105" s="23"/>
      <c r="G105" s="23"/>
      <c r="H105" s="23"/>
      <c r="I105" s="23"/>
      <c r="J105" s="23"/>
      <c r="K105" s="23"/>
      <c r="L105" s="23"/>
      <c r="M105" s="23"/>
      <c r="N105" s="23"/>
      <c r="O105" s="23"/>
      <c r="P105" s="4"/>
      <c r="Q105" s="23"/>
      <c r="R105" s="23"/>
      <c r="S105" s="23"/>
      <c r="T105" s="23"/>
    </row>
    <row r="106" spans="1:20" x14ac:dyDescent="0.2">
      <c r="C106" s="212"/>
      <c r="D106" s="212"/>
      <c r="E106" s="212"/>
      <c r="F106" s="212"/>
      <c r="G106" s="212"/>
      <c r="H106" s="212"/>
      <c r="I106" s="212"/>
      <c r="J106" s="212"/>
      <c r="K106" s="212"/>
      <c r="L106" s="212"/>
      <c r="M106" s="212"/>
      <c r="N106" s="212"/>
      <c r="O106" s="212"/>
    </row>
    <row r="107" spans="1:20" x14ac:dyDescent="0.2">
      <c r="C107" s="212"/>
      <c r="D107" s="212"/>
      <c r="E107" s="212"/>
      <c r="F107" s="212"/>
      <c r="G107" s="212"/>
      <c r="H107" s="212"/>
      <c r="I107" s="212"/>
      <c r="J107" s="212"/>
      <c r="K107" s="212"/>
      <c r="L107" s="212"/>
      <c r="M107" s="212"/>
      <c r="N107" s="212"/>
      <c r="O107" s="212"/>
    </row>
    <row r="108" spans="1:20" x14ac:dyDescent="0.2">
      <c r="C108" s="212"/>
      <c r="D108" s="212"/>
      <c r="E108" s="212"/>
      <c r="F108" s="212"/>
      <c r="G108" s="212"/>
      <c r="H108" s="212"/>
      <c r="I108" s="212"/>
      <c r="J108" s="212"/>
      <c r="K108" s="212"/>
      <c r="L108" s="212"/>
      <c r="M108" s="212"/>
      <c r="N108" s="212"/>
      <c r="O108" s="212"/>
    </row>
    <row r="109" spans="1:20" x14ac:dyDescent="0.2">
      <c r="C109" s="212"/>
      <c r="D109" s="212"/>
      <c r="E109" s="212"/>
      <c r="F109" s="212"/>
      <c r="G109" s="212"/>
      <c r="H109" s="212"/>
      <c r="I109" s="212"/>
      <c r="J109" s="212"/>
      <c r="K109" s="212"/>
      <c r="L109" s="212"/>
      <c r="M109" s="212"/>
      <c r="N109" s="212"/>
      <c r="O109" s="212"/>
    </row>
    <row r="110" spans="1:20" x14ac:dyDescent="0.2">
      <c r="C110" s="212"/>
      <c r="D110" s="212"/>
      <c r="E110" s="212"/>
      <c r="F110" s="212"/>
      <c r="G110" s="212"/>
      <c r="H110" s="212"/>
      <c r="I110" s="212"/>
      <c r="J110" s="212"/>
      <c r="K110" s="212"/>
      <c r="L110" s="212"/>
      <c r="M110" s="212"/>
      <c r="N110" s="212"/>
      <c r="O110" s="212"/>
    </row>
    <row r="111" spans="1:20" x14ac:dyDescent="0.2">
      <c r="C111" s="212"/>
      <c r="D111" s="212"/>
      <c r="E111" s="212"/>
      <c r="F111" s="212"/>
      <c r="G111" s="212"/>
      <c r="H111" s="212"/>
      <c r="I111" s="212"/>
      <c r="J111" s="212"/>
      <c r="K111" s="212"/>
      <c r="L111" s="212"/>
      <c r="M111" s="212"/>
      <c r="N111" s="212"/>
      <c r="O111" s="212"/>
    </row>
    <row r="112" spans="1:20" x14ac:dyDescent="0.2">
      <c r="C112" s="212"/>
      <c r="D112" s="212"/>
      <c r="E112" s="212"/>
      <c r="F112" s="212"/>
      <c r="G112" s="212"/>
      <c r="H112" s="212"/>
      <c r="I112" s="212"/>
      <c r="J112" s="212"/>
      <c r="K112" s="212"/>
      <c r="L112" s="212"/>
      <c r="M112" s="212"/>
      <c r="N112" s="212"/>
      <c r="O112" s="212"/>
    </row>
    <row r="113" spans="3:3" x14ac:dyDescent="0.2">
      <c r="C113" s="212"/>
    </row>
    <row r="114" spans="3:3" x14ac:dyDescent="0.2">
      <c r="C114" s="212"/>
    </row>
    <row r="115" spans="3:3" x14ac:dyDescent="0.2">
      <c r="C115" s="212"/>
    </row>
    <row r="116" spans="3:3" x14ac:dyDescent="0.2">
      <c r="C116" s="212"/>
    </row>
    <row r="117" spans="3:3" x14ac:dyDescent="0.2">
      <c r="C117" s="212"/>
    </row>
    <row r="118" spans="3:3" x14ac:dyDescent="0.2">
      <c r="C118" s="212"/>
    </row>
    <row r="119" spans="3:3" x14ac:dyDescent="0.2">
      <c r="C119" s="212"/>
    </row>
    <row r="120" spans="3:3" x14ac:dyDescent="0.2">
      <c r="C120" s="212"/>
    </row>
    <row r="121" spans="3:3" x14ac:dyDescent="0.2">
      <c r="C121" s="212"/>
    </row>
    <row r="122" spans="3:3" x14ac:dyDescent="0.2">
      <c r="C122" s="212"/>
    </row>
    <row r="123" spans="3:3" x14ac:dyDescent="0.2">
      <c r="C123" s="212"/>
    </row>
    <row r="124" spans="3:3" x14ac:dyDescent="0.2">
      <c r="C124" s="212"/>
    </row>
    <row r="125" spans="3:3" x14ac:dyDescent="0.2">
      <c r="C125" s="212"/>
    </row>
    <row r="126" spans="3:3" x14ac:dyDescent="0.2">
      <c r="C126" s="212"/>
    </row>
    <row r="127" spans="3:3" x14ac:dyDescent="0.2">
      <c r="C127" s="212"/>
    </row>
    <row r="128" spans="3:3" x14ac:dyDescent="0.2">
      <c r="C128" s="212"/>
    </row>
    <row r="129" spans="3:3" x14ac:dyDescent="0.2">
      <c r="C129" s="212"/>
    </row>
    <row r="130" spans="3:3" x14ac:dyDescent="0.2">
      <c r="C130" s="212"/>
    </row>
    <row r="131" spans="3:3" x14ac:dyDescent="0.2">
      <c r="C131" s="212"/>
    </row>
    <row r="132" spans="3:3" x14ac:dyDescent="0.2">
      <c r="C132" s="212"/>
    </row>
    <row r="133" spans="3:3" x14ac:dyDescent="0.2">
      <c r="C133" s="212"/>
    </row>
    <row r="134" spans="3:3" x14ac:dyDescent="0.2">
      <c r="C134" s="212"/>
    </row>
    <row r="135" spans="3:3" x14ac:dyDescent="0.2">
      <c r="C135" s="212"/>
    </row>
    <row r="136" spans="3:3" x14ac:dyDescent="0.2">
      <c r="C136" s="212"/>
    </row>
    <row r="137" spans="3:3" x14ac:dyDescent="0.2">
      <c r="C137" s="212"/>
    </row>
    <row r="138" spans="3:3" x14ac:dyDescent="0.2">
      <c r="C138" s="212"/>
    </row>
    <row r="139" spans="3:3" x14ac:dyDescent="0.2">
      <c r="C139" s="212"/>
    </row>
    <row r="140" spans="3:3" x14ac:dyDescent="0.2">
      <c r="C140" s="212"/>
    </row>
    <row r="141" spans="3:3" x14ac:dyDescent="0.2">
      <c r="C141" s="212"/>
    </row>
    <row r="142" spans="3:3" x14ac:dyDescent="0.2">
      <c r="C142" s="212"/>
    </row>
    <row r="143" spans="3:3" x14ac:dyDescent="0.2">
      <c r="C143" s="212"/>
    </row>
    <row r="144" spans="3:3" x14ac:dyDescent="0.2">
      <c r="C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sheetData>
  <phoneticPr fontId="0" type="noConversion"/>
  <hyperlinks>
    <hyperlink ref="A1" location="'Working Budget with funding det'!A1" display="Main " xr:uid="{00000000-0004-0000-3100-000000000000}"/>
    <hyperlink ref="B1" location="'Table of Contents'!A1" display="TOC" xr:uid="{00000000-0004-0000-3100-000001000000}"/>
  </hyperlinks>
  <pageMargins left="0.7" right="0.7" top="0.75" bottom="0.75" header="0.3" footer="0.3"/>
  <pageSetup scale="70" fitToWidth="0" orientation="landscape" r:id="rId1"/>
  <headerFooter alignWithMargins="0">
    <oddFooter>&amp;L&amp;D     &amp;T&amp;C&amp;F&amp;R&amp;A</oddFooter>
  </headerFooter>
  <rowBreaks count="1" manualBreakCount="1">
    <brk id="31" max="16"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50"/>
    <pageSetUpPr fitToPage="1"/>
  </sheetPr>
  <dimension ref="A1:W191"/>
  <sheetViews>
    <sheetView topLeftCell="A4" workbookViewId="0">
      <selection activeCell="A18" sqref="A18"/>
    </sheetView>
  </sheetViews>
  <sheetFormatPr defaultRowHeight="12.75" x14ac:dyDescent="0.2"/>
  <cols>
    <col min="1" max="1" width="10.5" style="783" customWidth="1"/>
    <col min="2" max="2" width="36.6640625" customWidth="1"/>
    <col min="3" max="3" width="14.5" style="1" hidden="1" customWidth="1"/>
    <col min="4" max="12" width="14.5" style="106" hidden="1" customWidth="1"/>
    <col min="13" max="15" width="14.5" style="106" customWidth="1"/>
    <col min="16" max="16" width="14.5" customWidth="1"/>
    <col min="17" max="19" width="14.5" style="1" customWidth="1"/>
    <col min="20" max="22" width="14.5" customWidth="1"/>
    <col min="23" max="23" width="14.6640625" style="2" customWidth="1"/>
  </cols>
  <sheetData>
    <row r="1" spans="1:22" x14ac:dyDescent="0.2">
      <c r="A1" s="772" t="s">
        <v>847</v>
      </c>
      <c r="B1" s="308" t="s">
        <v>197</v>
      </c>
      <c r="D1" s="212"/>
      <c r="E1" s="212"/>
      <c r="F1" s="212"/>
      <c r="G1" s="212"/>
      <c r="H1" s="212"/>
      <c r="I1" s="212"/>
      <c r="J1" s="212"/>
      <c r="K1" s="212"/>
      <c r="L1" s="212"/>
      <c r="M1" s="212"/>
      <c r="N1" s="212"/>
      <c r="O1" s="212"/>
      <c r="S1"/>
    </row>
    <row r="2" spans="1:22" ht="15" x14ac:dyDescent="0.25">
      <c r="A2" s="773" t="s">
        <v>1586</v>
      </c>
      <c r="B2" s="43"/>
      <c r="D2" s="212"/>
      <c r="E2" s="126"/>
      <c r="F2" s="212"/>
      <c r="G2" s="212"/>
      <c r="H2" s="212"/>
      <c r="I2" s="126" t="s">
        <v>816</v>
      </c>
      <c r="J2" s="126"/>
      <c r="K2" s="126"/>
      <c r="L2" s="126"/>
      <c r="M2" s="126"/>
      <c r="N2" s="126"/>
      <c r="O2" s="126"/>
      <c r="P2" s="58" t="s">
        <v>1587</v>
      </c>
      <c r="S2" s="44" t="s">
        <v>1588</v>
      </c>
    </row>
    <row r="3" spans="1:22" ht="13.5" thickBot="1" x14ac:dyDescent="0.25">
      <c r="A3" s="774"/>
      <c r="B3" s="4"/>
      <c r="C3" s="23"/>
      <c r="D3" s="23"/>
      <c r="E3" s="23"/>
      <c r="F3" s="23"/>
      <c r="G3" s="23"/>
      <c r="H3" s="23"/>
      <c r="I3" s="23"/>
      <c r="J3" s="23"/>
      <c r="K3" s="23"/>
      <c r="L3" s="23"/>
      <c r="M3" s="23"/>
      <c r="N3" s="23"/>
      <c r="O3" s="23"/>
      <c r="P3" s="4"/>
      <c r="Q3" s="23"/>
      <c r="R3" s="23"/>
      <c r="S3" s="4"/>
      <c r="V3" s="4"/>
    </row>
    <row r="4" spans="1:22"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2"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2" x14ac:dyDescent="0.2">
      <c r="A6" s="776"/>
      <c r="B6" s="202"/>
      <c r="C6" s="113"/>
      <c r="D6" s="113"/>
      <c r="E6" s="113"/>
      <c r="F6" s="113"/>
      <c r="G6" s="113"/>
      <c r="H6" s="113"/>
      <c r="I6" s="83"/>
      <c r="J6" s="83"/>
      <c r="K6" s="83"/>
      <c r="L6" s="83"/>
      <c r="M6" s="83"/>
      <c r="N6" s="83"/>
      <c r="O6" s="83"/>
      <c r="P6" s="113"/>
      <c r="Q6" s="83" t="s">
        <v>823</v>
      </c>
      <c r="R6" s="83" t="s">
        <v>585</v>
      </c>
      <c r="S6" s="45" t="s">
        <v>824</v>
      </c>
    </row>
    <row r="7" spans="1:22"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2" ht="13.5" thickTop="1" x14ac:dyDescent="0.2">
      <c r="A8" s="796"/>
      <c r="B8" s="203"/>
      <c r="C8" s="118"/>
      <c r="D8" s="18"/>
      <c r="E8" s="18"/>
      <c r="F8" s="18"/>
      <c r="G8" s="18"/>
      <c r="H8" s="18"/>
      <c r="I8" s="19"/>
      <c r="J8" s="19"/>
      <c r="K8" s="19"/>
      <c r="L8" s="19"/>
      <c r="M8" s="19"/>
      <c r="N8" s="19"/>
      <c r="O8" s="19"/>
      <c r="P8" s="18"/>
      <c r="Q8" s="19"/>
      <c r="R8" s="19"/>
      <c r="S8" s="19"/>
    </row>
    <row r="9" spans="1:22" x14ac:dyDescent="0.2">
      <c r="A9" s="779">
        <v>5664</v>
      </c>
      <c r="B9" s="60" t="s">
        <v>1589</v>
      </c>
      <c r="C9" s="116">
        <v>51152</v>
      </c>
      <c r="D9" s="13">
        <v>54421</v>
      </c>
      <c r="E9" s="13">
        <v>35320</v>
      </c>
      <c r="F9" s="13">
        <v>51012</v>
      </c>
      <c r="G9" s="13">
        <v>52298</v>
      </c>
      <c r="H9" s="13">
        <v>53331</v>
      </c>
      <c r="I9" s="128">
        <v>53454</v>
      </c>
      <c r="J9" s="128">
        <f>-150+55514</f>
        <v>55364</v>
      </c>
      <c r="K9" s="14">
        <v>55957</v>
      </c>
      <c r="L9" s="128">
        <v>55957</v>
      </c>
      <c r="M9" s="14">
        <v>52856</v>
      </c>
      <c r="N9" s="128">
        <v>52856</v>
      </c>
      <c r="O9" s="14">
        <v>51558</v>
      </c>
      <c r="P9" s="13">
        <v>38818.5</v>
      </c>
      <c r="Q9" s="14">
        <v>52000</v>
      </c>
      <c r="R9" s="14"/>
      <c r="S9" s="14"/>
      <c r="U9" s="25"/>
    </row>
    <row r="10" spans="1:22" x14ac:dyDescent="0.2">
      <c r="A10" s="779">
        <v>5665</v>
      </c>
      <c r="B10" s="60" t="s">
        <v>1590</v>
      </c>
      <c r="C10" s="116">
        <v>3190.82</v>
      </c>
      <c r="D10" s="13">
        <v>3270.21</v>
      </c>
      <c r="E10" s="13">
        <v>3861.12</v>
      </c>
      <c r="F10" s="13">
        <v>4166.21</v>
      </c>
      <c r="G10" s="13">
        <v>4229.2299999999996</v>
      </c>
      <c r="H10" s="13">
        <v>6478.06</v>
      </c>
      <c r="I10" s="128">
        <v>6592.29</v>
      </c>
      <c r="J10" s="128">
        <v>6947.75</v>
      </c>
      <c r="K10" s="14">
        <v>7455</v>
      </c>
      <c r="L10" s="128">
        <v>7452.55</v>
      </c>
      <c r="M10" s="14">
        <f t="shared" ref="M10" si="0">ROUND((+I10*1.03),0)</f>
        <v>6790</v>
      </c>
      <c r="N10" s="128">
        <v>7452.55</v>
      </c>
      <c r="O10" s="14">
        <v>7161</v>
      </c>
      <c r="P10" s="13">
        <v>7160.15</v>
      </c>
      <c r="Q10" s="14">
        <v>7519</v>
      </c>
      <c r="R10" s="14"/>
      <c r="S10" s="14"/>
      <c r="U10" s="25"/>
    </row>
    <row r="11" spans="1:22" x14ac:dyDescent="0.2">
      <c r="A11" s="779">
        <v>5666</v>
      </c>
      <c r="B11" s="60" t="s">
        <v>1591</v>
      </c>
      <c r="C11" s="116">
        <v>17486</v>
      </c>
      <c r="D11" s="13">
        <v>19041</v>
      </c>
      <c r="E11" s="13">
        <v>21160</v>
      </c>
      <c r="F11" s="13">
        <v>23373</v>
      </c>
      <c r="G11" s="13">
        <v>24489</v>
      </c>
      <c r="H11" s="13">
        <v>25109</v>
      </c>
      <c r="I11" s="128">
        <v>26171</v>
      </c>
      <c r="J11" s="128">
        <v>27254</v>
      </c>
      <c r="K11" s="14">
        <v>30887</v>
      </c>
      <c r="L11" s="128">
        <v>30886.560000000001</v>
      </c>
      <c r="M11" s="14">
        <v>31274</v>
      </c>
      <c r="N11" s="128">
        <v>31276</v>
      </c>
      <c r="O11" s="14">
        <v>31763</v>
      </c>
      <c r="P11" s="13">
        <v>15881.5</v>
      </c>
      <c r="Q11" s="14">
        <v>33810</v>
      </c>
      <c r="R11" s="14"/>
      <c r="S11" s="14"/>
      <c r="U11" s="25"/>
    </row>
    <row r="12" spans="1:22" x14ac:dyDescent="0.2">
      <c r="A12" s="779">
        <v>5667</v>
      </c>
      <c r="B12" s="60" t="s">
        <v>1592</v>
      </c>
      <c r="C12" s="228"/>
      <c r="D12" s="35"/>
      <c r="E12" s="35"/>
      <c r="F12" s="35"/>
      <c r="G12" s="35"/>
      <c r="H12" s="35">
        <v>150</v>
      </c>
      <c r="I12" s="128">
        <v>150</v>
      </c>
      <c r="J12" s="128">
        <v>150</v>
      </c>
      <c r="K12" s="14">
        <v>150</v>
      </c>
      <c r="L12" s="218">
        <v>150</v>
      </c>
      <c r="M12" s="14">
        <v>150</v>
      </c>
      <c r="N12" s="218">
        <v>150</v>
      </c>
      <c r="O12" s="14">
        <v>150</v>
      </c>
      <c r="P12" s="35"/>
      <c r="Q12" s="14">
        <v>150</v>
      </c>
      <c r="R12" s="36"/>
      <c r="S12" s="36"/>
      <c r="U12" s="25"/>
    </row>
    <row r="13" spans="1:22" ht="13.5" thickBot="1" x14ac:dyDescent="0.25">
      <c r="A13" s="779">
        <v>5670</v>
      </c>
      <c r="B13" s="60" t="s">
        <v>1593</v>
      </c>
      <c r="C13" s="117">
        <v>11246</v>
      </c>
      <c r="D13" s="15">
        <v>11142</v>
      </c>
      <c r="E13" s="15">
        <v>11597</v>
      </c>
      <c r="F13" s="15">
        <v>15707</v>
      </c>
      <c r="G13" s="15">
        <v>11479.07</v>
      </c>
      <c r="H13" s="15">
        <v>14183.83</v>
      </c>
      <c r="I13" s="270">
        <v>14457.07</v>
      </c>
      <c r="J13" s="270">
        <v>14985.69</v>
      </c>
      <c r="K13" s="16">
        <v>16730</v>
      </c>
      <c r="L13" s="270">
        <v>16729.689999999999</v>
      </c>
      <c r="M13" s="16">
        <v>19650</v>
      </c>
      <c r="N13" s="270">
        <v>19649.45</v>
      </c>
      <c r="O13" s="16">
        <v>20015</v>
      </c>
      <c r="P13" s="15">
        <v>19669.7</v>
      </c>
      <c r="Q13" s="16">
        <v>20445</v>
      </c>
      <c r="R13" s="16"/>
      <c r="S13" s="16"/>
      <c r="U13" s="496"/>
    </row>
    <row r="14" spans="1:22" x14ac:dyDescent="0.2">
      <c r="A14" s="779"/>
      <c r="B14" s="60"/>
      <c r="C14" s="118"/>
      <c r="D14" s="18"/>
      <c r="E14" s="18"/>
      <c r="F14" s="18"/>
      <c r="G14" s="18"/>
      <c r="H14" s="18"/>
      <c r="I14" s="18"/>
      <c r="J14" s="18"/>
      <c r="K14" s="19"/>
      <c r="L14" s="18"/>
      <c r="M14" s="19"/>
      <c r="N14" s="18"/>
      <c r="O14" s="19"/>
      <c r="P14" s="18"/>
      <c r="Q14" s="19"/>
      <c r="R14" s="19"/>
      <c r="S14" s="19"/>
    </row>
    <row r="15" spans="1:22" ht="13.5" thickBot="1" x14ac:dyDescent="0.25">
      <c r="A15" s="780"/>
      <c r="B15" s="602" t="s">
        <v>1594</v>
      </c>
      <c r="C15" s="596">
        <f>SUM(C9:C14)</f>
        <v>83074.820000000007</v>
      </c>
      <c r="D15" s="21">
        <f>SUM(D9:D14)</f>
        <v>87874.209999999992</v>
      </c>
      <c r="E15" s="21">
        <f>SUM(E9:E14)</f>
        <v>71938.12</v>
      </c>
      <c r="F15" s="21">
        <f>SUM(F9:F13)</f>
        <v>94258.209999999992</v>
      </c>
      <c r="G15" s="21">
        <f>SUM(G9:G13)</f>
        <v>92495.299999999988</v>
      </c>
      <c r="H15" s="21">
        <f>SUM(H9:H13)</f>
        <v>99251.89</v>
      </c>
      <c r="I15" s="21">
        <f>SUM(I9:I14)</f>
        <v>100824.36000000002</v>
      </c>
      <c r="J15" s="21">
        <f>SUM(J9:J14)</f>
        <v>104701.44</v>
      </c>
      <c r="K15" s="39">
        <f>SUM(K9:K14)</f>
        <v>111179</v>
      </c>
      <c r="L15" s="21">
        <f t="shared" ref="L15:O15" si="1">SUM(L9:L14)</f>
        <v>111175.8</v>
      </c>
      <c r="M15" s="39">
        <f t="shared" si="1"/>
        <v>110720</v>
      </c>
      <c r="N15" s="21">
        <f t="shared" si="1"/>
        <v>111384</v>
      </c>
      <c r="O15" s="39">
        <f t="shared" si="1"/>
        <v>110647</v>
      </c>
      <c r="P15" s="21">
        <f>SUM(P9:P13)</f>
        <v>81529.850000000006</v>
      </c>
      <c r="Q15" s="39">
        <f>SUM(Q9:Q14)</f>
        <v>113924</v>
      </c>
      <c r="R15" s="39">
        <f>+Q15</f>
        <v>113924</v>
      </c>
      <c r="S15" s="39">
        <f>+Q15</f>
        <v>113924</v>
      </c>
    </row>
    <row r="16" spans="1:22" ht="13.5" thickTop="1" x14ac:dyDescent="0.2">
      <c r="A16" s="774"/>
      <c r="B16" s="603"/>
      <c r="C16" s="23"/>
      <c r="D16" s="23"/>
      <c r="E16" s="23"/>
      <c r="F16" s="23"/>
      <c r="G16" s="23"/>
      <c r="H16" s="23"/>
      <c r="I16" s="23"/>
      <c r="J16" s="23"/>
      <c r="K16" s="23"/>
      <c r="L16" s="23"/>
      <c r="M16" s="23"/>
      <c r="N16" s="23"/>
      <c r="O16" s="23"/>
      <c r="P16" s="199" t="s">
        <v>843</v>
      </c>
      <c r="Q16" s="1116">
        <f>+Q15-O15</f>
        <v>3277</v>
      </c>
      <c r="R16" s="1117">
        <f>ROUND((+Q16/O15),4)</f>
        <v>2.9600000000000001E-2</v>
      </c>
      <c r="S16" s="23"/>
      <c r="T16" s="25"/>
      <c r="U16" s="25"/>
      <c r="V16" s="25"/>
    </row>
    <row r="17" spans="1:22" x14ac:dyDescent="0.2">
      <c r="A17" s="54">
        <v>44930</v>
      </c>
      <c r="B17" s="603" t="s">
        <v>2390</v>
      </c>
      <c r="C17" s="23"/>
      <c r="D17" s="23"/>
      <c r="E17" s="23"/>
      <c r="F17" s="23"/>
      <c r="G17" s="23"/>
      <c r="H17" s="23"/>
      <c r="I17" s="23"/>
      <c r="J17" s="23"/>
      <c r="K17" s="23"/>
      <c r="L17" s="23"/>
      <c r="M17" s="23"/>
      <c r="N17" s="23"/>
      <c r="O17" s="23"/>
      <c r="P17" s="25"/>
      <c r="Q17" s="23"/>
      <c r="R17" s="23"/>
      <c r="S17" s="23"/>
      <c r="T17" s="25"/>
      <c r="U17" s="25"/>
      <c r="V17" s="25"/>
    </row>
    <row r="18" spans="1:22" x14ac:dyDescent="0.2">
      <c r="A18" s="54"/>
      <c r="B18" s="603"/>
      <c r="C18" s="23"/>
      <c r="D18" s="23"/>
      <c r="E18" s="23"/>
      <c r="F18" s="23"/>
      <c r="G18" s="23"/>
      <c r="H18" s="23"/>
      <c r="I18" s="23"/>
      <c r="J18" s="23"/>
      <c r="K18" s="23"/>
      <c r="L18" s="23"/>
      <c r="M18" s="23"/>
      <c r="N18" s="23"/>
      <c r="O18" s="23"/>
      <c r="P18" s="25"/>
      <c r="Q18" s="23"/>
      <c r="R18" s="23"/>
      <c r="S18" s="23"/>
      <c r="T18" s="25"/>
      <c r="U18" s="25"/>
      <c r="V18" s="25"/>
    </row>
    <row r="19" spans="1:22" x14ac:dyDescent="0.2">
      <c r="A19" s="54"/>
      <c r="B19" s="4"/>
      <c r="C19" s="23"/>
      <c r="D19" s="23"/>
      <c r="E19" s="23"/>
      <c r="F19" s="23"/>
      <c r="G19" s="23"/>
      <c r="H19" s="23"/>
      <c r="I19" s="23"/>
      <c r="J19" s="23"/>
      <c r="K19" s="23"/>
      <c r="L19" s="23"/>
      <c r="M19" s="23"/>
      <c r="N19" s="23"/>
      <c r="O19" s="23"/>
      <c r="P19" s="25"/>
      <c r="Q19" s="23"/>
      <c r="R19" s="23"/>
      <c r="S19" s="23"/>
      <c r="T19" s="25"/>
      <c r="U19" s="25"/>
      <c r="V19" s="25"/>
    </row>
    <row r="20" spans="1:22" x14ac:dyDescent="0.2">
      <c r="A20" s="54"/>
      <c r="B20" s="4"/>
      <c r="C20" s="23"/>
      <c r="D20" s="23"/>
      <c r="E20" s="23"/>
      <c r="F20" s="23"/>
      <c r="G20" s="23"/>
      <c r="H20" s="23"/>
      <c r="I20" s="23"/>
      <c r="J20" s="23"/>
      <c r="K20" s="23"/>
      <c r="L20" s="23"/>
      <c r="M20" s="23"/>
      <c r="N20" s="23"/>
      <c r="O20" s="23"/>
      <c r="P20" s="25"/>
      <c r="Q20" s="23"/>
      <c r="R20" s="23"/>
      <c r="S20" s="23"/>
      <c r="T20" s="25"/>
      <c r="U20" s="25"/>
      <c r="V20" s="25"/>
    </row>
    <row r="21" spans="1:22" ht="13.5" thickBot="1" x14ac:dyDescent="0.25">
      <c r="A21" s="774"/>
      <c r="B21" s="4"/>
      <c r="C21" s="24"/>
      <c r="D21" s="24"/>
      <c r="E21" s="24"/>
      <c r="F21" s="24"/>
      <c r="G21" s="24"/>
      <c r="H21" s="24"/>
      <c r="I21" s="24"/>
      <c r="J21" s="24"/>
      <c r="K21" s="24"/>
      <c r="L21" s="24"/>
      <c r="M21" s="24"/>
      <c r="N21" s="24"/>
      <c r="O21" s="24"/>
      <c r="P21" s="25"/>
      <c r="Q21" s="24"/>
      <c r="R21" s="24"/>
      <c r="S21" s="25"/>
      <c r="T21" s="25"/>
      <c r="U21" s="25"/>
      <c r="V21" s="25"/>
    </row>
    <row r="22" spans="1:22" ht="13.5" thickTop="1" x14ac:dyDescent="0.2">
      <c r="A22" s="789"/>
      <c r="B22" s="367"/>
      <c r="C22" s="368" t="s">
        <v>280</v>
      </c>
      <c r="D22" s="369" t="s">
        <v>280</v>
      </c>
      <c r="E22" s="368" t="s">
        <v>280</v>
      </c>
      <c r="F22" s="212"/>
      <c r="G22" s="212"/>
      <c r="H22" s="212"/>
      <c r="I22" s="212"/>
      <c r="J22" s="212"/>
      <c r="K22" s="212"/>
      <c r="L22" s="212"/>
      <c r="M22" s="370" t="s">
        <v>279</v>
      </c>
      <c r="N22" s="371" t="s">
        <v>826</v>
      </c>
      <c r="O22" s="372" t="s">
        <v>840</v>
      </c>
      <c r="P22" s="371" t="s">
        <v>841</v>
      </c>
      <c r="Q22" s="373"/>
      <c r="R22" s="569"/>
      <c r="S22" s="372"/>
      <c r="T22" s="25"/>
      <c r="U22" s="25"/>
      <c r="V22" s="25"/>
    </row>
    <row r="23" spans="1:22" ht="13.5" thickBot="1" x14ac:dyDescent="0.25">
      <c r="A23" s="790"/>
      <c r="B23" s="374"/>
      <c r="C23" s="421" t="s">
        <v>267</v>
      </c>
      <c r="D23" s="421" t="s">
        <v>268</v>
      </c>
      <c r="E23" s="377" t="s">
        <v>269</v>
      </c>
      <c r="F23" s="212"/>
      <c r="G23" s="212"/>
      <c r="H23" s="212"/>
      <c r="I23" s="212"/>
      <c r="J23" s="212"/>
      <c r="K23" s="212"/>
      <c r="L23" s="212"/>
      <c r="M23" s="377" t="s">
        <v>277</v>
      </c>
      <c r="N23" s="377" t="s">
        <v>571</v>
      </c>
      <c r="O23" s="376" t="s">
        <v>843</v>
      </c>
      <c r="P23" s="378" t="s">
        <v>843</v>
      </c>
      <c r="Q23" s="379" t="s">
        <v>844</v>
      </c>
      <c r="R23" s="570"/>
      <c r="S23" s="377"/>
      <c r="T23" s="25"/>
      <c r="U23" s="25"/>
      <c r="V23" s="25"/>
    </row>
    <row r="24" spans="1:22" ht="13.5" thickTop="1" x14ac:dyDescent="0.2">
      <c r="A24" s="797"/>
      <c r="B24" s="394"/>
      <c r="C24" s="383"/>
      <c r="D24" s="383"/>
      <c r="E24" s="383"/>
      <c r="F24" s="212"/>
      <c r="G24" s="212"/>
      <c r="H24" s="212"/>
      <c r="I24" s="212"/>
      <c r="J24" s="212"/>
      <c r="K24" s="212"/>
      <c r="L24" s="212"/>
      <c r="M24" s="383"/>
      <c r="N24" s="383"/>
      <c r="O24" s="384"/>
      <c r="P24" s="383"/>
      <c r="Q24" s="422"/>
      <c r="R24" s="571"/>
      <c r="S24" s="423"/>
      <c r="T24" s="25"/>
      <c r="U24" s="25"/>
      <c r="V24" s="25"/>
    </row>
    <row r="25" spans="1:22" x14ac:dyDescent="0.2">
      <c r="A25" s="795">
        <v>5664</v>
      </c>
      <c r="B25" s="387" t="s">
        <v>1595</v>
      </c>
      <c r="C25" s="391">
        <v>51152</v>
      </c>
      <c r="D25" s="391">
        <v>54421</v>
      </c>
      <c r="E25" s="391">
        <v>35320</v>
      </c>
      <c r="F25" s="212"/>
      <c r="G25" s="212"/>
      <c r="H25" s="212"/>
      <c r="I25" s="212"/>
      <c r="J25" s="212"/>
      <c r="K25" s="212"/>
      <c r="L25" s="212"/>
      <c r="M25" s="390">
        <f>+O9</f>
        <v>51558</v>
      </c>
      <c r="N25" s="411">
        <f>+Q9</f>
        <v>52000</v>
      </c>
      <c r="O25" s="414">
        <f>+N25-M25</f>
        <v>442</v>
      </c>
      <c r="P25" s="392">
        <f>IF(M25+N25&lt;&gt;0,IF(M25&lt;&gt;0,IF(O25&lt;&gt;0,ROUND((+O25/M25),4),""),1),"")</f>
        <v>8.6E-3</v>
      </c>
      <c r="Q25" s="385" t="s">
        <v>2273</v>
      </c>
      <c r="R25" s="572"/>
      <c r="S25" s="386"/>
      <c r="T25" s="25"/>
      <c r="U25" s="25"/>
      <c r="V25" s="25"/>
    </row>
    <row r="26" spans="1:22" x14ac:dyDescent="0.2">
      <c r="A26" s="795">
        <v>5665</v>
      </c>
      <c r="B26" s="387" t="s">
        <v>1590</v>
      </c>
      <c r="C26" s="391">
        <v>3190.82</v>
      </c>
      <c r="D26" s="391">
        <v>3270.21</v>
      </c>
      <c r="E26" s="391">
        <v>3861.12</v>
      </c>
      <c r="F26" s="212"/>
      <c r="G26" s="212"/>
      <c r="H26" s="212"/>
      <c r="I26" s="212"/>
      <c r="J26" s="212"/>
      <c r="K26" s="212"/>
      <c r="L26" s="212"/>
      <c r="M26" s="390">
        <f>+O10</f>
        <v>7161</v>
      </c>
      <c r="N26" s="411">
        <f>+Q10</f>
        <v>7519</v>
      </c>
      <c r="O26" s="414">
        <f>+N26-M26</f>
        <v>358</v>
      </c>
      <c r="P26" s="392">
        <f>IF(M26+N26&lt;&gt;0,IF(M26&lt;&gt;0,IF(O26&lt;&gt;0,ROUND((+O26/M26),4),""),1),"")</f>
        <v>0.05</v>
      </c>
      <c r="Q26" s="385" t="s">
        <v>2274</v>
      </c>
      <c r="R26" s="572"/>
      <c r="S26" s="386"/>
      <c r="T26" s="25"/>
      <c r="U26" s="25"/>
      <c r="V26" s="25"/>
    </row>
    <row r="27" spans="1:22" x14ac:dyDescent="0.2">
      <c r="A27" s="795">
        <v>5666</v>
      </c>
      <c r="B27" s="387" t="s">
        <v>1591</v>
      </c>
      <c r="C27" s="391">
        <v>17486</v>
      </c>
      <c r="D27" s="391">
        <v>19041</v>
      </c>
      <c r="E27" s="391">
        <v>21160</v>
      </c>
      <c r="F27" s="212"/>
      <c r="G27" s="212"/>
      <c r="H27" s="212"/>
      <c r="I27" s="212"/>
      <c r="J27" s="212"/>
      <c r="K27" s="212"/>
      <c r="L27" s="212"/>
      <c r="M27" s="390">
        <f>+O11</f>
        <v>31763</v>
      </c>
      <c r="N27" s="411">
        <f>+Q11</f>
        <v>33810</v>
      </c>
      <c r="O27" s="414">
        <f>+N27-M27</f>
        <v>2047</v>
      </c>
      <c r="P27" s="392">
        <f>IF(M27+N27&lt;&gt;0,IF(M27&lt;&gt;0,IF(O27&lt;&gt;0,ROUND((+O27/M27),4),""),1),"")</f>
        <v>6.4399999999999999E-2</v>
      </c>
      <c r="Q27" s="385" t="s">
        <v>2275</v>
      </c>
      <c r="R27" s="572"/>
      <c r="S27" s="386"/>
      <c r="T27" s="25"/>
      <c r="U27" s="25"/>
      <c r="V27" s="25"/>
    </row>
    <row r="28" spans="1:22" x14ac:dyDescent="0.2">
      <c r="A28" s="795">
        <v>5667</v>
      </c>
      <c r="B28" s="387" t="s">
        <v>1592</v>
      </c>
      <c r="C28" s="393"/>
      <c r="D28" s="393"/>
      <c r="E28" s="393"/>
      <c r="F28" s="212"/>
      <c r="G28" s="212"/>
      <c r="H28" s="212"/>
      <c r="I28" s="212"/>
      <c r="J28" s="212"/>
      <c r="K28" s="212"/>
      <c r="L28" s="212"/>
      <c r="M28" s="390">
        <f>+O12</f>
        <v>150</v>
      </c>
      <c r="N28" s="411">
        <f>+Q12</f>
        <v>150</v>
      </c>
      <c r="O28" s="414">
        <f>+N28-M28</f>
        <v>0</v>
      </c>
      <c r="P28" s="392" t="str">
        <f>IF(M28+N28&lt;&gt;0,IF(M28&lt;&gt;0,IF(O28&lt;&gt;0,ROUND((+O28/M28),4),""),1),"")</f>
        <v/>
      </c>
      <c r="Q28" s="424" t="s">
        <v>2276</v>
      </c>
      <c r="R28" s="1028"/>
      <c r="S28" s="425"/>
      <c r="T28" s="25"/>
      <c r="U28" s="25"/>
      <c r="V28" s="25"/>
    </row>
    <row r="29" spans="1:22" ht="13.5" thickBot="1" x14ac:dyDescent="0.25">
      <c r="A29" s="795">
        <v>5670</v>
      </c>
      <c r="B29" s="387" t="s">
        <v>1593</v>
      </c>
      <c r="C29" s="389">
        <v>11246</v>
      </c>
      <c r="D29" s="389">
        <v>11142</v>
      </c>
      <c r="E29" s="389">
        <v>11597</v>
      </c>
      <c r="F29" s="212"/>
      <c r="G29" s="212"/>
      <c r="H29" s="212"/>
      <c r="I29" s="212"/>
      <c r="J29" s="212"/>
      <c r="K29" s="212"/>
      <c r="L29" s="212"/>
      <c r="M29" s="390">
        <f>+O13</f>
        <v>20015</v>
      </c>
      <c r="N29" s="411">
        <f>+Q13</f>
        <v>20445</v>
      </c>
      <c r="O29" s="414">
        <f>+N29-M29</f>
        <v>430</v>
      </c>
      <c r="P29" s="392">
        <f>IF(M29+N29&lt;&gt;0,IF(M29&lt;&gt;0,IF(O29&lt;&gt;0,ROUND((+O29/M29),4),""),1),"")</f>
        <v>2.1499999999999998E-2</v>
      </c>
      <c r="Q29" s="385" t="s">
        <v>2275</v>
      </c>
      <c r="R29" s="572"/>
      <c r="S29" s="419"/>
      <c r="T29" s="25"/>
      <c r="U29" s="25"/>
      <c r="V29" s="25"/>
    </row>
    <row r="30" spans="1:22" x14ac:dyDescent="0.2">
      <c r="A30" s="774"/>
      <c r="B30" s="4"/>
      <c r="C30" s="23"/>
      <c r="D30" s="23"/>
      <c r="E30" s="23"/>
      <c r="F30" s="23"/>
      <c r="G30" s="23"/>
      <c r="H30" s="212"/>
      <c r="I30" s="212"/>
      <c r="J30" s="212"/>
      <c r="K30" s="212"/>
      <c r="L30" s="212"/>
      <c r="M30" s="23"/>
      <c r="N30" s="23"/>
      <c r="O30" s="23"/>
      <c r="P30" s="25"/>
      <c r="Q30" s="23"/>
      <c r="R30" s="23"/>
      <c r="S30" s="23"/>
      <c r="T30" s="25"/>
      <c r="U30" s="25"/>
      <c r="V30" s="25"/>
    </row>
    <row r="31" spans="1:22" x14ac:dyDescent="0.2">
      <c r="A31" s="774"/>
      <c r="B31" s="4" t="s">
        <v>846</v>
      </c>
      <c r="C31" s="23"/>
      <c r="D31" s="23"/>
      <c r="E31" s="23"/>
      <c r="F31" s="23"/>
      <c r="G31" s="23"/>
      <c r="H31" s="212"/>
      <c r="I31" s="212"/>
      <c r="J31" s="212"/>
      <c r="K31" s="212"/>
      <c r="L31" s="212"/>
      <c r="M31" s="616">
        <f>SUM(M25:M30)</f>
        <v>110647</v>
      </c>
      <c r="N31" s="616">
        <f>SUM(N25:N30)</f>
        <v>113924</v>
      </c>
      <c r="O31" s="25">
        <f>+N31-M31</f>
        <v>3277</v>
      </c>
      <c r="P31" s="617">
        <f>IF(M31+N31&lt;&gt;0,IF(M31&lt;&gt;0,IF(O31&lt;&gt;0,ROUND((+O31/M31),4),""),1),"")</f>
        <v>2.9600000000000001E-2</v>
      </c>
      <c r="Q31" s="23"/>
      <c r="R31" s="23"/>
      <c r="S31" s="23"/>
      <c r="T31" s="25"/>
      <c r="U31" s="25"/>
      <c r="V31" s="25"/>
    </row>
    <row r="32" spans="1:22" x14ac:dyDescent="0.2">
      <c r="A32" s="774"/>
      <c r="B32" s="4"/>
      <c r="C32" s="23"/>
      <c r="D32" s="23"/>
      <c r="E32" s="23"/>
      <c r="F32" s="23"/>
      <c r="G32" s="23"/>
      <c r="H32" s="212"/>
      <c r="I32" s="23"/>
      <c r="J32" s="23"/>
      <c r="K32" s="23"/>
      <c r="L32" s="23"/>
      <c r="M32" s="23"/>
      <c r="N32" s="23"/>
      <c r="O32" s="23"/>
      <c r="P32" s="25"/>
      <c r="Q32" s="23"/>
      <c r="R32" s="23"/>
      <c r="S32" s="23"/>
      <c r="T32" s="25"/>
      <c r="U32" s="25"/>
      <c r="V32" s="25"/>
    </row>
    <row r="33" spans="1:22" x14ac:dyDescent="0.2">
      <c r="A33" s="774"/>
      <c r="B33" s="4"/>
      <c r="C33" s="23"/>
      <c r="D33" s="23"/>
      <c r="E33" s="23"/>
      <c r="F33" s="23"/>
      <c r="G33" s="23"/>
      <c r="H33" s="212"/>
      <c r="I33" s="23"/>
      <c r="J33" s="23"/>
      <c r="K33" s="23"/>
      <c r="L33" s="23"/>
      <c r="M33" s="23"/>
      <c r="N33" s="23"/>
      <c r="O33" s="23"/>
      <c r="P33" s="25"/>
      <c r="Q33" s="23"/>
      <c r="R33" s="23"/>
      <c r="S33" s="23"/>
      <c r="T33" s="25"/>
      <c r="U33" s="25"/>
      <c r="V33" s="25"/>
    </row>
    <row r="34" spans="1:22" x14ac:dyDescent="0.2">
      <c r="A34" s="774"/>
      <c r="B34" s="4"/>
      <c r="C34" s="23"/>
      <c r="D34" s="23"/>
      <c r="E34" s="23"/>
      <c r="F34" s="23"/>
      <c r="G34" s="23"/>
      <c r="H34" s="23"/>
      <c r="I34" s="23"/>
      <c r="J34" s="23"/>
      <c r="K34" s="23"/>
      <c r="L34" s="23"/>
      <c r="M34" s="23"/>
      <c r="N34" s="23"/>
      <c r="O34" s="23"/>
      <c r="P34" s="25"/>
      <c r="Q34" s="23"/>
      <c r="R34" s="23"/>
      <c r="S34" s="23"/>
      <c r="T34" s="25"/>
      <c r="U34" s="25"/>
      <c r="V34" s="25"/>
    </row>
    <row r="35" spans="1:22" x14ac:dyDescent="0.2">
      <c r="A35" s="774"/>
      <c r="B35" s="4"/>
      <c r="C35" s="23"/>
      <c r="D35" s="23"/>
      <c r="E35" s="23"/>
      <c r="F35" s="23"/>
      <c r="G35" s="23"/>
      <c r="H35" s="23"/>
      <c r="I35" s="23"/>
      <c r="J35" s="23"/>
      <c r="K35" s="23"/>
      <c r="L35" s="23"/>
      <c r="M35" s="23"/>
      <c r="N35" s="23"/>
      <c r="O35" s="23"/>
      <c r="P35" s="25"/>
      <c r="Q35" s="23"/>
      <c r="R35" s="23"/>
      <c r="S35" s="23"/>
      <c r="T35" s="25"/>
      <c r="U35" s="25"/>
      <c r="V35" s="25"/>
    </row>
    <row r="36" spans="1:22" x14ac:dyDescent="0.2">
      <c r="A36" s="774"/>
      <c r="B36" s="4"/>
      <c r="C36" s="23"/>
      <c r="D36" s="23"/>
      <c r="E36" s="23"/>
      <c r="F36" s="23"/>
      <c r="G36" s="23"/>
      <c r="H36" s="23"/>
      <c r="I36" s="23"/>
      <c r="J36" s="23"/>
      <c r="K36" s="23"/>
      <c r="L36" s="23"/>
      <c r="M36" s="23"/>
      <c r="N36" s="23"/>
      <c r="O36" s="23"/>
      <c r="P36" s="25"/>
      <c r="Q36" s="23"/>
      <c r="R36" s="23"/>
      <c r="S36" s="23"/>
      <c r="T36" s="25"/>
      <c r="U36" s="25"/>
      <c r="V36" s="25"/>
    </row>
    <row r="37" spans="1:22" x14ac:dyDescent="0.2">
      <c r="A37" s="774"/>
      <c r="B37" s="4"/>
      <c r="C37" s="23"/>
      <c r="D37" s="23"/>
      <c r="E37" s="23"/>
      <c r="F37" s="23"/>
      <c r="G37" s="23"/>
      <c r="H37" s="23"/>
      <c r="I37" s="23"/>
      <c r="J37" s="23"/>
      <c r="K37" s="23"/>
      <c r="L37" s="23"/>
      <c r="M37" s="23"/>
      <c r="N37" s="23"/>
      <c r="O37" s="23"/>
      <c r="P37" s="25"/>
      <c r="Q37" s="23"/>
      <c r="R37" s="23"/>
      <c r="S37" s="23"/>
      <c r="T37" s="25"/>
      <c r="U37" s="25"/>
      <c r="V37" s="25"/>
    </row>
    <row r="38" spans="1:22" x14ac:dyDescent="0.2">
      <c r="A38" s="774"/>
      <c r="B38" s="4"/>
      <c r="C38" s="23"/>
      <c r="D38" s="23"/>
      <c r="E38" s="23"/>
      <c r="F38" s="23"/>
      <c r="G38" s="23"/>
      <c r="H38" s="23"/>
      <c r="I38" s="23"/>
      <c r="J38" s="23"/>
      <c r="K38" s="23"/>
      <c r="L38" s="23"/>
      <c r="M38" s="23"/>
      <c r="N38" s="23"/>
      <c r="O38" s="23"/>
      <c r="P38" s="25"/>
      <c r="Q38" s="23"/>
      <c r="R38" s="23"/>
      <c r="S38" s="23"/>
      <c r="T38" s="25"/>
      <c r="U38" s="25"/>
      <c r="V38" s="25"/>
    </row>
    <row r="39" spans="1:22" x14ac:dyDescent="0.2">
      <c r="A39" s="774"/>
      <c r="B39" s="4"/>
      <c r="C39" s="23"/>
      <c r="D39" s="23"/>
      <c r="E39" s="23"/>
      <c r="F39" s="23"/>
      <c r="G39" s="23"/>
      <c r="H39" s="23"/>
      <c r="I39" s="23"/>
      <c r="J39" s="23"/>
      <c r="K39" s="23"/>
      <c r="L39" s="23"/>
      <c r="M39" s="23"/>
      <c r="N39" s="23"/>
      <c r="O39" s="23"/>
      <c r="P39" s="25"/>
      <c r="Q39" s="23"/>
      <c r="R39" s="23"/>
      <c r="S39" s="23"/>
      <c r="T39" s="25"/>
      <c r="U39" s="25"/>
      <c r="V39" s="25"/>
    </row>
    <row r="40" spans="1:22" x14ac:dyDescent="0.2">
      <c r="A40" s="774"/>
      <c r="B40" s="4"/>
      <c r="C40" s="23"/>
      <c r="D40" s="23"/>
      <c r="E40" s="23"/>
      <c r="F40" s="23"/>
      <c r="G40" s="23"/>
      <c r="H40" s="23"/>
      <c r="I40" s="23"/>
      <c r="J40" s="23"/>
      <c r="K40" s="23"/>
      <c r="L40" s="23"/>
      <c r="M40" s="23"/>
      <c r="N40" s="23"/>
      <c r="O40" s="23"/>
      <c r="P40" s="25"/>
      <c r="Q40" s="23"/>
      <c r="R40" s="23"/>
      <c r="S40" s="23"/>
      <c r="T40" s="25"/>
      <c r="U40" s="25"/>
      <c r="V40" s="25"/>
    </row>
    <row r="41" spans="1:22" x14ac:dyDescent="0.2">
      <c r="A41" s="774"/>
      <c r="B41" s="4"/>
      <c r="C41" s="23"/>
      <c r="D41" s="23"/>
      <c r="E41" s="23"/>
      <c r="F41" s="23"/>
      <c r="G41" s="23"/>
      <c r="H41" s="23"/>
      <c r="I41" s="23"/>
      <c r="J41" s="23"/>
      <c r="K41" s="23"/>
      <c r="L41" s="23"/>
      <c r="M41" s="23"/>
      <c r="N41" s="23"/>
      <c r="O41" s="23"/>
      <c r="P41" s="25"/>
      <c r="Q41" s="23"/>
      <c r="R41" s="23"/>
      <c r="S41" s="23"/>
      <c r="T41" s="25"/>
      <c r="U41" s="25"/>
      <c r="V41" s="25"/>
    </row>
    <row r="42" spans="1:22" x14ac:dyDescent="0.2">
      <c r="A42" s="774"/>
      <c r="B42" s="4"/>
      <c r="C42" s="23"/>
      <c r="D42" s="23"/>
      <c r="E42" s="23"/>
      <c r="F42" s="23"/>
      <c r="G42" s="23"/>
      <c r="H42" s="23"/>
      <c r="I42" s="23"/>
      <c r="J42" s="23"/>
      <c r="K42" s="23"/>
      <c r="L42" s="23"/>
      <c r="M42" s="23"/>
      <c r="N42" s="23"/>
      <c r="O42" s="23"/>
      <c r="P42" s="25"/>
      <c r="Q42" s="23"/>
      <c r="R42" s="23"/>
      <c r="S42" s="23"/>
      <c r="T42" s="25"/>
      <c r="U42" s="25"/>
      <c r="V42" s="25"/>
    </row>
    <row r="43" spans="1:22" x14ac:dyDescent="0.2">
      <c r="A43" s="774"/>
      <c r="B43" s="4"/>
      <c r="C43" s="23"/>
      <c r="D43" s="23"/>
      <c r="E43" s="23"/>
      <c r="F43" s="23"/>
      <c r="G43" s="23"/>
      <c r="H43" s="23"/>
      <c r="I43" s="23"/>
      <c r="J43" s="23"/>
      <c r="K43" s="23"/>
      <c r="L43" s="23"/>
      <c r="M43" s="23"/>
      <c r="N43" s="23"/>
      <c r="O43" s="23"/>
      <c r="P43" s="25"/>
      <c r="Q43" s="23"/>
      <c r="R43" s="23"/>
      <c r="S43" s="23"/>
      <c r="T43" s="25"/>
      <c r="U43" s="25"/>
      <c r="V43" s="25"/>
    </row>
    <row r="44" spans="1:22" x14ac:dyDescent="0.2">
      <c r="A44" s="774"/>
      <c r="B44" s="4"/>
      <c r="C44" s="23"/>
      <c r="D44" s="23"/>
      <c r="E44" s="23"/>
      <c r="F44" s="23"/>
      <c r="G44" s="23"/>
      <c r="H44" s="23"/>
      <c r="I44" s="23"/>
      <c r="J44" s="23"/>
      <c r="K44" s="23"/>
      <c r="L44" s="23"/>
      <c r="M44" s="23"/>
      <c r="N44" s="23"/>
      <c r="O44" s="23"/>
      <c r="P44" s="25"/>
      <c r="Q44" s="23"/>
      <c r="R44" s="23"/>
      <c r="S44" s="23"/>
      <c r="T44" s="25"/>
      <c r="U44" s="25"/>
      <c r="V44" s="25"/>
    </row>
    <row r="45" spans="1:22" x14ac:dyDescent="0.2">
      <c r="A45" s="774"/>
      <c r="B45" s="4"/>
      <c r="C45" s="23"/>
      <c r="D45" s="23"/>
      <c r="E45" s="23"/>
      <c r="F45" s="23"/>
      <c r="G45" s="23"/>
      <c r="H45" s="23"/>
      <c r="I45" s="23"/>
      <c r="J45" s="23"/>
      <c r="K45" s="23"/>
      <c r="L45" s="23"/>
      <c r="M45" s="23"/>
      <c r="N45" s="23"/>
      <c r="O45" s="23"/>
      <c r="P45" s="25"/>
      <c r="Q45" s="23"/>
      <c r="R45" s="23"/>
      <c r="S45" s="23"/>
      <c r="T45" s="25"/>
      <c r="U45" s="25"/>
      <c r="V45" s="25"/>
    </row>
    <row r="46" spans="1:22" x14ac:dyDescent="0.2">
      <c r="A46" s="774"/>
      <c r="B46" s="4"/>
      <c r="C46" s="23"/>
      <c r="D46" s="23"/>
      <c r="E46" s="23"/>
      <c r="F46" s="23"/>
      <c r="G46" s="23"/>
      <c r="H46" s="23"/>
      <c r="I46" s="23"/>
      <c r="J46" s="23"/>
      <c r="K46" s="23"/>
      <c r="L46" s="23"/>
      <c r="M46" s="23"/>
      <c r="N46" s="23"/>
      <c r="O46" s="23"/>
      <c r="P46" s="25"/>
      <c r="Q46" s="23"/>
      <c r="R46" s="23"/>
      <c r="S46" s="23"/>
      <c r="T46" s="25"/>
      <c r="U46" s="25"/>
      <c r="V46" s="25"/>
    </row>
    <row r="47" spans="1:22" x14ac:dyDescent="0.2">
      <c r="A47" s="774"/>
      <c r="B47" s="4"/>
      <c r="C47" s="23"/>
      <c r="D47" s="23"/>
      <c r="E47" s="23"/>
      <c r="F47" s="23"/>
      <c r="G47" s="23"/>
      <c r="H47" s="23"/>
      <c r="I47" s="23"/>
      <c r="J47" s="23"/>
      <c r="K47" s="23"/>
      <c r="L47" s="23"/>
      <c r="M47" s="23"/>
      <c r="N47" s="23"/>
      <c r="O47" s="23"/>
      <c r="P47" s="25"/>
      <c r="Q47" s="23"/>
      <c r="R47" s="23"/>
      <c r="S47" s="23"/>
      <c r="T47" s="25"/>
      <c r="U47" s="25"/>
      <c r="V47" s="25"/>
    </row>
    <row r="48" spans="1:22" x14ac:dyDescent="0.2">
      <c r="A48" s="774"/>
      <c r="B48" s="4"/>
      <c r="C48" s="23"/>
      <c r="D48" s="23"/>
      <c r="E48" s="23"/>
      <c r="F48" s="23"/>
      <c r="G48" s="23"/>
      <c r="H48" s="23"/>
      <c r="I48" s="23"/>
      <c r="J48" s="23"/>
      <c r="K48" s="23"/>
      <c r="L48" s="23"/>
      <c r="M48" s="23"/>
      <c r="N48" s="23"/>
      <c r="O48" s="23"/>
      <c r="P48" s="25"/>
      <c r="Q48" s="23"/>
      <c r="R48" s="23"/>
      <c r="S48" s="23"/>
      <c r="T48" s="25"/>
      <c r="U48" s="25"/>
      <c r="V48" s="25"/>
    </row>
    <row r="49" spans="1:22" x14ac:dyDescent="0.2">
      <c r="A49" s="774"/>
      <c r="B49" s="4"/>
      <c r="C49" s="23"/>
      <c r="D49" s="23"/>
      <c r="E49" s="23"/>
      <c r="F49" s="23"/>
      <c r="G49" s="23"/>
      <c r="H49" s="23"/>
      <c r="I49" s="23"/>
      <c r="J49" s="23"/>
      <c r="K49" s="23"/>
      <c r="L49" s="23"/>
      <c r="M49" s="23"/>
      <c r="N49" s="23"/>
      <c r="O49" s="23"/>
      <c r="P49" s="25"/>
      <c r="Q49" s="23"/>
      <c r="R49" s="23"/>
      <c r="S49" s="23"/>
      <c r="T49" s="25"/>
      <c r="U49" s="25"/>
      <c r="V49" s="25"/>
    </row>
    <row r="50" spans="1:22" x14ac:dyDescent="0.2">
      <c r="A50" s="774"/>
      <c r="B50" s="4"/>
      <c r="C50" s="23"/>
      <c r="D50" s="23"/>
      <c r="E50" s="23"/>
      <c r="F50" s="23"/>
      <c r="G50" s="23"/>
      <c r="H50" s="23"/>
      <c r="I50" s="23"/>
      <c r="J50" s="23"/>
      <c r="K50" s="23"/>
      <c r="L50" s="23"/>
      <c r="M50" s="23"/>
      <c r="N50" s="23"/>
      <c r="O50" s="23"/>
      <c r="P50" s="25"/>
      <c r="Q50" s="23"/>
      <c r="R50" s="23"/>
      <c r="S50" s="23"/>
      <c r="T50" s="25"/>
      <c r="U50" s="25"/>
      <c r="V50" s="25"/>
    </row>
    <row r="51" spans="1:22" x14ac:dyDescent="0.2">
      <c r="A51" s="774"/>
      <c r="B51" s="4"/>
      <c r="C51" s="23"/>
      <c r="D51" s="23"/>
      <c r="E51" s="23"/>
      <c r="F51" s="23"/>
      <c r="G51" s="23"/>
      <c r="H51" s="23"/>
      <c r="I51" s="23"/>
      <c r="J51" s="23"/>
      <c r="K51" s="23"/>
      <c r="L51" s="23"/>
      <c r="M51" s="23"/>
      <c r="N51" s="23"/>
      <c r="O51" s="23"/>
      <c r="P51" s="25"/>
      <c r="Q51" s="23"/>
      <c r="R51" s="23"/>
      <c r="S51" s="23"/>
      <c r="T51" s="25"/>
      <c r="U51" s="25"/>
      <c r="V51" s="25"/>
    </row>
    <row r="52" spans="1:22" x14ac:dyDescent="0.2">
      <c r="A52" s="774"/>
      <c r="B52" s="4"/>
      <c r="C52" s="23"/>
      <c r="D52" s="23"/>
      <c r="E52" s="23"/>
      <c r="F52" s="23"/>
      <c r="G52" s="23"/>
      <c r="H52" s="23"/>
      <c r="I52" s="23"/>
      <c r="J52" s="23"/>
      <c r="K52" s="23"/>
      <c r="L52" s="23"/>
      <c r="M52" s="23"/>
      <c r="N52" s="23"/>
      <c r="O52" s="23"/>
      <c r="P52" s="25"/>
      <c r="Q52" s="23"/>
      <c r="R52" s="23"/>
      <c r="S52" s="23"/>
      <c r="T52" s="25"/>
      <c r="U52" s="25"/>
      <c r="V52" s="25"/>
    </row>
    <row r="53" spans="1:22" x14ac:dyDescent="0.2">
      <c r="A53" s="774"/>
      <c r="B53" s="4"/>
      <c r="C53" s="23"/>
      <c r="D53" s="23"/>
      <c r="E53" s="23"/>
      <c r="F53" s="23"/>
      <c r="G53" s="23"/>
      <c r="H53" s="23"/>
      <c r="I53" s="23"/>
      <c r="J53" s="23"/>
      <c r="K53" s="23"/>
      <c r="L53" s="23"/>
      <c r="M53" s="23"/>
      <c r="N53" s="23"/>
      <c r="O53" s="23"/>
      <c r="P53" s="25"/>
      <c r="Q53" s="23"/>
      <c r="R53" s="23"/>
      <c r="S53" s="23"/>
      <c r="T53" s="25"/>
      <c r="U53" s="25"/>
      <c r="V53" s="25"/>
    </row>
    <row r="54" spans="1:22" x14ac:dyDescent="0.2">
      <c r="A54" s="774"/>
      <c r="B54" s="4"/>
      <c r="C54" s="23"/>
      <c r="D54" s="23"/>
      <c r="E54" s="23"/>
      <c r="F54" s="23"/>
      <c r="G54" s="23"/>
      <c r="H54" s="23"/>
      <c r="I54" s="23"/>
      <c r="J54" s="23"/>
      <c r="K54" s="23"/>
      <c r="L54" s="23"/>
      <c r="M54" s="23"/>
      <c r="N54" s="23"/>
      <c r="O54" s="23"/>
      <c r="P54" s="25"/>
      <c r="Q54" s="23"/>
      <c r="R54" s="23"/>
      <c r="S54" s="23"/>
      <c r="T54" s="25"/>
      <c r="U54" s="25"/>
      <c r="V54" s="25"/>
    </row>
    <row r="55" spans="1:22" x14ac:dyDescent="0.2">
      <c r="A55" s="774"/>
      <c r="B55" s="4"/>
      <c r="C55" s="23"/>
      <c r="D55" s="23"/>
      <c r="E55" s="23"/>
      <c r="F55" s="23"/>
      <c r="G55" s="23"/>
      <c r="H55" s="23"/>
      <c r="I55" s="23"/>
      <c r="J55" s="23"/>
      <c r="K55" s="23"/>
      <c r="L55" s="23"/>
      <c r="M55" s="23"/>
      <c r="N55" s="23"/>
      <c r="O55" s="23"/>
      <c r="P55" s="25"/>
      <c r="Q55" s="23"/>
      <c r="R55" s="23"/>
      <c r="S55" s="23"/>
      <c r="T55" s="25"/>
      <c r="U55" s="25"/>
      <c r="V55" s="25"/>
    </row>
    <row r="56" spans="1:22" x14ac:dyDescent="0.2">
      <c r="A56" s="774"/>
      <c r="B56" s="4"/>
      <c r="C56" s="23"/>
      <c r="D56" s="23"/>
      <c r="E56" s="23"/>
      <c r="F56" s="23"/>
      <c r="G56" s="23"/>
      <c r="H56" s="23"/>
      <c r="I56" s="23"/>
      <c r="J56" s="23"/>
      <c r="K56" s="23"/>
      <c r="L56" s="23"/>
      <c r="M56" s="23"/>
      <c r="N56" s="23"/>
      <c r="O56" s="23"/>
      <c r="P56" s="25"/>
      <c r="Q56" s="23"/>
      <c r="R56" s="23"/>
      <c r="S56" s="23"/>
      <c r="T56" s="25"/>
      <c r="U56" s="25"/>
      <c r="V56" s="25"/>
    </row>
    <row r="57" spans="1:22" x14ac:dyDescent="0.2">
      <c r="A57" s="774"/>
      <c r="B57" s="4"/>
      <c r="C57" s="23"/>
      <c r="D57" s="23"/>
      <c r="E57" s="23"/>
      <c r="F57" s="23"/>
      <c r="G57" s="23"/>
      <c r="H57" s="23"/>
      <c r="I57" s="23"/>
      <c r="J57" s="23"/>
      <c r="K57" s="23"/>
      <c r="L57" s="23"/>
      <c r="M57" s="23"/>
      <c r="N57" s="23"/>
      <c r="O57" s="23"/>
      <c r="P57" s="25"/>
      <c r="Q57" s="23"/>
      <c r="R57" s="23"/>
      <c r="S57" s="23"/>
      <c r="T57" s="25"/>
      <c r="U57" s="25"/>
      <c r="V57" s="25"/>
    </row>
    <row r="58" spans="1:22" x14ac:dyDescent="0.2">
      <c r="A58" s="774"/>
      <c r="B58" s="4"/>
      <c r="C58" s="23"/>
      <c r="D58" s="23"/>
      <c r="E58" s="23"/>
      <c r="F58" s="23"/>
      <c r="G58" s="23"/>
      <c r="H58" s="23"/>
      <c r="I58" s="23"/>
      <c r="J58" s="23"/>
      <c r="K58" s="23"/>
      <c r="L58" s="23"/>
      <c r="M58" s="23"/>
      <c r="N58" s="23"/>
      <c r="O58" s="23"/>
      <c r="P58" s="25"/>
      <c r="Q58" s="23"/>
      <c r="R58" s="23"/>
      <c r="S58" s="23"/>
      <c r="T58" s="25"/>
      <c r="U58" s="25"/>
      <c r="V58" s="25"/>
    </row>
    <row r="59" spans="1:22" x14ac:dyDescent="0.2">
      <c r="A59" s="774"/>
      <c r="B59" s="4"/>
      <c r="C59" s="23"/>
      <c r="D59" s="23"/>
      <c r="E59" s="23"/>
      <c r="F59" s="23"/>
      <c r="G59" s="23"/>
      <c r="H59" s="23"/>
      <c r="I59" s="23"/>
      <c r="J59" s="23"/>
      <c r="K59" s="23"/>
      <c r="L59" s="23"/>
      <c r="M59" s="23"/>
      <c r="N59" s="23"/>
      <c r="O59" s="23"/>
      <c r="P59" s="25"/>
      <c r="Q59" s="23"/>
      <c r="R59" s="23"/>
      <c r="S59" s="23"/>
      <c r="T59" s="25"/>
      <c r="U59" s="25"/>
      <c r="V59" s="25"/>
    </row>
    <row r="60" spans="1:22" x14ac:dyDescent="0.2">
      <c r="A60" s="774"/>
      <c r="B60" s="4"/>
      <c r="C60" s="23"/>
      <c r="D60" s="23"/>
      <c r="E60" s="23"/>
      <c r="F60" s="23"/>
      <c r="G60" s="23"/>
      <c r="H60" s="23"/>
      <c r="I60" s="23"/>
      <c r="J60" s="23"/>
      <c r="K60" s="23"/>
      <c r="L60" s="23"/>
      <c r="M60" s="23"/>
      <c r="N60" s="23"/>
      <c r="O60" s="23"/>
      <c r="P60" s="25"/>
      <c r="Q60" s="23"/>
      <c r="R60" s="23"/>
      <c r="S60" s="23"/>
      <c r="T60" s="25"/>
      <c r="U60" s="25"/>
      <c r="V60" s="25"/>
    </row>
    <row r="61" spans="1:22" x14ac:dyDescent="0.2">
      <c r="A61" s="774"/>
      <c r="B61" s="4"/>
      <c r="C61" s="23"/>
      <c r="D61" s="23"/>
      <c r="E61" s="23"/>
      <c r="F61" s="23"/>
      <c r="G61" s="23"/>
      <c r="H61" s="23"/>
      <c r="I61" s="23"/>
      <c r="J61" s="23"/>
      <c r="K61" s="23"/>
      <c r="L61" s="23"/>
      <c r="M61" s="23"/>
      <c r="N61" s="23"/>
      <c r="O61" s="23"/>
      <c r="P61" s="25"/>
      <c r="Q61" s="23"/>
      <c r="R61" s="23"/>
      <c r="S61" s="23"/>
      <c r="T61" s="25"/>
      <c r="U61" s="25"/>
      <c r="V61" s="25"/>
    </row>
    <row r="62" spans="1:22" x14ac:dyDescent="0.2">
      <c r="A62" s="774"/>
      <c r="B62" s="4"/>
      <c r="C62" s="23"/>
      <c r="D62" s="23"/>
      <c r="E62" s="23"/>
      <c r="F62" s="23"/>
      <c r="G62" s="23"/>
      <c r="H62" s="23"/>
      <c r="I62" s="23"/>
      <c r="J62" s="23"/>
      <c r="K62" s="23"/>
      <c r="L62" s="23"/>
      <c r="M62" s="23"/>
      <c r="N62" s="23"/>
      <c r="O62" s="23"/>
      <c r="P62" s="25"/>
      <c r="Q62" s="23"/>
      <c r="R62" s="23"/>
      <c r="S62" s="23"/>
      <c r="T62" s="25"/>
      <c r="U62" s="25"/>
      <c r="V62" s="25"/>
    </row>
    <row r="63" spans="1:22" x14ac:dyDescent="0.2">
      <c r="A63" s="774"/>
      <c r="B63" s="4"/>
      <c r="C63" s="23"/>
      <c r="D63" s="23"/>
      <c r="E63" s="23"/>
      <c r="F63" s="23"/>
      <c r="G63" s="23"/>
      <c r="H63" s="23"/>
      <c r="I63" s="23"/>
      <c r="J63" s="23"/>
      <c r="K63" s="23"/>
      <c r="L63" s="23"/>
      <c r="M63" s="23"/>
      <c r="N63" s="23"/>
      <c r="O63" s="23"/>
      <c r="P63" s="25"/>
      <c r="Q63" s="23"/>
      <c r="R63" s="23"/>
      <c r="S63" s="23"/>
      <c r="T63" s="25"/>
      <c r="U63" s="25"/>
      <c r="V63" s="25"/>
    </row>
    <row r="64" spans="1:22" x14ac:dyDescent="0.2">
      <c r="A64" s="774"/>
      <c r="B64" s="4"/>
      <c r="C64" s="23"/>
      <c r="D64" s="23"/>
      <c r="E64" s="23"/>
      <c r="F64" s="23"/>
      <c r="G64" s="23"/>
      <c r="H64" s="23"/>
      <c r="I64" s="23"/>
      <c r="J64" s="23"/>
      <c r="K64" s="23"/>
      <c r="L64" s="23"/>
      <c r="M64" s="23"/>
      <c r="N64" s="23"/>
      <c r="O64" s="23"/>
      <c r="P64" s="25"/>
      <c r="Q64" s="23"/>
      <c r="R64" s="23"/>
      <c r="S64" s="23"/>
      <c r="T64" s="25"/>
      <c r="U64" s="25"/>
      <c r="V64" s="25"/>
    </row>
    <row r="65" spans="1:22" x14ac:dyDescent="0.2">
      <c r="A65" s="774"/>
      <c r="B65" s="4"/>
      <c r="C65" s="23"/>
      <c r="D65" s="23"/>
      <c r="E65" s="23"/>
      <c r="F65" s="23"/>
      <c r="G65" s="23"/>
      <c r="H65" s="23"/>
      <c r="I65" s="23"/>
      <c r="J65" s="23"/>
      <c r="K65" s="23"/>
      <c r="L65" s="23"/>
      <c r="M65" s="23"/>
      <c r="N65" s="23"/>
      <c r="O65" s="23"/>
      <c r="P65" s="25"/>
      <c r="Q65" s="23"/>
      <c r="R65" s="23"/>
      <c r="S65" s="23"/>
      <c r="T65" s="25"/>
      <c r="U65" s="25"/>
      <c r="V65" s="25"/>
    </row>
    <row r="66" spans="1:22" x14ac:dyDescent="0.2">
      <c r="A66" s="774"/>
      <c r="B66" s="4"/>
      <c r="C66" s="23"/>
      <c r="D66" s="23"/>
      <c r="E66" s="23"/>
      <c r="F66" s="23"/>
      <c r="G66" s="23"/>
      <c r="H66" s="23"/>
      <c r="I66" s="23"/>
      <c r="J66" s="23"/>
      <c r="K66" s="23"/>
      <c r="L66" s="23"/>
      <c r="M66" s="23"/>
      <c r="N66" s="23"/>
      <c r="O66" s="23"/>
      <c r="P66" s="25"/>
      <c r="Q66" s="23"/>
      <c r="R66" s="23"/>
      <c r="S66" s="23"/>
      <c r="T66" s="25"/>
      <c r="U66" s="25"/>
      <c r="V66" s="25"/>
    </row>
    <row r="67" spans="1:22" x14ac:dyDescent="0.2">
      <c r="A67" s="774"/>
      <c r="B67" s="4"/>
      <c r="C67" s="23"/>
      <c r="D67" s="23"/>
      <c r="E67" s="23"/>
      <c r="F67" s="23"/>
      <c r="G67" s="23"/>
      <c r="H67" s="23"/>
      <c r="I67" s="23"/>
      <c r="J67" s="23"/>
      <c r="K67" s="23"/>
      <c r="L67" s="23"/>
      <c r="M67" s="23"/>
      <c r="N67" s="23"/>
      <c r="O67" s="23"/>
      <c r="P67" s="25"/>
      <c r="Q67" s="23"/>
      <c r="R67" s="23"/>
      <c r="S67" s="23"/>
      <c r="T67" s="25"/>
      <c r="U67" s="25"/>
      <c r="V67" s="25"/>
    </row>
    <row r="68" spans="1:22" x14ac:dyDescent="0.2">
      <c r="A68" s="774"/>
      <c r="B68" s="4"/>
      <c r="C68" s="23"/>
      <c r="D68" s="23"/>
      <c r="E68" s="23"/>
      <c r="F68" s="23"/>
      <c r="G68" s="23"/>
      <c r="H68" s="23"/>
      <c r="I68" s="23"/>
      <c r="J68" s="23"/>
      <c r="K68" s="23"/>
      <c r="L68" s="23"/>
      <c r="M68" s="23"/>
      <c r="N68" s="23"/>
      <c r="O68" s="23"/>
      <c r="P68" s="25"/>
      <c r="Q68" s="23"/>
      <c r="R68" s="23"/>
      <c r="S68" s="23"/>
      <c r="T68" s="25"/>
      <c r="U68" s="25"/>
      <c r="V68" s="25"/>
    </row>
    <row r="69" spans="1:22" x14ac:dyDescent="0.2">
      <c r="A69" s="774"/>
      <c r="B69" s="4"/>
      <c r="C69" s="23"/>
      <c r="D69" s="23"/>
      <c r="E69" s="23"/>
      <c r="F69" s="23"/>
      <c r="G69" s="23"/>
      <c r="H69" s="23"/>
      <c r="I69" s="23"/>
      <c r="J69" s="23"/>
      <c r="K69" s="23"/>
      <c r="L69" s="23"/>
      <c r="M69" s="23"/>
      <c r="N69" s="23"/>
      <c r="O69" s="23"/>
      <c r="P69" s="25"/>
      <c r="Q69" s="23"/>
      <c r="R69" s="23"/>
      <c r="S69" s="23"/>
      <c r="T69" s="25"/>
      <c r="U69" s="25"/>
      <c r="V69" s="25"/>
    </row>
    <row r="70" spans="1:22" x14ac:dyDescent="0.2">
      <c r="A70" s="774"/>
      <c r="B70" s="4"/>
      <c r="C70" s="23"/>
      <c r="D70" s="23"/>
      <c r="E70" s="23"/>
      <c r="F70" s="23"/>
      <c r="G70" s="23"/>
      <c r="H70" s="23"/>
      <c r="I70" s="23"/>
      <c r="J70" s="23"/>
      <c r="K70" s="23"/>
      <c r="L70" s="23"/>
      <c r="M70" s="23"/>
      <c r="N70" s="23"/>
      <c r="O70" s="23"/>
      <c r="P70" s="25"/>
      <c r="Q70" s="23"/>
      <c r="R70" s="23"/>
      <c r="S70" s="23"/>
      <c r="T70" s="25"/>
      <c r="U70" s="25"/>
      <c r="V70" s="25"/>
    </row>
    <row r="71" spans="1:22" x14ac:dyDescent="0.2">
      <c r="A71" s="774"/>
      <c r="B71" s="4"/>
      <c r="C71" s="23"/>
      <c r="D71" s="23"/>
      <c r="E71" s="23"/>
      <c r="F71" s="23"/>
      <c r="G71" s="23"/>
      <c r="H71" s="23"/>
      <c r="I71" s="23"/>
      <c r="J71" s="23"/>
      <c r="K71" s="23"/>
      <c r="L71" s="23"/>
      <c r="M71" s="23"/>
      <c r="N71" s="23"/>
      <c r="O71" s="23"/>
      <c r="P71" s="25"/>
      <c r="Q71" s="23"/>
      <c r="R71" s="23"/>
      <c r="S71" s="23"/>
      <c r="T71" s="25"/>
      <c r="U71" s="25"/>
      <c r="V71" s="25"/>
    </row>
    <row r="72" spans="1:22" x14ac:dyDescent="0.2">
      <c r="A72" s="774"/>
      <c r="B72" s="4"/>
      <c r="C72" s="23"/>
      <c r="D72" s="23"/>
      <c r="E72" s="23"/>
      <c r="F72" s="23"/>
      <c r="G72" s="23"/>
      <c r="H72" s="23"/>
      <c r="I72" s="23"/>
      <c r="J72" s="23"/>
      <c r="K72" s="23"/>
      <c r="L72" s="23"/>
      <c r="M72" s="23"/>
      <c r="N72" s="23"/>
      <c r="O72" s="23"/>
      <c r="P72" s="25"/>
      <c r="Q72" s="23"/>
      <c r="R72" s="23"/>
      <c r="S72" s="23"/>
      <c r="T72" s="25"/>
      <c r="U72" s="25"/>
      <c r="V72" s="25"/>
    </row>
    <row r="73" spans="1:22" x14ac:dyDescent="0.2">
      <c r="A73" s="774"/>
      <c r="B73" s="4"/>
      <c r="C73" s="23"/>
      <c r="D73" s="23"/>
      <c r="E73" s="23"/>
      <c r="F73" s="23"/>
      <c r="G73" s="23"/>
      <c r="H73" s="23"/>
      <c r="I73" s="23"/>
      <c r="J73" s="23"/>
      <c r="K73" s="23"/>
      <c r="L73" s="23"/>
      <c r="M73" s="23"/>
      <c r="N73" s="23"/>
      <c r="O73" s="23"/>
      <c r="P73" s="25"/>
      <c r="Q73" s="23"/>
      <c r="R73" s="23"/>
      <c r="S73" s="23"/>
      <c r="T73" s="25"/>
      <c r="U73" s="25"/>
      <c r="V73" s="25"/>
    </row>
    <row r="74" spans="1:22" x14ac:dyDescent="0.2">
      <c r="A74" s="774"/>
      <c r="B74" s="4"/>
      <c r="C74" s="23"/>
      <c r="D74" s="23"/>
      <c r="E74" s="23"/>
      <c r="F74" s="23"/>
      <c r="G74" s="23"/>
      <c r="H74" s="23"/>
      <c r="I74" s="23"/>
      <c r="J74" s="23"/>
      <c r="K74" s="23"/>
      <c r="L74" s="23"/>
      <c r="M74" s="23"/>
      <c r="N74" s="23"/>
      <c r="O74" s="23"/>
      <c r="P74" s="25"/>
      <c r="Q74" s="23"/>
      <c r="R74" s="23"/>
      <c r="S74" s="23"/>
      <c r="T74" s="25"/>
      <c r="U74" s="25"/>
      <c r="V74" s="25"/>
    </row>
    <row r="75" spans="1:22" x14ac:dyDescent="0.2">
      <c r="A75" s="774"/>
      <c r="B75" s="4"/>
      <c r="C75" s="23"/>
      <c r="D75" s="23"/>
      <c r="E75" s="23"/>
      <c r="F75" s="23"/>
      <c r="G75" s="23"/>
      <c r="H75" s="23"/>
      <c r="I75" s="23"/>
      <c r="J75" s="23"/>
      <c r="K75" s="23"/>
      <c r="L75" s="23"/>
      <c r="M75" s="23"/>
      <c r="N75" s="23"/>
      <c r="O75" s="23"/>
      <c r="P75" s="25"/>
      <c r="Q75" s="23"/>
      <c r="R75" s="23"/>
      <c r="S75" s="23"/>
      <c r="T75" s="25"/>
      <c r="U75" s="25"/>
      <c r="V75" s="25"/>
    </row>
    <row r="76" spans="1:22" x14ac:dyDescent="0.2">
      <c r="A76" s="774"/>
      <c r="B76" s="4"/>
      <c r="C76" s="23"/>
      <c r="D76" s="23"/>
      <c r="E76" s="23"/>
      <c r="F76" s="23"/>
      <c r="G76" s="23"/>
      <c r="H76" s="23"/>
      <c r="I76" s="23"/>
      <c r="J76" s="23"/>
      <c r="K76" s="23"/>
      <c r="L76" s="23"/>
      <c r="M76" s="23"/>
      <c r="N76" s="23"/>
      <c r="O76" s="23"/>
      <c r="P76" s="25"/>
      <c r="Q76" s="23"/>
      <c r="R76" s="23"/>
      <c r="S76" s="23"/>
      <c r="T76" s="25"/>
      <c r="U76" s="25"/>
      <c r="V76" s="25"/>
    </row>
    <row r="77" spans="1:22" x14ac:dyDescent="0.2">
      <c r="A77" s="774"/>
      <c r="B77" s="4"/>
      <c r="C77" s="23"/>
      <c r="D77" s="23"/>
      <c r="E77" s="23"/>
      <c r="F77" s="23"/>
      <c r="G77" s="23"/>
      <c r="H77" s="23"/>
      <c r="I77" s="23"/>
      <c r="J77" s="23"/>
      <c r="K77" s="23"/>
      <c r="L77" s="23"/>
      <c r="M77" s="23"/>
      <c r="N77" s="23"/>
      <c r="O77" s="23"/>
      <c r="P77" s="25"/>
      <c r="Q77" s="23"/>
      <c r="R77" s="23"/>
      <c r="S77" s="23"/>
      <c r="T77" s="25"/>
      <c r="U77" s="25"/>
      <c r="V77" s="25"/>
    </row>
    <row r="78" spans="1:22" x14ac:dyDescent="0.2">
      <c r="A78" s="774"/>
      <c r="B78" s="4"/>
      <c r="C78" s="23"/>
      <c r="D78" s="23"/>
      <c r="E78" s="23"/>
      <c r="F78" s="23"/>
      <c r="G78" s="23"/>
      <c r="H78" s="23"/>
      <c r="I78" s="23"/>
      <c r="J78" s="23"/>
      <c r="K78" s="23"/>
      <c r="L78" s="23"/>
      <c r="M78" s="23"/>
      <c r="N78" s="23"/>
      <c r="O78" s="23"/>
      <c r="P78" s="25"/>
      <c r="Q78" s="23"/>
      <c r="R78" s="23"/>
      <c r="S78" s="23"/>
      <c r="T78" s="25"/>
      <c r="U78" s="25"/>
      <c r="V78" s="25"/>
    </row>
    <row r="79" spans="1:22" x14ac:dyDescent="0.2">
      <c r="A79" s="774"/>
      <c r="B79" s="4"/>
      <c r="C79" s="23"/>
      <c r="D79" s="23"/>
      <c r="E79" s="23"/>
      <c r="F79" s="23"/>
      <c r="G79" s="23"/>
      <c r="H79" s="23"/>
      <c r="I79" s="23"/>
      <c r="J79" s="23"/>
      <c r="K79" s="23"/>
      <c r="L79" s="23"/>
      <c r="M79" s="23"/>
      <c r="N79" s="23"/>
      <c r="O79" s="23"/>
      <c r="P79" s="25"/>
      <c r="Q79" s="23"/>
      <c r="R79" s="23"/>
      <c r="S79" s="23"/>
      <c r="T79" s="25"/>
      <c r="U79" s="25"/>
      <c r="V79" s="25"/>
    </row>
    <row r="80" spans="1:22" x14ac:dyDescent="0.2">
      <c r="A80" s="774"/>
      <c r="B80" s="4"/>
      <c r="C80" s="23"/>
      <c r="D80" s="23"/>
      <c r="E80" s="23"/>
      <c r="F80" s="23"/>
      <c r="G80" s="23"/>
      <c r="H80" s="23"/>
      <c r="I80" s="23"/>
      <c r="J80" s="23"/>
      <c r="K80" s="23"/>
      <c r="L80" s="23"/>
      <c r="M80" s="23"/>
      <c r="N80" s="23"/>
      <c r="O80" s="23"/>
      <c r="P80" s="4"/>
      <c r="Q80" s="23"/>
      <c r="R80" s="23"/>
      <c r="S80" s="23"/>
      <c r="T80" s="4"/>
      <c r="U80" s="4"/>
      <c r="V80" s="4"/>
    </row>
    <row r="81" spans="1:22" x14ac:dyDescent="0.2">
      <c r="A81" s="774"/>
      <c r="B81" s="4"/>
      <c r="C81" s="23"/>
      <c r="D81" s="23"/>
      <c r="E81" s="23"/>
      <c r="F81" s="23"/>
      <c r="G81" s="23"/>
      <c r="H81" s="23"/>
      <c r="I81" s="23"/>
      <c r="J81" s="23"/>
      <c r="K81" s="23"/>
      <c r="L81" s="23"/>
      <c r="M81" s="23"/>
      <c r="N81" s="23"/>
      <c r="O81" s="23"/>
      <c r="P81" s="4"/>
      <c r="Q81" s="23"/>
      <c r="R81" s="23"/>
      <c r="S81" s="23"/>
      <c r="T81" s="4"/>
      <c r="U81" s="4"/>
      <c r="V81" s="4"/>
    </row>
    <row r="82" spans="1:22" x14ac:dyDescent="0.2">
      <c r="A82" s="774"/>
      <c r="B82" s="4"/>
      <c r="C82" s="23"/>
      <c r="D82" s="23"/>
      <c r="E82" s="23"/>
      <c r="F82" s="23"/>
      <c r="G82" s="23"/>
      <c r="H82" s="23"/>
      <c r="I82" s="23"/>
      <c r="J82" s="23"/>
      <c r="K82" s="23"/>
      <c r="L82" s="23"/>
      <c r="M82" s="23"/>
      <c r="N82" s="23"/>
      <c r="O82" s="23"/>
      <c r="P82" s="4"/>
      <c r="Q82" s="23"/>
      <c r="R82" s="23"/>
      <c r="S82" s="23"/>
      <c r="T82" s="4"/>
      <c r="U82" s="4"/>
      <c r="V82" s="4"/>
    </row>
    <row r="83" spans="1:22" x14ac:dyDescent="0.2">
      <c r="A83" s="774"/>
      <c r="B83" s="4"/>
      <c r="C83" s="23"/>
      <c r="D83" s="23"/>
      <c r="E83" s="23"/>
      <c r="F83" s="23"/>
      <c r="G83" s="23"/>
      <c r="H83" s="23"/>
      <c r="I83" s="23"/>
      <c r="J83" s="23"/>
      <c r="K83" s="23"/>
      <c r="L83" s="23"/>
      <c r="M83" s="23"/>
      <c r="N83" s="23"/>
      <c r="O83" s="23"/>
      <c r="P83" s="4"/>
      <c r="Q83" s="23"/>
      <c r="R83" s="23"/>
      <c r="S83" s="23"/>
      <c r="T83" s="4"/>
      <c r="U83" s="4"/>
      <c r="V83" s="4"/>
    </row>
    <row r="84" spans="1:22" x14ac:dyDescent="0.2">
      <c r="A84" s="774"/>
      <c r="B84" s="4"/>
      <c r="C84" s="23"/>
      <c r="D84" s="23"/>
      <c r="E84" s="23"/>
      <c r="F84" s="23"/>
      <c r="G84" s="23"/>
      <c r="H84" s="23"/>
      <c r="I84" s="23"/>
      <c r="J84" s="23"/>
      <c r="K84" s="23"/>
      <c r="L84" s="23"/>
      <c r="M84" s="23"/>
      <c r="N84" s="23"/>
      <c r="O84" s="23"/>
      <c r="P84" s="4"/>
      <c r="Q84" s="23"/>
      <c r="R84" s="23"/>
      <c r="S84" s="23"/>
      <c r="T84" s="4"/>
      <c r="U84" s="4"/>
      <c r="V84" s="4"/>
    </row>
    <row r="85" spans="1:22" x14ac:dyDescent="0.2">
      <c r="A85" s="774"/>
      <c r="B85" s="4"/>
      <c r="C85" s="23"/>
      <c r="D85" s="23"/>
      <c r="E85" s="23"/>
      <c r="F85" s="23"/>
      <c r="G85" s="23"/>
      <c r="H85" s="23"/>
      <c r="I85" s="23"/>
      <c r="J85" s="23"/>
      <c r="K85" s="23"/>
      <c r="L85" s="23"/>
      <c r="M85" s="23"/>
      <c r="N85" s="23"/>
      <c r="O85" s="23"/>
      <c r="P85" s="4"/>
      <c r="Q85" s="23"/>
      <c r="R85" s="23"/>
      <c r="S85" s="23"/>
      <c r="T85" s="4"/>
      <c r="U85" s="4"/>
      <c r="V85" s="4"/>
    </row>
    <row r="86" spans="1:22" x14ac:dyDescent="0.2">
      <c r="A86" s="774"/>
      <c r="B86" s="4"/>
      <c r="C86" s="23"/>
      <c r="D86" s="23"/>
      <c r="E86" s="23"/>
      <c r="F86" s="23"/>
      <c r="G86" s="23"/>
      <c r="H86" s="23"/>
      <c r="I86" s="23"/>
      <c r="J86" s="23"/>
      <c r="K86" s="23"/>
      <c r="L86" s="23"/>
      <c r="M86" s="23"/>
      <c r="N86" s="23"/>
      <c r="O86" s="23"/>
      <c r="P86" s="4"/>
      <c r="Q86" s="23"/>
      <c r="R86" s="23"/>
      <c r="S86" s="23"/>
      <c r="T86" s="4"/>
      <c r="U86" s="4"/>
      <c r="V86" s="4"/>
    </row>
    <row r="87" spans="1:22" x14ac:dyDescent="0.2">
      <c r="A87" s="774"/>
      <c r="B87" s="4"/>
      <c r="C87" s="23"/>
      <c r="D87" s="23"/>
      <c r="E87" s="23"/>
      <c r="F87" s="23"/>
      <c r="G87" s="23"/>
      <c r="H87" s="23"/>
      <c r="I87" s="23"/>
      <c r="J87" s="23"/>
      <c r="K87" s="23"/>
      <c r="L87" s="23"/>
      <c r="M87" s="23"/>
      <c r="N87" s="23"/>
      <c r="O87" s="23"/>
      <c r="P87" s="4"/>
      <c r="Q87" s="23"/>
      <c r="R87" s="23"/>
      <c r="S87" s="23"/>
      <c r="T87" s="4"/>
      <c r="U87" s="4"/>
      <c r="V87" s="4"/>
    </row>
    <row r="88" spans="1:22" x14ac:dyDescent="0.2">
      <c r="A88" s="774"/>
      <c r="B88" s="4"/>
      <c r="C88" s="23"/>
      <c r="D88" s="23"/>
      <c r="E88" s="23"/>
      <c r="F88" s="23"/>
      <c r="G88" s="23"/>
      <c r="H88" s="23"/>
      <c r="I88" s="23"/>
      <c r="J88" s="23"/>
      <c r="K88" s="23"/>
      <c r="L88" s="23"/>
      <c r="M88" s="23"/>
      <c r="N88" s="23"/>
      <c r="O88" s="23"/>
      <c r="P88" s="4"/>
      <c r="Q88" s="23"/>
      <c r="R88" s="23"/>
      <c r="S88" s="23"/>
      <c r="T88" s="4"/>
      <c r="U88" s="4"/>
      <c r="V88" s="4"/>
    </row>
    <row r="89" spans="1:22" x14ac:dyDescent="0.2">
      <c r="A89" s="774"/>
      <c r="B89" s="4"/>
      <c r="C89" s="23"/>
      <c r="D89" s="23"/>
      <c r="E89" s="23"/>
      <c r="F89" s="23"/>
      <c r="G89" s="23"/>
      <c r="H89" s="23"/>
      <c r="I89" s="23"/>
      <c r="J89" s="23"/>
      <c r="K89" s="23"/>
      <c r="L89" s="23"/>
      <c r="M89" s="23"/>
      <c r="N89" s="23"/>
      <c r="O89" s="23"/>
      <c r="P89" s="4"/>
      <c r="Q89" s="23"/>
      <c r="R89" s="23"/>
      <c r="S89" s="23"/>
      <c r="T89" s="4"/>
      <c r="U89" s="4"/>
      <c r="V89" s="4"/>
    </row>
    <row r="90" spans="1:22" x14ac:dyDescent="0.2">
      <c r="A90" s="774"/>
      <c r="B90" s="4"/>
      <c r="C90" s="23"/>
      <c r="D90" s="23"/>
      <c r="E90" s="23"/>
      <c r="F90" s="23"/>
      <c r="G90" s="23"/>
      <c r="H90" s="23"/>
      <c r="I90" s="23"/>
      <c r="J90" s="23"/>
      <c r="K90" s="23"/>
      <c r="L90" s="23"/>
      <c r="M90" s="23"/>
      <c r="N90" s="23"/>
      <c r="O90" s="23"/>
      <c r="P90" s="4"/>
      <c r="Q90" s="23"/>
      <c r="R90" s="23"/>
      <c r="S90" s="23"/>
      <c r="T90" s="4"/>
      <c r="U90" s="4"/>
      <c r="V90" s="4"/>
    </row>
    <row r="91" spans="1:22" x14ac:dyDescent="0.2">
      <c r="A91" s="774"/>
      <c r="B91" s="4"/>
      <c r="C91" s="23"/>
      <c r="D91" s="23"/>
      <c r="E91" s="23"/>
      <c r="F91" s="23"/>
      <c r="G91" s="23"/>
      <c r="H91" s="23"/>
      <c r="I91" s="23"/>
      <c r="J91" s="23"/>
      <c r="K91" s="23"/>
      <c r="L91" s="23"/>
      <c r="M91" s="23"/>
      <c r="N91" s="23"/>
      <c r="O91" s="23"/>
      <c r="P91" s="4"/>
      <c r="Q91" s="23"/>
      <c r="R91" s="23"/>
      <c r="S91" s="23"/>
      <c r="T91" s="4"/>
      <c r="U91" s="4"/>
      <c r="V91" s="4"/>
    </row>
    <row r="92" spans="1:22" x14ac:dyDescent="0.2">
      <c r="A92" s="774"/>
      <c r="B92" s="4"/>
      <c r="C92" s="23"/>
      <c r="D92" s="23"/>
      <c r="E92" s="23"/>
      <c r="F92" s="23"/>
      <c r="G92" s="23"/>
      <c r="H92" s="23"/>
      <c r="I92" s="23"/>
      <c r="J92" s="23"/>
      <c r="K92" s="23"/>
      <c r="L92" s="23"/>
      <c r="M92" s="23"/>
      <c r="N92" s="23"/>
      <c r="O92" s="23"/>
      <c r="P92" s="4"/>
      <c r="Q92" s="23"/>
      <c r="R92" s="23"/>
      <c r="S92" s="23"/>
      <c r="T92" s="4"/>
      <c r="U92" s="4"/>
      <c r="V92" s="4"/>
    </row>
    <row r="93" spans="1:22" x14ac:dyDescent="0.2">
      <c r="A93" s="774"/>
      <c r="B93" s="4"/>
      <c r="C93" s="23"/>
      <c r="D93" s="23"/>
      <c r="E93" s="23"/>
      <c r="F93" s="23"/>
      <c r="G93" s="23"/>
      <c r="H93" s="23"/>
      <c r="I93" s="23"/>
      <c r="J93" s="23"/>
      <c r="K93" s="23"/>
      <c r="L93" s="23"/>
      <c r="M93" s="23"/>
      <c r="N93" s="23"/>
      <c r="O93" s="23"/>
      <c r="P93" s="4"/>
      <c r="Q93" s="23"/>
      <c r="R93" s="23"/>
      <c r="S93" s="23"/>
      <c r="T93" s="4"/>
      <c r="U93" s="4"/>
      <c r="V93" s="4"/>
    </row>
    <row r="94" spans="1:22" x14ac:dyDescent="0.2">
      <c r="A94" s="774"/>
      <c r="B94" s="4"/>
      <c r="C94" s="23"/>
      <c r="D94" s="23"/>
      <c r="E94" s="23"/>
      <c r="F94" s="23"/>
      <c r="G94" s="23"/>
      <c r="H94" s="23"/>
      <c r="I94" s="23"/>
      <c r="J94" s="23"/>
      <c r="K94" s="23"/>
      <c r="L94" s="23"/>
      <c r="M94" s="23"/>
      <c r="N94" s="23"/>
      <c r="O94" s="23"/>
      <c r="P94" s="4"/>
      <c r="Q94" s="23"/>
      <c r="R94" s="23"/>
      <c r="S94" s="23"/>
      <c r="T94" s="4"/>
      <c r="U94" s="4"/>
      <c r="V94" s="4"/>
    </row>
    <row r="95" spans="1:22" x14ac:dyDescent="0.2">
      <c r="A95" s="774"/>
      <c r="B95" s="4"/>
      <c r="C95" s="23"/>
      <c r="D95" s="23"/>
      <c r="E95" s="23"/>
      <c r="F95" s="23"/>
      <c r="G95" s="23"/>
      <c r="H95" s="23"/>
      <c r="I95" s="23"/>
      <c r="J95" s="23"/>
      <c r="K95" s="23"/>
      <c r="L95" s="23"/>
      <c r="M95" s="23"/>
      <c r="N95" s="23"/>
      <c r="O95" s="23"/>
      <c r="P95" s="4"/>
      <c r="Q95" s="23"/>
      <c r="R95" s="23"/>
      <c r="S95" s="23"/>
      <c r="T95" s="4"/>
      <c r="U95" s="4"/>
      <c r="V95" s="4"/>
    </row>
    <row r="96" spans="1:22" x14ac:dyDescent="0.2">
      <c r="A96" s="774"/>
      <c r="B96" s="4"/>
      <c r="C96" s="23"/>
      <c r="D96" s="23"/>
      <c r="E96" s="23"/>
      <c r="F96" s="23"/>
      <c r="G96" s="23"/>
      <c r="H96" s="23"/>
      <c r="I96" s="23"/>
      <c r="J96" s="23"/>
      <c r="K96" s="23"/>
      <c r="L96" s="23"/>
      <c r="M96" s="23"/>
      <c r="N96" s="23"/>
      <c r="O96" s="23"/>
      <c r="P96" s="4"/>
      <c r="Q96" s="23"/>
      <c r="R96" s="23"/>
      <c r="S96" s="23"/>
      <c r="T96" s="4"/>
      <c r="U96" s="4"/>
      <c r="V96" s="4"/>
    </row>
    <row r="97" spans="1:22" x14ac:dyDescent="0.2">
      <c r="A97" s="774"/>
      <c r="B97" s="4"/>
      <c r="C97" s="23"/>
      <c r="D97" s="23"/>
      <c r="E97" s="23"/>
      <c r="F97" s="23"/>
      <c r="G97" s="23"/>
      <c r="H97" s="23"/>
      <c r="I97" s="23"/>
      <c r="J97" s="23"/>
      <c r="K97" s="23"/>
      <c r="L97" s="23"/>
      <c r="M97" s="23"/>
      <c r="N97" s="23"/>
      <c r="O97" s="23"/>
      <c r="P97" s="4"/>
      <c r="Q97" s="23"/>
      <c r="R97" s="23"/>
      <c r="S97" s="23"/>
      <c r="T97" s="4"/>
      <c r="U97" s="4"/>
      <c r="V97" s="4"/>
    </row>
    <row r="98" spans="1:22" x14ac:dyDescent="0.2">
      <c r="A98" s="774"/>
      <c r="B98" s="4"/>
      <c r="C98" s="23"/>
      <c r="D98" s="23"/>
      <c r="E98" s="23"/>
      <c r="F98" s="23"/>
      <c r="G98" s="23"/>
      <c r="H98" s="23"/>
      <c r="I98" s="23"/>
      <c r="J98" s="23"/>
      <c r="K98" s="23"/>
      <c r="L98" s="23"/>
      <c r="M98" s="23"/>
      <c r="N98" s="23"/>
      <c r="O98" s="23"/>
      <c r="P98" s="4"/>
      <c r="Q98" s="23"/>
      <c r="R98" s="23"/>
      <c r="S98" s="23"/>
      <c r="T98" s="4"/>
      <c r="U98" s="4"/>
      <c r="V98" s="4"/>
    </row>
    <row r="99" spans="1:22" x14ac:dyDescent="0.2">
      <c r="A99" s="774"/>
      <c r="B99" s="4"/>
      <c r="C99" s="23"/>
      <c r="D99" s="23"/>
      <c r="E99" s="23"/>
      <c r="F99" s="23"/>
      <c r="G99" s="23"/>
      <c r="H99" s="23"/>
      <c r="I99" s="23"/>
      <c r="J99" s="23"/>
      <c r="K99" s="23"/>
      <c r="L99" s="23"/>
      <c r="M99" s="23"/>
      <c r="N99" s="23"/>
      <c r="O99" s="23"/>
      <c r="P99" s="4"/>
      <c r="Q99" s="23"/>
      <c r="R99" s="23"/>
      <c r="S99" s="23"/>
      <c r="T99" s="4"/>
      <c r="U99" s="4"/>
      <c r="V99" s="4"/>
    </row>
    <row r="100" spans="1:22" x14ac:dyDescent="0.2">
      <c r="A100" s="774"/>
      <c r="B100" s="4"/>
      <c r="C100" s="23"/>
      <c r="D100" s="23"/>
      <c r="E100" s="23"/>
      <c r="F100" s="23"/>
      <c r="G100" s="23"/>
      <c r="H100" s="23"/>
      <c r="I100" s="23"/>
      <c r="J100" s="23"/>
      <c r="K100" s="23"/>
      <c r="L100" s="23"/>
      <c r="M100" s="23"/>
      <c r="N100" s="23"/>
      <c r="O100" s="23"/>
      <c r="P100" s="4"/>
      <c r="Q100" s="23"/>
      <c r="R100" s="23"/>
      <c r="S100" s="23"/>
      <c r="T100" s="4"/>
      <c r="U100" s="4"/>
      <c r="V100" s="4"/>
    </row>
    <row r="101" spans="1:22" x14ac:dyDescent="0.2">
      <c r="A101" s="774"/>
      <c r="B101" s="4"/>
      <c r="C101" s="23"/>
      <c r="D101" s="23"/>
      <c r="E101" s="23"/>
      <c r="F101" s="23"/>
      <c r="G101" s="23"/>
      <c r="H101" s="23"/>
      <c r="I101" s="23"/>
      <c r="J101" s="23"/>
      <c r="K101" s="23"/>
      <c r="L101" s="23"/>
      <c r="M101" s="23"/>
      <c r="N101" s="23"/>
      <c r="O101" s="23"/>
      <c r="P101" s="4"/>
      <c r="Q101" s="23"/>
      <c r="R101" s="23"/>
      <c r="S101" s="23"/>
      <c r="T101" s="4"/>
      <c r="U101" s="4"/>
      <c r="V101" s="4"/>
    </row>
    <row r="102" spans="1:22" x14ac:dyDescent="0.2">
      <c r="A102" s="774"/>
      <c r="B102" s="4"/>
      <c r="C102" s="23"/>
      <c r="D102" s="23"/>
      <c r="E102" s="23"/>
      <c r="F102" s="23"/>
      <c r="G102" s="23"/>
      <c r="H102" s="23"/>
      <c r="I102" s="23"/>
      <c r="J102" s="23"/>
      <c r="K102" s="23"/>
      <c r="L102" s="23"/>
      <c r="M102" s="23"/>
      <c r="N102" s="23"/>
      <c r="O102" s="23"/>
      <c r="P102" s="4"/>
      <c r="Q102" s="23"/>
      <c r="R102" s="23"/>
      <c r="S102" s="23"/>
      <c r="T102" s="4"/>
      <c r="U102" s="4"/>
      <c r="V102" s="4"/>
    </row>
    <row r="103" spans="1:22" x14ac:dyDescent="0.2">
      <c r="A103" s="774"/>
      <c r="B103" s="4"/>
      <c r="C103" s="23"/>
      <c r="D103" s="23"/>
      <c r="E103" s="23"/>
      <c r="F103" s="23"/>
      <c r="G103" s="23"/>
      <c r="H103" s="23"/>
      <c r="I103" s="23"/>
      <c r="J103" s="23"/>
      <c r="K103" s="23"/>
      <c r="L103" s="23"/>
      <c r="M103" s="23"/>
      <c r="N103" s="23"/>
      <c r="O103" s="23"/>
      <c r="P103" s="4"/>
      <c r="Q103" s="23"/>
      <c r="R103" s="23"/>
      <c r="S103" s="23"/>
      <c r="T103" s="4"/>
      <c r="U103" s="4"/>
      <c r="V103" s="4"/>
    </row>
    <row r="104" spans="1:22" x14ac:dyDescent="0.2">
      <c r="A104" s="774"/>
      <c r="B104" s="4"/>
      <c r="C104" s="23"/>
      <c r="D104" s="23"/>
      <c r="E104" s="23"/>
      <c r="F104" s="23"/>
      <c r="G104" s="23"/>
      <c r="H104" s="23"/>
      <c r="I104" s="23"/>
      <c r="J104" s="23"/>
      <c r="K104" s="23"/>
      <c r="L104" s="23"/>
      <c r="M104" s="23"/>
      <c r="N104" s="23"/>
      <c r="O104" s="23"/>
      <c r="P104" s="4"/>
      <c r="Q104" s="23"/>
      <c r="R104" s="23"/>
      <c r="S104" s="23"/>
      <c r="T104" s="4"/>
      <c r="U104" s="4"/>
      <c r="V104" s="4"/>
    </row>
    <row r="105" spans="1:22" x14ac:dyDescent="0.2">
      <c r="A105" s="774"/>
      <c r="B105" s="4"/>
      <c r="C105" s="23"/>
      <c r="D105" s="23"/>
      <c r="E105" s="23"/>
      <c r="F105" s="23"/>
      <c r="G105" s="23"/>
      <c r="H105" s="23"/>
      <c r="I105" s="23"/>
      <c r="J105" s="23"/>
      <c r="K105" s="23"/>
      <c r="L105" s="23"/>
      <c r="M105" s="23"/>
      <c r="N105" s="23"/>
      <c r="O105" s="23"/>
      <c r="P105" s="4"/>
      <c r="Q105" s="23"/>
      <c r="R105" s="23"/>
      <c r="S105" s="23"/>
      <c r="T105" s="4"/>
      <c r="U105" s="4"/>
      <c r="V105" s="4"/>
    </row>
    <row r="106" spans="1:22" x14ac:dyDescent="0.2">
      <c r="A106" s="774"/>
      <c r="B106" s="4"/>
      <c r="C106" s="23"/>
      <c r="D106" s="23"/>
      <c r="E106" s="23"/>
      <c r="F106" s="23"/>
      <c r="G106" s="23"/>
      <c r="H106" s="23"/>
      <c r="I106" s="23"/>
      <c r="J106" s="23"/>
      <c r="K106" s="23"/>
      <c r="L106" s="23"/>
      <c r="M106" s="23"/>
      <c r="N106" s="23"/>
      <c r="O106" s="23"/>
      <c r="P106" s="4"/>
      <c r="Q106" s="23"/>
      <c r="R106" s="23"/>
      <c r="S106" s="23"/>
      <c r="T106" s="4"/>
      <c r="U106" s="4"/>
      <c r="V106" s="4"/>
    </row>
    <row r="107" spans="1:22" x14ac:dyDescent="0.2">
      <c r="A107" s="774"/>
      <c r="B107" s="4"/>
      <c r="C107" s="23"/>
      <c r="D107" s="23"/>
      <c r="E107" s="23"/>
      <c r="F107" s="23"/>
      <c r="G107" s="23"/>
      <c r="H107" s="23"/>
      <c r="I107" s="23"/>
      <c r="J107" s="23"/>
      <c r="K107" s="23"/>
      <c r="L107" s="23"/>
      <c r="M107" s="23"/>
      <c r="N107" s="23"/>
      <c r="O107" s="23"/>
      <c r="P107" s="4"/>
      <c r="Q107" s="23"/>
      <c r="R107" s="23"/>
      <c r="S107" s="23"/>
      <c r="T107" s="4"/>
      <c r="U107" s="4"/>
      <c r="V107" s="4"/>
    </row>
    <row r="108" spans="1:22" x14ac:dyDescent="0.2">
      <c r="A108" s="774"/>
      <c r="B108" s="4"/>
      <c r="C108" s="23"/>
      <c r="D108" s="23"/>
      <c r="E108" s="23"/>
      <c r="F108" s="23"/>
      <c r="G108" s="23"/>
      <c r="H108" s="23"/>
      <c r="I108" s="23"/>
      <c r="J108" s="23"/>
      <c r="K108" s="23"/>
      <c r="L108" s="23"/>
      <c r="M108" s="23"/>
      <c r="N108" s="23"/>
      <c r="O108" s="23"/>
      <c r="P108" s="4"/>
      <c r="Q108" s="23"/>
      <c r="R108" s="23"/>
      <c r="S108" s="23"/>
      <c r="T108" s="4"/>
      <c r="U108" s="4"/>
      <c r="V108" s="4"/>
    </row>
    <row r="109" spans="1:22" x14ac:dyDescent="0.2">
      <c r="A109" s="774"/>
      <c r="B109" s="4"/>
      <c r="C109" s="23"/>
      <c r="D109" s="23"/>
      <c r="E109" s="23"/>
      <c r="F109" s="23"/>
      <c r="G109" s="23"/>
      <c r="H109" s="23"/>
      <c r="I109" s="23"/>
      <c r="J109" s="23"/>
      <c r="K109" s="23"/>
      <c r="L109" s="23"/>
      <c r="M109" s="23"/>
      <c r="N109" s="23"/>
      <c r="O109" s="23"/>
      <c r="P109" s="4"/>
      <c r="Q109" s="23"/>
      <c r="R109" s="23"/>
      <c r="S109" s="23"/>
      <c r="T109" s="4"/>
      <c r="U109" s="4"/>
      <c r="V109" s="4"/>
    </row>
    <row r="110" spans="1:22" x14ac:dyDescent="0.2">
      <c r="A110" s="774"/>
      <c r="B110" s="4"/>
      <c r="C110" s="23"/>
      <c r="D110" s="23"/>
      <c r="E110" s="23"/>
      <c r="F110" s="23"/>
      <c r="G110" s="23"/>
      <c r="H110" s="23"/>
      <c r="I110" s="23"/>
      <c r="J110" s="23"/>
      <c r="K110" s="23"/>
      <c r="L110" s="23"/>
      <c r="M110" s="23"/>
      <c r="N110" s="23"/>
      <c r="O110" s="23"/>
      <c r="P110" s="4"/>
      <c r="Q110" s="23"/>
      <c r="R110" s="23"/>
      <c r="S110" s="23"/>
      <c r="T110" s="4"/>
      <c r="U110" s="4"/>
      <c r="V110" s="4"/>
    </row>
    <row r="111" spans="1:22" x14ac:dyDescent="0.2">
      <c r="A111" s="774"/>
      <c r="B111" s="4"/>
      <c r="C111" s="23"/>
      <c r="D111" s="23"/>
      <c r="E111" s="23"/>
      <c r="F111" s="23"/>
      <c r="G111" s="23"/>
      <c r="H111" s="23"/>
      <c r="I111" s="23"/>
      <c r="J111" s="23"/>
      <c r="K111" s="23"/>
      <c r="L111" s="23"/>
      <c r="M111" s="23"/>
      <c r="N111" s="23"/>
      <c r="O111" s="23"/>
      <c r="P111" s="4"/>
      <c r="Q111" s="23"/>
      <c r="R111" s="23"/>
      <c r="S111" s="23"/>
      <c r="T111" s="4"/>
      <c r="U111" s="4"/>
      <c r="V111" s="4"/>
    </row>
    <row r="112" spans="1:22" x14ac:dyDescent="0.2">
      <c r="A112" s="774"/>
      <c r="B112" s="4"/>
      <c r="C112" s="23"/>
      <c r="D112" s="23"/>
      <c r="E112" s="23"/>
      <c r="F112" s="23"/>
      <c r="G112" s="23"/>
      <c r="H112" s="23"/>
      <c r="I112" s="23"/>
      <c r="J112" s="23"/>
      <c r="K112" s="23"/>
      <c r="L112" s="23"/>
      <c r="M112" s="23"/>
      <c r="N112" s="23"/>
      <c r="O112" s="23"/>
      <c r="P112" s="4"/>
      <c r="Q112" s="23"/>
      <c r="R112" s="23"/>
      <c r="S112" s="23"/>
      <c r="T112" s="4"/>
      <c r="U112" s="4"/>
      <c r="V112" s="4"/>
    </row>
    <row r="113" spans="1:22" x14ac:dyDescent="0.2">
      <c r="A113" s="774"/>
      <c r="B113" s="4"/>
      <c r="C113" s="23"/>
      <c r="D113" s="23"/>
      <c r="E113" s="23"/>
      <c r="F113" s="23"/>
      <c r="G113" s="23"/>
      <c r="H113" s="23"/>
      <c r="I113" s="23"/>
      <c r="J113" s="23"/>
      <c r="K113" s="23"/>
      <c r="L113" s="23"/>
      <c r="M113" s="23"/>
      <c r="N113" s="23"/>
      <c r="O113" s="23"/>
      <c r="P113" s="4"/>
      <c r="Q113" s="23"/>
      <c r="R113" s="23"/>
      <c r="S113" s="23"/>
      <c r="T113" s="4"/>
      <c r="U113" s="4"/>
      <c r="V113" s="4"/>
    </row>
    <row r="114" spans="1:22" x14ac:dyDescent="0.2">
      <c r="A114" s="774"/>
      <c r="B114" s="4"/>
      <c r="C114" s="23"/>
      <c r="D114" s="23"/>
      <c r="E114" s="23"/>
      <c r="F114" s="23"/>
      <c r="G114" s="23"/>
      <c r="H114" s="23"/>
      <c r="I114" s="23"/>
      <c r="J114" s="23"/>
      <c r="K114" s="23"/>
      <c r="L114" s="23"/>
      <c r="M114" s="23"/>
      <c r="N114" s="23"/>
      <c r="O114" s="23"/>
      <c r="P114" s="4"/>
      <c r="Q114" s="23"/>
      <c r="R114" s="23"/>
      <c r="S114" s="23"/>
      <c r="T114" s="4"/>
      <c r="U114" s="4"/>
      <c r="V114" s="4"/>
    </row>
    <row r="115" spans="1:22" x14ac:dyDescent="0.2">
      <c r="A115" s="774"/>
      <c r="B115" s="4"/>
      <c r="C115" s="23"/>
      <c r="D115" s="23"/>
      <c r="E115" s="23"/>
      <c r="F115" s="23"/>
      <c r="G115" s="23"/>
      <c r="H115" s="23"/>
      <c r="I115" s="23"/>
      <c r="J115" s="23"/>
      <c r="K115" s="23"/>
      <c r="L115" s="23"/>
      <c r="M115" s="23"/>
      <c r="N115" s="23"/>
      <c r="O115" s="23"/>
      <c r="P115" s="4"/>
      <c r="Q115" s="23"/>
      <c r="R115" s="23"/>
      <c r="S115" s="23"/>
      <c r="T115" s="4"/>
      <c r="U115" s="4"/>
      <c r="V115" s="4"/>
    </row>
    <row r="116" spans="1:22" x14ac:dyDescent="0.2">
      <c r="A116" s="774"/>
      <c r="B116" s="4"/>
      <c r="C116" s="23"/>
      <c r="D116" s="23"/>
      <c r="E116" s="23"/>
      <c r="F116" s="23"/>
      <c r="G116" s="23"/>
      <c r="H116" s="23"/>
      <c r="I116" s="23"/>
      <c r="J116" s="23"/>
      <c r="K116" s="23"/>
      <c r="L116" s="23"/>
      <c r="M116" s="23"/>
      <c r="N116" s="23"/>
      <c r="O116" s="23"/>
      <c r="P116" s="4"/>
      <c r="Q116" s="23"/>
      <c r="R116" s="23"/>
      <c r="S116" s="23"/>
      <c r="T116" s="4"/>
      <c r="U116" s="4"/>
      <c r="V116" s="4"/>
    </row>
    <row r="117" spans="1:22" x14ac:dyDescent="0.2">
      <c r="A117" s="774"/>
      <c r="B117" s="4"/>
      <c r="C117" s="23"/>
      <c r="D117" s="23"/>
      <c r="E117" s="23"/>
      <c r="F117" s="23"/>
      <c r="G117" s="23"/>
      <c r="H117" s="23"/>
      <c r="I117" s="23"/>
      <c r="J117" s="23"/>
      <c r="K117" s="23"/>
      <c r="L117" s="23"/>
      <c r="M117" s="23"/>
      <c r="N117" s="23"/>
      <c r="O117" s="23"/>
      <c r="P117" s="4"/>
      <c r="Q117" s="23"/>
      <c r="R117" s="23"/>
      <c r="S117" s="23"/>
      <c r="T117" s="4"/>
      <c r="U117" s="4"/>
      <c r="V117" s="4"/>
    </row>
    <row r="118" spans="1:22" x14ac:dyDescent="0.2">
      <c r="A118" s="774"/>
      <c r="B118" s="4"/>
      <c r="C118" s="23"/>
      <c r="D118" s="23"/>
      <c r="E118" s="23"/>
      <c r="F118" s="23"/>
      <c r="G118" s="23"/>
      <c r="H118" s="23"/>
      <c r="I118" s="23"/>
      <c r="J118" s="23"/>
      <c r="K118" s="23"/>
      <c r="L118" s="23"/>
      <c r="M118" s="23"/>
      <c r="N118" s="23"/>
      <c r="O118" s="23"/>
      <c r="P118" s="4"/>
      <c r="Q118" s="23"/>
      <c r="R118" s="23"/>
      <c r="S118" s="23"/>
      <c r="T118" s="4"/>
      <c r="U118" s="4"/>
      <c r="V118" s="4"/>
    </row>
    <row r="119" spans="1:22" x14ac:dyDescent="0.2">
      <c r="A119" s="774"/>
      <c r="B119" s="4"/>
      <c r="C119" s="23"/>
      <c r="D119" s="23"/>
      <c r="E119" s="23"/>
      <c r="F119" s="23"/>
      <c r="G119" s="23"/>
      <c r="H119" s="23"/>
      <c r="I119" s="23"/>
      <c r="J119" s="23"/>
      <c r="K119" s="23"/>
      <c r="L119" s="23"/>
      <c r="M119" s="23"/>
      <c r="N119" s="23"/>
      <c r="O119" s="23"/>
      <c r="P119" s="4"/>
      <c r="Q119" s="23"/>
      <c r="R119" s="23"/>
      <c r="S119" s="23"/>
      <c r="T119" s="4"/>
      <c r="U119" s="4"/>
      <c r="V119" s="4"/>
    </row>
    <row r="120" spans="1:22" x14ac:dyDescent="0.2">
      <c r="A120" s="774"/>
      <c r="B120" s="4"/>
      <c r="C120" s="23"/>
      <c r="D120" s="23"/>
      <c r="E120" s="23"/>
      <c r="F120" s="23"/>
      <c r="G120" s="23"/>
      <c r="H120" s="23"/>
      <c r="I120" s="23"/>
      <c r="J120" s="23"/>
      <c r="K120" s="23"/>
      <c r="L120" s="23"/>
      <c r="M120" s="23"/>
      <c r="N120" s="23"/>
      <c r="O120" s="23"/>
      <c r="P120" s="4"/>
      <c r="Q120" s="23"/>
      <c r="R120" s="23"/>
      <c r="S120" s="23"/>
      <c r="T120" s="4"/>
      <c r="U120" s="4"/>
      <c r="V120" s="4"/>
    </row>
    <row r="121" spans="1:22" x14ac:dyDescent="0.2">
      <c r="A121" s="774"/>
      <c r="B121" s="4"/>
      <c r="C121" s="23"/>
      <c r="D121" s="23"/>
      <c r="E121" s="23"/>
      <c r="F121" s="23"/>
      <c r="G121" s="23"/>
      <c r="H121" s="23"/>
      <c r="I121" s="23"/>
      <c r="J121" s="23"/>
      <c r="K121" s="23"/>
      <c r="L121" s="23"/>
      <c r="M121" s="23"/>
      <c r="N121" s="23"/>
      <c r="O121" s="23"/>
      <c r="P121" s="4"/>
      <c r="Q121" s="23"/>
      <c r="R121" s="23"/>
      <c r="S121" s="23"/>
      <c r="T121" s="4"/>
      <c r="U121" s="4"/>
      <c r="V121" s="4"/>
    </row>
    <row r="122" spans="1:22" x14ac:dyDescent="0.2">
      <c r="A122" s="774"/>
      <c r="B122" s="4"/>
      <c r="C122" s="23"/>
      <c r="D122" s="23"/>
      <c r="E122" s="23"/>
      <c r="F122" s="23"/>
      <c r="G122" s="23"/>
      <c r="H122" s="23"/>
      <c r="I122" s="23"/>
      <c r="J122" s="23"/>
      <c r="K122" s="23"/>
      <c r="L122" s="23"/>
      <c r="M122" s="23"/>
      <c r="N122" s="23"/>
      <c r="O122" s="23"/>
      <c r="P122" s="4"/>
      <c r="Q122" s="23"/>
      <c r="R122" s="23"/>
      <c r="S122" s="23"/>
      <c r="T122" s="4"/>
      <c r="U122" s="4"/>
      <c r="V122" s="4"/>
    </row>
    <row r="123" spans="1:22" x14ac:dyDescent="0.2">
      <c r="A123" s="774"/>
      <c r="B123" s="4"/>
      <c r="C123" s="23"/>
      <c r="D123" s="23"/>
      <c r="E123" s="23"/>
      <c r="F123" s="23"/>
      <c r="G123" s="23"/>
      <c r="H123" s="23"/>
      <c r="I123" s="23"/>
      <c r="J123" s="23"/>
      <c r="K123" s="23"/>
      <c r="L123" s="23"/>
      <c r="M123" s="23"/>
      <c r="N123" s="23"/>
      <c r="O123" s="23"/>
      <c r="P123" s="4"/>
      <c r="Q123" s="23"/>
      <c r="R123" s="23"/>
      <c r="S123" s="23"/>
      <c r="T123" s="4"/>
      <c r="U123" s="4"/>
      <c r="V123" s="4"/>
    </row>
    <row r="124" spans="1:22" x14ac:dyDescent="0.2">
      <c r="A124" s="774"/>
      <c r="B124" s="4"/>
      <c r="C124" s="23"/>
      <c r="D124" s="23"/>
      <c r="E124" s="23"/>
      <c r="F124" s="23"/>
      <c r="G124" s="23"/>
      <c r="H124" s="23"/>
      <c r="I124" s="23"/>
      <c r="J124" s="23"/>
      <c r="K124" s="23"/>
      <c r="L124" s="23"/>
      <c r="M124" s="23"/>
      <c r="N124" s="23"/>
      <c r="O124" s="23"/>
      <c r="P124" s="4"/>
      <c r="Q124" s="23"/>
      <c r="R124" s="23"/>
      <c r="S124" s="23"/>
      <c r="T124" s="4"/>
      <c r="U124" s="4"/>
      <c r="V124" s="4"/>
    </row>
    <row r="125" spans="1:22" x14ac:dyDescent="0.2">
      <c r="A125" s="774"/>
      <c r="B125" s="4"/>
      <c r="C125" s="23"/>
      <c r="D125" s="23"/>
      <c r="E125" s="23"/>
      <c r="F125" s="23"/>
      <c r="G125" s="23"/>
      <c r="H125" s="23"/>
      <c r="I125" s="23"/>
      <c r="J125" s="23"/>
      <c r="K125" s="23"/>
      <c r="L125" s="23"/>
      <c r="M125" s="23"/>
      <c r="N125" s="23"/>
      <c r="O125" s="23"/>
      <c r="P125" s="4"/>
      <c r="Q125" s="23"/>
      <c r="R125" s="23"/>
      <c r="S125" s="23"/>
      <c r="T125" s="4"/>
      <c r="U125" s="4"/>
      <c r="V125" s="4"/>
    </row>
    <row r="126" spans="1:22" x14ac:dyDescent="0.2">
      <c r="A126" s="774"/>
      <c r="B126" s="4"/>
      <c r="C126" s="23"/>
      <c r="D126" s="23"/>
      <c r="E126" s="23"/>
      <c r="F126" s="23"/>
      <c r="G126" s="23"/>
      <c r="H126" s="23"/>
      <c r="I126" s="23"/>
      <c r="J126" s="23"/>
      <c r="K126" s="23"/>
      <c r="L126" s="23"/>
      <c r="M126" s="23"/>
      <c r="N126" s="23"/>
      <c r="O126" s="23"/>
      <c r="P126" s="4"/>
      <c r="Q126" s="23"/>
      <c r="R126" s="23"/>
      <c r="S126" s="23"/>
      <c r="T126" s="4"/>
      <c r="U126" s="4"/>
      <c r="V126" s="4"/>
    </row>
    <row r="127" spans="1:22" x14ac:dyDescent="0.2">
      <c r="A127" s="774"/>
      <c r="B127" s="4"/>
      <c r="C127" s="23"/>
      <c r="D127" s="23"/>
      <c r="E127" s="23"/>
      <c r="F127" s="23"/>
      <c r="G127" s="23"/>
      <c r="H127" s="23"/>
      <c r="I127" s="23"/>
      <c r="J127" s="23"/>
      <c r="K127" s="23"/>
      <c r="L127" s="23"/>
      <c r="M127" s="23"/>
      <c r="N127" s="23"/>
      <c r="O127" s="23"/>
      <c r="P127" s="4"/>
      <c r="Q127" s="23"/>
      <c r="R127" s="23"/>
      <c r="S127" s="23"/>
      <c r="T127" s="4"/>
      <c r="U127" s="4"/>
      <c r="V127" s="4"/>
    </row>
    <row r="128" spans="1:22" x14ac:dyDescent="0.2">
      <c r="A128" s="774"/>
      <c r="B128" s="4"/>
      <c r="C128" s="23"/>
      <c r="D128" s="23"/>
      <c r="E128" s="23"/>
      <c r="F128" s="23"/>
      <c r="G128" s="23"/>
      <c r="H128" s="23"/>
      <c r="I128" s="23"/>
      <c r="J128" s="23"/>
      <c r="K128" s="23"/>
      <c r="L128" s="23"/>
      <c r="M128" s="23"/>
      <c r="N128" s="23"/>
      <c r="O128" s="23"/>
      <c r="P128" s="4"/>
      <c r="Q128" s="23"/>
      <c r="R128" s="23"/>
      <c r="S128" s="23"/>
      <c r="T128" s="4"/>
      <c r="U128" s="4"/>
      <c r="V128" s="4"/>
    </row>
    <row r="129" spans="1:22" x14ac:dyDescent="0.2">
      <c r="A129" s="774"/>
      <c r="B129" s="4"/>
      <c r="C129" s="23"/>
      <c r="D129" s="23"/>
      <c r="E129" s="23"/>
      <c r="F129" s="23"/>
      <c r="G129" s="23"/>
      <c r="H129" s="23"/>
      <c r="I129" s="23"/>
      <c r="J129" s="23"/>
      <c r="K129" s="23"/>
      <c r="L129" s="23"/>
      <c r="M129" s="23"/>
      <c r="N129" s="23"/>
      <c r="O129" s="23"/>
      <c r="P129" s="4"/>
      <c r="Q129" s="23"/>
      <c r="R129" s="23"/>
      <c r="S129" s="23"/>
      <c r="T129" s="4"/>
      <c r="U129" s="4"/>
      <c r="V129" s="4"/>
    </row>
    <row r="130" spans="1:22" x14ac:dyDescent="0.2">
      <c r="A130" s="774"/>
      <c r="B130" s="4"/>
      <c r="C130" s="23"/>
      <c r="D130" s="23"/>
      <c r="E130" s="23"/>
      <c r="F130" s="23"/>
      <c r="G130" s="23"/>
      <c r="H130" s="23"/>
      <c r="I130" s="23"/>
      <c r="J130" s="23"/>
      <c r="K130" s="23"/>
      <c r="L130" s="23"/>
      <c r="M130" s="23"/>
      <c r="N130" s="23"/>
      <c r="O130" s="23"/>
      <c r="P130" s="4"/>
      <c r="Q130" s="23"/>
      <c r="R130" s="23"/>
      <c r="S130" s="23"/>
      <c r="T130" s="4"/>
      <c r="U130" s="4"/>
      <c r="V130" s="4"/>
    </row>
    <row r="131" spans="1:22" x14ac:dyDescent="0.2">
      <c r="A131" s="774"/>
      <c r="B131" s="4"/>
      <c r="C131" s="23"/>
      <c r="D131" s="23"/>
      <c r="E131" s="23"/>
      <c r="F131" s="23"/>
      <c r="G131" s="23"/>
      <c r="H131" s="23"/>
      <c r="I131" s="23"/>
      <c r="J131" s="23"/>
      <c r="K131" s="23"/>
      <c r="L131" s="23"/>
      <c r="M131" s="23"/>
      <c r="N131" s="23"/>
      <c r="O131" s="23"/>
      <c r="P131" s="4"/>
      <c r="Q131" s="23"/>
      <c r="R131" s="23"/>
      <c r="S131" s="23"/>
      <c r="T131" s="4"/>
      <c r="U131" s="4"/>
      <c r="V131" s="4"/>
    </row>
    <row r="132" spans="1:22" x14ac:dyDescent="0.2">
      <c r="A132" s="774"/>
      <c r="B132" s="4"/>
      <c r="C132" s="23"/>
      <c r="D132" s="23"/>
      <c r="E132" s="23"/>
      <c r="F132" s="23"/>
      <c r="G132" s="23"/>
      <c r="H132" s="23"/>
      <c r="I132" s="23"/>
      <c r="J132" s="23"/>
      <c r="K132" s="23"/>
      <c r="L132" s="23"/>
      <c r="M132" s="23"/>
      <c r="N132" s="23"/>
      <c r="O132" s="23"/>
      <c r="P132" s="4"/>
      <c r="Q132" s="23"/>
      <c r="R132" s="23"/>
      <c r="S132" s="23"/>
      <c r="T132" s="4"/>
      <c r="U132" s="4"/>
      <c r="V132" s="4"/>
    </row>
    <row r="133" spans="1:22" x14ac:dyDescent="0.2">
      <c r="A133" s="774"/>
      <c r="B133" s="4"/>
      <c r="C133" s="23"/>
      <c r="D133" s="23"/>
      <c r="E133" s="23"/>
      <c r="F133" s="23"/>
      <c r="G133" s="23"/>
      <c r="H133" s="23"/>
      <c r="I133" s="23"/>
      <c r="J133" s="23"/>
      <c r="K133" s="23"/>
      <c r="L133" s="23"/>
      <c r="M133" s="23"/>
      <c r="N133" s="23"/>
      <c r="O133" s="23"/>
      <c r="P133" s="4"/>
      <c r="Q133" s="23"/>
      <c r="R133" s="23"/>
      <c r="S133" s="23"/>
      <c r="T133" s="4"/>
      <c r="U133" s="4"/>
      <c r="V133" s="4"/>
    </row>
    <row r="134" spans="1:22" x14ac:dyDescent="0.2">
      <c r="A134" s="774"/>
      <c r="B134" s="4"/>
      <c r="C134" s="23"/>
      <c r="D134" s="23"/>
      <c r="E134" s="23"/>
      <c r="F134" s="23"/>
      <c r="G134" s="23"/>
      <c r="H134" s="23"/>
      <c r="I134" s="23"/>
      <c r="J134" s="23"/>
      <c r="K134" s="23"/>
      <c r="L134" s="23"/>
      <c r="M134" s="23"/>
      <c r="N134" s="23"/>
      <c r="O134" s="23"/>
      <c r="P134" s="4"/>
      <c r="Q134" s="23"/>
      <c r="R134" s="23"/>
      <c r="S134" s="23"/>
      <c r="T134" s="4"/>
      <c r="U134" s="4"/>
      <c r="V134" s="4"/>
    </row>
    <row r="135" spans="1:22" x14ac:dyDescent="0.2">
      <c r="A135" s="774"/>
      <c r="B135" s="4"/>
      <c r="C135" s="23"/>
      <c r="D135" s="23"/>
      <c r="E135" s="23"/>
      <c r="F135" s="23"/>
      <c r="G135" s="23"/>
      <c r="H135" s="23"/>
      <c r="I135" s="23"/>
      <c r="J135" s="23"/>
      <c r="K135" s="23"/>
      <c r="L135" s="23"/>
      <c r="M135" s="23"/>
      <c r="N135" s="23"/>
      <c r="O135" s="23"/>
      <c r="P135" s="4"/>
      <c r="Q135" s="23"/>
      <c r="R135" s="23"/>
      <c r="S135" s="23"/>
      <c r="T135" s="4"/>
      <c r="U135" s="4"/>
      <c r="V135" s="4"/>
    </row>
    <row r="136" spans="1:22" x14ac:dyDescent="0.2">
      <c r="A136" s="774"/>
      <c r="B136" s="4"/>
      <c r="C136" s="23"/>
      <c r="D136" s="23"/>
      <c r="E136" s="23"/>
      <c r="F136" s="23"/>
      <c r="G136" s="23"/>
      <c r="H136" s="23"/>
      <c r="I136" s="23"/>
      <c r="J136" s="23"/>
      <c r="K136" s="23"/>
      <c r="L136" s="23"/>
      <c r="M136" s="23"/>
      <c r="N136" s="23"/>
      <c r="O136" s="23"/>
      <c r="P136" s="4"/>
      <c r="Q136" s="23"/>
      <c r="R136" s="23"/>
      <c r="S136" s="23"/>
      <c r="T136" s="4"/>
      <c r="U136" s="4"/>
      <c r="V136" s="4"/>
    </row>
    <row r="137" spans="1:22" x14ac:dyDescent="0.2">
      <c r="A137" s="774"/>
      <c r="B137" s="4"/>
      <c r="C137" s="23"/>
      <c r="D137" s="23"/>
      <c r="E137" s="23"/>
      <c r="F137" s="23"/>
      <c r="G137" s="23"/>
      <c r="H137" s="23"/>
      <c r="I137" s="23"/>
      <c r="J137" s="23"/>
      <c r="K137" s="23"/>
      <c r="L137" s="23"/>
      <c r="M137" s="23"/>
      <c r="N137" s="23"/>
      <c r="O137" s="23"/>
      <c r="P137" s="4"/>
      <c r="Q137" s="23"/>
      <c r="R137" s="23"/>
      <c r="S137" s="23"/>
      <c r="T137" s="4"/>
      <c r="U137" s="4"/>
      <c r="V137" s="4"/>
    </row>
    <row r="138" spans="1:22" x14ac:dyDescent="0.2">
      <c r="A138" s="774"/>
      <c r="B138" s="4"/>
      <c r="C138" s="23"/>
      <c r="D138" s="23"/>
      <c r="E138" s="23"/>
      <c r="F138" s="23"/>
      <c r="G138" s="23"/>
      <c r="H138" s="23"/>
      <c r="I138" s="23"/>
      <c r="J138" s="23"/>
      <c r="K138" s="23"/>
      <c r="L138" s="23"/>
      <c r="M138" s="23"/>
      <c r="N138" s="23"/>
      <c r="O138" s="23"/>
      <c r="P138" s="4"/>
      <c r="Q138" s="23"/>
      <c r="R138" s="23"/>
      <c r="S138" s="23"/>
      <c r="T138" s="4"/>
      <c r="U138" s="4"/>
      <c r="V138" s="4"/>
    </row>
    <row r="139" spans="1:22" x14ac:dyDescent="0.2">
      <c r="A139" s="774"/>
      <c r="B139" s="4"/>
      <c r="C139" s="23"/>
      <c r="D139" s="23"/>
      <c r="E139" s="23"/>
      <c r="F139" s="23"/>
      <c r="G139" s="23"/>
      <c r="H139" s="23"/>
      <c r="I139" s="23"/>
      <c r="J139" s="23"/>
      <c r="K139" s="23"/>
      <c r="L139" s="23"/>
      <c r="M139" s="23"/>
      <c r="N139" s="23"/>
      <c r="O139" s="23"/>
      <c r="P139" s="4"/>
      <c r="Q139" s="23"/>
      <c r="R139" s="23"/>
      <c r="S139" s="23"/>
      <c r="T139" s="4"/>
      <c r="U139" s="4"/>
      <c r="V139" s="4"/>
    </row>
    <row r="140" spans="1:22" x14ac:dyDescent="0.2">
      <c r="A140" s="774"/>
      <c r="B140" s="4"/>
      <c r="C140" s="23"/>
      <c r="D140" s="23"/>
      <c r="E140" s="23"/>
      <c r="F140" s="23"/>
      <c r="G140" s="23"/>
      <c r="H140" s="23"/>
      <c r="I140" s="23"/>
      <c r="J140" s="23"/>
      <c r="K140" s="23"/>
      <c r="L140" s="23"/>
      <c r="M140" s="23"/>
      <c r="N140" s="23"/>
      <c r="O140" s="23"/>
      <c r="P140" s="4"/>
      <c r="Q140" s="23"/>
      <c r="R140" s="23"/>
      <c r="S140" s="23"/>
      <c r="T140" s="4"/>
      <c r="U140" s="4"/>
      <c r="V140" s="4"/>
    </row>
    <row r="141" spans="1:22" x14ac:dyDescent="0.2">
      <c r="A141" s="774"/>
      <c r="B141" s="4"/>
      <c r="C141" s="23"/>
      <c r="D141" s="23"/>
      <c r="E141" s="23"/>
      <c r="F141" s="23"/>
      <c r="G141" s="23"/>
      <c r="H141" s="23"/>
      <c r="I141" s="23"/>
      <c r="J141" s="23"/>
      <c r="K141" s="23"/>
      <c r="L141" s="23"/>
      <c r="M141" s="23"/>
      <c r="N141" s="23"/>
      <c r="O141" s="23"/>
      <c r="P141" s="4"/>
      <c r="Q141" s="23"/>
      <c r="R141" s="23"/>
      <c r="S141" s="23"/>
      <c r="T141" s="4"/>
      <c r="U141" s="4"/>
      <c r="V141" s="4"/>
    </row>
    <row r="142" spans="1:22" x14ac:dyDescent="0.2">
      <c r="A142" s="774"/>
      <c r="B142" s="4"/>
      <c r="C142" s="23"/>
      <c r="D142" s="23"/>
      <c r="E142" s="23"/>
      <c r="F142" s="23"/>
      <c r="G142" s="23"/>
      <c r="H142" s="23"/>
      <c r="I142" s="23"/>
      <c r="J142" s="23"/>
      <c r="K142" s="23"/>
      <c r="L142" s="23"/>
      <c r="M142" s="23"/>
      <c r="N142" s="23"/>
      <c r="O142" s="23"/>
      <c r="P142" s="4"/>
      <c r="Q142" s="23"/>
      <c r="R142" s="23"/>
      <c r="S142" s="23"/>
      <c r="T142" s="4"/>
      <c r="U142" s="4"/>
      <c r="V142" s="4"/>
    </row>
    <row r="143" spans="1:22" x14ac:dyDescent="0.2">
      <c r="A143" s="774"/>
      <c r="B143" s="4"/>
      <c r="C143" s="23"/>
      <c r="D143" s="23"/>
      <c r="E143" s="23"/>
      <c r="F143" s="23"/>
      <c r="G143" s="23"/>
      <c r="H143" s="23"/>
      <c r="I143" s="23"/>
      <c r="J143" s="23"/>
      <c r="K143" s="23"/>
      <c r="L143" s="23"/>
      <c r="M143" s="23"/>
      <c r="N143" s="23"/>
      <c r="O143" s="23"/>
      <c r="P143" s="4"/>
      <c r="Q143" s="23"/>
      <c r="R143" s="23"/>
      <c r="S143" s="23"/>
      <c r="T143" s="4"/>
      <c r="U143" s="4"/>
      <c r="V143" s="4"/>
    </row>
    <row r="144" spans="1:22" x14ac:dyDescent="0.2">
      <c r="C144" s="212"/>
      <c r="D144" s="212"/>
      <c r="E144" s="212"/>
      <c r="F144" s="212"/>
      <c r="G144" s="212"/>
      <c r="H144" s="212"/>
      <c r="I144" s="212"/>
      <c r="J144" s="212"/>
      <c r="K144" s="212"/>
      <c r="L144" s="212"/>
      <c r="M144" s="212"/>
      <c r="N144" s="212"/>
      <c r="O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row r="160" spans="3:3" x14ac:dyDescent="0.2">
      <c r="C160" s="212"/>
    </row>
    <row r="161" spans="3:3" x14ac:dyDescent="0.2">
      <c r="C161" s="212"/>
    </row>
    <row r="162" spans="3:3" x14ac:dyDescent="0.2">
      <c r="C162" s="212"/>
    </row>
    <row r="163" spans="3:3" x14ac:dyDescent="0.2">
      <c r="C163" s="212"/>
    </row>
    <row r="164" spans="3:3" x14ac:dyDescent="0.2">
      <c r="C164" s="212"/>
    </row>
    <row r="165" spans="3:3" x14ac:dyDescent="0.2">
      <c r="C165" s="212"/>
    </row>
    <row r="166" spans="3:3" x14ac:dyDescent="0.2">
      <c r="C166" s="212"/>
    </row>
    <row r="167" spans="3:3" x14ac:dyDescent="0.2">
      <c r="C167" s="212"/>
    </row>
    <row r="168" spans="3:3" x14ac:dyDescent="0.2">
      <c r="C168" s="212"/>
    </row>
    <row r="169" spans="3:3" x14ac:dyDescent="0.2">
      <c r="C169" s="212"/>
    </row>
    <row r="170" spans="3:3" x14ac:dyDescent="0.2">
      <c r="C170" s="212"/>
    </row>
    <row r="171" spans="3:3" x14ac:dyDescent="0.2">
      <c r="C171" s="212"/>
    </row>
    <row r="172" spans="3:3" x14ac:dyDescent="0.2">
      <c r="C172" s="212"/>
    </row>
    <row r="173" spans="3:3" x14ac:dyDescent="0.2">
      <c r="C173" s="212"/>
    </row>
    <row r="174" spans="3:3" x14ac:dyDescent="0.2">
      <c r="C174" s="212"/>
    </row>
    <row r="175" spans="3:3" x14ac:dyDescent="0.2">
      <c r="C175" s="212"/>
    </row>
    <row r="176" spans="3:3" x14ac:dyDescent="0.2">
      <c r="C176" s="212"/>
    </row>
    <row r="177" spans="3:3" x14ac:dyDescent="0.2">
      <c r="C177" s="212"/>
    </row>
    <row r="178" spans="3:3" x14ac:dyDescent="0.2">
      <c r="C178" s="212"/>
    </row>
    <row r="179" spans="3:3" x14ac:dyDescent="0.2">
      <c r="C179" s="212"/>
    </row>
    <row r="180" spans="3:3" x14ac:dyDescent="0.2">
      <c r="C180" s="212"/>
    </row>
    <row r="181" spans="3:3" x14ac:dyDescent="0.2">
      <c r="C181" s="212"/>
    </row>
    <row r="182" spans="3:3" x14ac:dyDescent="0.2">
      <c r="C182" s="212"/>
    </row>
    <row r="183" spans="3:3" x14ac:dyDescent="0.2">
      <c r="C183" s="212"/>
    </row>
    <row r="184" spans="3:3" x14ac:dyDescent="0.2">
      <c r="C184" s="212"/>
    </row>
    <row r="185" spans="3:3" x14ac:dyDescent="0.2">
      <c r="C185" s="212"/>
    </row>
    <row r="186" spans="3:3" x14ac:dyDescent="0.2">
      <c r="C186" s="212"/>
    </row>
    <row r="187" spans="3:3" x14ac:dyDescent="0.2">
      <c r="C187" s="212"/>
    </row>
    <row r="188" spans="3:3" x14ac:dyDescent="0.2">
      <c r="C188" s="212"/>
    </row>
    <row r="189" spans="3:3" x14ac:dyDescent="0.2">
      <c r="C189" s="212"/>
    </row>
    <row r="190" spans="3:3" x14ac:dyDescent="0.2">
      <c r="C190" s="212"/>
    </row>
    <row r="191" spans="3:3" x14ac:dyDescent="0.2">
      <c r="C191" s="212"/>
    </row>
  </sheetData>
  <phoneticPr fontId="0" type="noConversion"/>
  <hyperlinks>
    <hyperlink ref="A1" location="'Working Budget with funding det'!A1" display="Main " xr:uid="{00000000-0004-0000-3200-000000000000}"/>
    <hyperlink ref="B1" location="'Table of Contents'!A1" display="TOC" xr:uid="{00000000-0004-0000-3200-000001000000}"/>
  </hyperlinks>
  <pageMargins left="0.75" right="0.75" top="1" bottom="1" header="0.5" footer="0.5"/>
  <pageSetup scale="91" orientation="landscape" horizontalDpi="300" verticalDpi="300" r:id="rId1"/>
  <headerFooter alignWithMargins="0">
    <oddFooter>&amp;L&amp;D     &amp;T&amp;C&amp;F&amp;R&amp;A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B050"/>
    <pageSetUpPr fitToPage="1"/>
  </sheetPr>
  <dimension ref="A1:W177"/>
  <sheetViews>
    <sheetView workbookViewId="0">
      <selection activeCell="Q14" sqref="Q14"/>
    </sheetView>
  </sheetViews>
  <sheetFormatPr defaultRowHeight="12.75" x14ac:dyDescent="0.2"/>
  <cols>
    <col min="1" max="1" width="10.83203125" style="783" customWidth="1"/>
    <col min="2" max="2" width="38.1640625" customWidth="1"/>
    <col min="3" max="3" width="15.83203125" style="1" hidden="1" customWidth="1"/>
    <col min="4" max="12" width="15.5" style="106" hidden="1" customWidth="1"/>
    <col min="13" max="15" width="15.5" style="106" customWidth="1"/>
    <col min="16" max="16" width="15.83203125" customWidth="1"/>
    <col min="17" max="19" width="16.83203125" style="1" customWidth="1"/>
    <col min="20" max="22" width="14.5" customWidth="1"/>
    <col min="23" max="23" width="14.6640625" style="2" customWidth="1"/>
  </cols>
  <sheetData>
    <row r="1" spans="1:22" x14ac:dyDescent="0.2">
      <c r="A1" s="772" t="s">
        <v>847</v>
      </c>
      <c r="B1" s="308" t="s">
        <v>197</v>
      </c>
      <c r="D1" s="212"/>
      <c r="E1" s="212"/>
      <c r="F1" s="212"/>
      <c r="G1" s="212"/>
      <c r="H1" s="212"/>
      <c r="I1" s="212"/>
      <c r="J1" s="212"/>
      <c r="K1" s="212"/>
      <c r="L1" s="212"/>
      <c r="M1" s="212"/>
      <c r="N1" s="212"/>
      <c r="O1" s="212"/>
      <c r="S1"/>
    </row>
    <row r="2" spans="1:22" ht="15" x14ac:dyDescent="0.25">
      <c r="A2" s="773" t="s">
        <v>1596</v>
      </c>
      <c r="B2" s="43"/>
      <c r="D2" s="212"/>
      <c r="E2" s="126"/>
      <c r="F2" s="212"/>
      <c r="G2" s="212"/>
      <c r="H2" s="212"/>
      <c r="I2" s="126" t="s">
        <v>816</v>
      </c>
      <c r="J2" s="126"/>
      <c r="K2" s="126"/>
      <c r="L2" s="126"/>
      <c r="M2" s="126"/>
      <c r="N2" s="126"/>
      <c r="O2" s="126"/>
      <c r="P2" s="58" t="s">
        <v>669</v>
      </c>
      <c r="S2" s="44" t="s">
        <v>1597</v>
      </c>
    </row>
    <row r="3" spans="1:22" ht="13.5" thickBot="1" x14ac:dyDescent="0.25">
      <c r="A3" s="774"/>
      <c r="B3" s="4"/>
      <c r="C3" s="23"/>
      <c r="D3" s="23"/>
      <c r="E3" s="23"/>
      <c r="F3" s="23"/>
      <c r="G3" s="23"/>
      <c r="H3" s="23"/>
      <c r="I3" s="23"/>
      <c r="J3" s="23"/>
      <c r="K3" s="23"/>
      <c r="L3" s="23"/>
      <c r="M3" s="23"/>
      <c r="N3" s="23"/>
      <c r="O3" s="23"/>
      <c r="P3" s="4"/>
      <c r="Q3" s="23"/>
      <c r="R3" s="23"/>
      <c r="S3" s="4"/>
      <c r="V3" s="4"/>
    </row>
    <row r="4" spans="1:22" ht="13.5" thickTop="1" x14ac:dyDescent="0.2">
      <c r="A4" s="775"/>
      <c r="B4" s="542"/>
      <c r="C4" s="114" t="s">
        <v>280</v>
      </c>
      <c r="D4" s="230" t="s">
        <v>280</v>
      </c>
      <c r="E4" s="114" t="s">
        <v>280</v>
      </c>
      <c r="F4" s="230" t="s">
        <v>280</v>
      </c>
      <c r="G4" s="230" t="s">
        <v>1203</v>
      </c>
      <c r="H4" s="104" t="s">
        <v>280</v>
      </c>
      <c r="I4" s="246" t="s">
        <v>280</v>
      </c>
      <c r="J4" s="246" t="s">
        <v>280</v>
      </c>
      <c r="K4" s="246" t="s">
        <v>279</v>
      </c>
      <c r="L4" s="246" t="s">
        <v>280</v>
      </c>
      <c r="M4" s="246" t="s">
        <v>279</v>
      </c>
      <c r="N4" s="246" t="s">
        <v>280</v>
      </c>
      <c r="O4" s="246" t="s">
        <v>279</v>
      </c>
      <c r="P4" s="104" t="s">
        <v>818</v>
      </c>
      <c r="Q4" s="7" t="s">
        <v>571</v>
      </c>
      <c r="R4" s="7" t="s">
        <v>571</v>
      </c>
      <c r="S4" s="7" t="s">
        <v>571</v>
      </c>
    </row>
    <row r="5" spans="1:22" x14ac:dyDescent="0.2">
      <c r="A5" s="776"/>
      <c r="B5" s="202"/>
      <c r="C5" s="113"/>
      <c r="D5" s="82"/>
      <c r="E5" s="103"/>
      <c r="F5" s="82"/>
      <c r="G5" s="82"/>
      <c r="H5" s="105"/>
      <c r="I5" s="247"/>
      <c r="J5" s="247"/>
      <c r="K5" s="247"/>
      <c r="L5" s="247"/>
      <c r="M5" s="247"/>
      <c r="N5" s="247"/>
      <c r="O5" s="247"/>
      <c r="P5" s="105" t="s">
        <v>819</v>
      </c>
      <c r="Q5" s="83" t="s">
        <v>820</v>
      </c>
      <c r="R5" s="83" t="s">
        <v>821</v>
      </c>
      <c r="S5" s="196" t="s">
        <v>822</v>
      </c>
    </row>
    <row r="6" spans="1:22" x14ac:dyDescent="0.2">
      <c r="A6" s="776"/>
      <c r="B6" s="202"/>
      <c r="C6" s="82"/>
      <c r="D6" s="103"/>
      <c r="E6" s="103"/>
      <c r="F6" s="82"/>
      <c r="G6" s="82"/>
      <c r="H6" s="82"/>
      <c r="I6" s="84"/>
      <c r="J6" s="45"/>
      <c r="K6" s="45"/>
      <c r="L6" s="45"/>
      <c r="M6" s="45"/>
      <c r="N6" s="45"/>
      <c r="O6" s="84"/>
      <c r="P6" s="82"/>
      <c r="Q6" s="83" t="s">
        <v>823</v>
      </c>
      <c r="R6" s="83" t="s">
        <v>585</v>
      </c>
      <c r="S6" s="45" t="s">
        <v>824</v>
      </c>
    </row>
    <row r="7" spans="1:22" ht="13.5" thickBot="1" x14ac:dyDescent="0.25">
      <c r="A7" s="777" t="s">
        <v>825</v>
      </c>
      <c r="B7" s="78"/>
      <c r="C7" s="261" t="s">
        <v>267</v>
      </c>
      <c r="D7" s="261" t="s">
        <v>268</v>
      </c>
      <c r="E7" s="77" t="s">
        <v>269</v>
      </c>
      <c r="F7" s="77" t="s">
        <v>566</v>
      </c>
      <c r="G7" s="77" t="s">
        <v>567</v>
      </c>
      <c r="H7" s="77" t="s">
        <v>272</v>
      </c>
      <c r="I7" s="77" t="s">
        <v>273</v>
      </c>
      <c r="J7" s="77" t="s">
        <v>570</v>
      </c>
      <c r="K7" s="9" t="s">
        <v>275</v>
      </c>
      <c r="L7" s="9" t="s">
        <v>275</v>
      </c>
      <c r="M7" s="9" t="s">
        <v>276</v>
      </c>
      <c r="N7" s="9" t="s">
        <v>276</v>
      </c>
      <c r="O7" s="77" t="s">
        <v>277</v>
      </c>
      <c r="P7" s="122">
        <v>44926</v>
      </c>
      <c r="Q7" s="77" t="s">
        <v>826</v>
      </c>
      <c r="R7" s="77"/>
      <c r="S7" s="9" t="s">
        <v>585</v>
      </c>
    </row>
    <row r="8" spans="1:22" ht="13.5" thickTop="1" x14ac:dyDescent="0.2">
      <c r="A8" s="796"/>
      <c r="B8" s="203"/>
      <c r="C8" s="118"/>
      <c r="D8" s="118"/>
      <c r="E8" s="118"/>
      <c r="F8" s="355"/>
      <c r="G8" s="118"/>
      <c r="H8" s="118"/>
      <c r="I8" s="87"/>
      <c r="J8" s="87"/>
      <c r="K8" s="87"/>
      <c r="L8" s="87"/>
      <c r="M8" s="87"/>
      <c r="N8" s="87"/>
      <c r="O8" s="87"/>
      <c r="P8" s="118"/>
      <c r="Q8" s="87"/>
      <c r="R8" s="198"/>
      <c r="S8" s="29"/>
    </row>
    <row r="9" spans="1:22" x14ac:dyDescent="0.2">
      <c r="A9" s="796">
        <v>5170</v>
      </c>
      <c r="B9" s="60" t="s">
        <v>1598</v>
      </c>
      <c r="C9" s="118">
        <v>37150.800000000003</v>
      </c>
      <c r="D9" s="118">
        <v>37644.33</v>
      </c>
      <c r="E9" s="118">
        <v>32019.119999999999</v>
      </c>
      <c r="F9" s="118">
        <v>20586.78</v>
      </c>
      <c r="G9" s="118">
        <v>14635.2</v>
      </c>
      <c r="H9" s="118">
        <v>5024.76</v>
      </c>
      <c r="I9" s="330">
        <v>2859.88</v>
      </c>
      <c r="J9" s="330">
        <v>1363.08</v>
      </c>
      <c r="K9" s="87">
        <v>2045</v>
      </c>
      <c r="L9" s="330">
        <v>2726.16</v>
      </c>
      <c r="M9" s="87">
        <v>2045</v>
      </c>
      <c r="N9" s="330">
        <v>1363.08</v>
      </c>
      <c r="O9" s="87">
        <v>2045</v>
      </c>
      <c r="P9" s="118"/>
      <c r="Q9" s="87">
        <v>2045</v>
      </c>
      <c r="R9" s="87"/>
      <c r="S9" s="14"/>
    </row>
    <row r="10" spans="1:22" x14ac:dyDescent="0.2">
      <c r="A10" s="779">
        <v>5171</v>
      </c>
      <c r="B10" s="60" t="s">
        <v>1599</v>
      </c>
      <c r="C10" s="116">
        <v>752282</v>
      </c>
      <c r="D10" s="116">
        <v>789701</v>
      </c>
      <c r="E10" s="116">
        <v>794597</v>
      </c>
      <c r="F10" s="116">
        <v>837143</v>
      </c>
      <c r="G10" s="116">
        <v>861504</v>
      </c>
      <c r="H10" s="116">
        <v>900214</v>
      </c>
      <c r="I10" s="329">
        <v>926159</v>
      </c>
      <c r="J10" s="329">
        <v>912706</v>
      </c>
      <c r="K10" s="281">
        <v>973492</v>
      </c>
      <c r="L10" s="329">
        <v>973492</v>
      </c>
      <c r="M10" s="281">
        <v>1066196</v>
      </c>
      <c r="N10" s="329">
        <v>1066196</v>
      </c>
      <c r="O10" s="281">
        <v>1062570</v>
      </c>
      <c r="P10" s="116">
        <v>1062570</v>
      </c>
      <c r="Q10" s="281">
        <v>1095624</v>
      </c>
      <c r="R10" s="281"/>
      <c r="S10" s="281"/>
    </row>
    <row r="11" spans="1:22" x14ac:dyDescent="0.2">
      <c r="A11" s="779">
        <v>5172</v>
      </c>
      <c r="B11" s="60" t="s">
        <v>1600</v>
      </c>
      <c r="C11" s="116">
        <v>41378.050000000003</v>
      </c>
      <c r="D11" s="118">
        <v>34572.11</v>
      </c>
      <c r="E11" s="118">
        <v>34401.49</v>
      </c>
      <c r="F11" s="118">
        <v>29550.62</v>
      </c>
      <c r="G11" s="118">
        <v>31957.59</v>
      </c>
      <c r="H11" s="118">
        <v>33882</v>
      </c>
      <c r="I11" s="330">
        <v>40175</v>
      </c>
      <c r="J11" s="330">
        <v>42895.26</v>
      </c>
      <c r="K11" s="87">
        <v>45000</v>
      </c>
      <c r="L11" s="330">
        <v>38554</v>
      </c>
      <c r="M11" s="87">
        <v>43000</v>
      </c>
      <c r="N11" s="330">
        <v>28610.32</v>
      </c>
      <c r="O11" s="87">
        <v>44000</v>
      </c>
      <c r="P11" s="116">
        <v>29861</v>
      </c>
      <c r="Q11" s="87">
        <v>44000</v>
      </c>
      <c r="R11" s="87"/>
      <c r="S11" s="87"/>
    </row>
    <row r="12" spans="1:22" x14ac:dyDescent="0.2">
      <c r="A12" s="779">
        <v>5173</v>
      </c>
      <c r="B12" s="60" t="s">
        <v>1601</v>
      </c>
      <c r="C12" s="116">
        <v>789.92</v>
      </c>
      <c r="D12" s="118">
        <v>1375.17</v>
      </c>
      <c r="E12" s="118"/>
      <c r="F12" s="118"/>
      <c r="G12" s="118">
        <v>4419.51</v>
      </c>
      <c r="H12" s="118">
        <v>6452.9</v>
      </c>
      <c r="I12" s="330">
        <v>12673.77</v>
      </c>
      <c r="J12" s="330"/>
      <c r="K12" s="87">
        <v>10000</v>
      </c>
      <c r="L12" s="330">
        <v>13196.03</v>
      </c>
      <c r="M12" s="87">
        <v>10000</v>
      </c>
      <c r="N12" s="330">
        <v>4</v>
      </c>
      <c r="O12" s="87">
        <v>10000</v>
      </c>
      <c r="P12" s="116"/>
      <c r="Q12" s="87">
        <v>10000</v>
      </c>
      <c r="R12" s="87"/>
      <c r="S12" s="87"/>
    </row>
    <row r="13" spans="1:22" x14ac:dyDescent="0.2">
      <c r="A13" s="779">
        <v>5174</v>
      </c>
      <c r="B13" s="60" t="s">
        <v>1602</v>
      </c>
      <c r="C13" s="116">
        <v>872311.05</v>
      </c>
      <c r="D13" s="116">
        <v>808998.23</v>
      </c>
      <c r="E13" s="116">
        <v>827690.49</v>
      </c>
      <c r="F13" s="116">
        <v>837917.94</v>
      </c>
      <c r="G13" s="116">
        <v>898762.32</v>
      </c>
      <c r="H13" s="116">
        <v>992555.93</v>
      </c>
      <c r="I13" s="329">
        <v>1013426.8</v>
      </c>
      <c r="J13" s="329">
        <v>1010436.67</v>
      </c>
      <c r="K13" s="281">
        <f>-60000+1186320</f>
        <v>1126320</v>
      </c>
      <c r="L13" s="329">
        <v>1010035.23</v>
      </c>
      <c r="M13" s="281">
        <v>1194420</v>
      </c>
      <c r="N13" s="329">
        <v>987858.17</v>
      </c>
      <c r="O13" s="281">
        <v>1185000</v>
      </c>
      <c r="P13" s="116">
        <v>566257.79</v>
      </c>
      <c r="Q13" s="281">
        <v>1246000</v>
      </c>
      <c r="R13" s="281"/>
      <c r="S13" s="281"/>
    </row>
    <row r="14" spans="1:22" x14ac:dyDescent="0.2">
      <c r="A14" s="779">
        <v>5175</v>
      </c>
      <c r="B14" s="60" t="s">
        <v>1603</v>
      </c>
      <c r="C14" s="116">
        <v>15818.97</v>
      </c>
      <c r="D14" s="116">
        <v>14158.12</v>
      </c>
      <c r="E14" s="116">
        <v>12158.54</v>
      </c>
      <c r="F14" s="116">
        <v>13916.38</v>
      </c>
      <c r="G14" s="116">
        <v>14114.32</v>
      </c>
      <c r="H14" s="116">
        <v>14773.5</v>
      </c>
      <c r="I14" s="329">
        <v>15020.46</v>
      </c>
      <c r="J14" s="329">
        <v>14799.71</v>
      </c>
      <c r="K14" s="281">
        <v>17200</v>
      </c>
      <c r="L14" s="329">
        <v>14596.92</v>
      </c>
      <c r="M14" s="281">
        <v>17200</v>
      </c>
      <c r="N14" s="329">
        <v>13558.18</v>
      </c>
      <c r="O14" s="281">
        <v>17665</v>
      </c>
      <c r="P14" s="116">
        <v>556.32000000000005</v>
      </c>
      <c r="Q14" s="281">
        <v>17665</v>
      </c>
      <c r="R14" s="281"/>
      <c r="S14" s="281"/>
    </row>
    <row r="15" spans="1:22" x14ac:dyDescent="0.2">
      <c r="A15" s="779">
        <v>5177</v>
      </c>
      <c r="B15" s="60" t="s">
        <v>1604</v>
      </c>
      <c r="C15" s="228">
        <v>40990.46</v>
      </c>
      <c r="D15" s="228">
        <v>44116.78</v>
      </c>
      <c r="E15" s="228">
        <v>47581.79</v>
      </c>
      <c r="F15" s="228">
        <v>50108.41</v>
      </c>
      <c r="G15" s="228">
        <v>53564.43</v>
      </c>
      <c r="H15" s="228">
        <v>55523.24</v>
      </c>
      <c r="I15" s="587">
        <v>58672.800000000003</v>
      </c>
      <c r="J15" s="587">
        <v>58606.29</v>
      </c>
      <c r="K15" s="242">
        <v>64000</v>
      </c>
      <c r="L15" s="587">
        <v>63532.27</v>
      </c>
      <c r="M15" s="242">
        <v>65000</v>
      </c>
      <c r="N15" s="587">
        <v>64224.89</v>
      </c>
      <c r="O15" s="242">
        <v>70000</v>
      </c>
      <c r="P15" s="228">
        <v>37431.360000000001</v>
      </c>
      <c r="Q15" s="242">
        <v>75000</v>
      </c>
      <c r="R15" s="242"/>
      <c r="S15" s="242"/>
    </row>
    <row r="16" spans="1:22" ht="13.5" thickBot="1" x14ac:dyDescent="0.25">
      <c r="A16" s="779">
        <v>5179</v>
      </c>
      <c r="B16" s="60" t="s">
        <v>1605</v>
      </c>
      <c r="C16" s="117">
        <v>97.96</v>
      </c>
      <c r="D16" s="15">
        <v>225.66</v>
      </c>
      <c r="E16" s="15">
        <v>145.66</v>
      </c>
      <c r="F16" s="15">
        <v>129.02000000000001</v>
      </c>
      <c r="G16" s="15"/>
      <c r="H16" s="15"/>
      <c r="I16" s="270"/>
      <c r="J16" s="270"/>
      <c r="K16" s="16"/>
      <c r="L16" s="331"/>
      <c r="M16" s="282"/>
      <c r="N16" s="331"/>
      <c r="O16" s="282"/>
      <c r="P16" s="117"/>
      <c r="Q16" s="16"/>
      <c r="R16" s="16"/>
      <c r="S16" s="16"/>
    </row>
    <row r="17" spans="1:22" x14ac:dyDescent="0.2">
      <c r="A17" s="779"/>
      <c r="B17" s="60"/>
      <c r="C17" s="118"/>
      <c r="D17" s="118"/>
      <c r="E17" s="118"/>
      <c r="F17" s="30"/>
      <c r="G17" s="118"/>
      <c r="H17" s="118"/>
      <c r="I17" s="18"/>
      <c r="J17" s="18"/>
      <c r="K17" s="19"/>
      <c r="L17" s="18"/>
      <c r="M17" s="19"/>
      <c r="N17" s="18"/>
      <c r="O17" s="19"/>
      <c r="P17" s="18"/>
      <c r="Q17" s="19"/>
      <c r="R17" s="19"/>
      <c r="S17" s="19"/>
    </row>
    <row r="18" spans="1:22" x14ac:dyDescent="0.2">
      <c r="A18" s="779"/>
      <c r="B18" s="61" t="s">
        <v>828</v>
      </c>
      <c r="C18" s="116">
        <f>SUM(C9:C17)</f>
        <v>1760819.2100000002</v>
      </c>
      <c r="D18" s="13">
        <f>SUM(D9:D17)</f>
        <v>1730791.4</v>
      </c>
      <c r="E18" s="13">
        <f>SUM(E9:E17)</f>
        <v>1748594.09</v>
      </c>
      <c r="F18" s="13">
        <f>SUM(F9:F16)</f>
        <v>1789352.1499999997</v>
      </c>
      <c r="G18" s="13">
        <f>SUM(G9:G16)</f>
        <v>1878957.3699999999</v>
      </c>
      <c r="H18" s="13">
        <f>SUM(H9:H16)</f>
        <v>2008426.33</v>
      </c>
      <c r="I18" s="13">
        <f>SUM(I9:I17)</f>
        <v>2068987.7100000002</v>
      </c>
      <c r="J18" s="13">
        <f>SUM(J9:J17)</f>
        <v>2040807.01</v>
      </c>
      <c r="K18" s="14">
        <f>SUM(K9:K17)</f>
        <v>2238057</v>
      </c>
      <c r="L18" s="13">
        <f t="shared" ref="L18:O18" si="0">SUM(L9:L17)</f>
        <v>2116132.61</v>
      </c>
      <c r="M18" s="14">
        <f t="shared" si="0"/>
        <v>2397861</v>
      </c>
      <c r="N18" s="13">
        <f t="shared" ref="N18" si="1">SUM(N9:N17)</f>
        <v>2161814.6400000006</v>
      </c>
      <c r="O18" s="14">
        <f t="shared" si="0"/>
        <v>2391280</v>
      </c>
      <c r="P18" s="13">
        <f>SUM(P9:P16)</f>
        <v>1696676.4700000002</v>
      </c>
      <c r="Q18" s="14">
        <f>SUM(Q9:Q17)</f>
        <v>2490334</v>
      </c>
      <c r="R18" s="14">
        <f>SUM(R9:R17)</f>
        <v>0</v>
      </c>
      <c r="S18" s="14">
        <f>SUM(S9:S17)</f>
        <v>0</v>
      </c>
    </row>
    <row r="19" spans="1:22" x14ac:dyDescent="0.2">
      <c r="A19" s="779"/>
      <c r="B19" s="12"/>
      <c r="C19" s="13"/>
      <c r="D19" s="13"/>
      <c r="E19" s="13"/>
      <c r="F19" s="13"/>
      <c r="G19" s="13"/>
      <c r="H19" s="13"/>
      <c r="I19" s="13"/>
      <c r="J19" s="13"/>
      <c r="K19" s="14"/>
      <c r="L19" s="13"/>
      <c r="M19" s="14"/>
      <c r="N19" s="13"/>
      <c r="O19" s="14"/>
      <c r="P19" s="13"/>
      <c r="Q19" s="14"/>
      <c r="R19" s="14"/>
      <c r="S19" s="14"/>
    </row>
    <row r="20" spans="1:22" ht="13.5" thickBot="1" x14ac:dyDescent="0.25">
      <c r="A20" s="780"/>
      <c r="B20" s="20" t="s">
        <v>1606</v>
      </c>
      <c r="C20" s="21">
        <f t="shared" ref="C20:Q20" si="2">+C18</f>
        <v>1760819.2100000002</v>
      </c>
      <c r="D20" s="21">
        <f t="shared" si="2"/>
        <v>1730791.4</v>
      </c>
      <c r="E20" s="21">
        <f t="shared" si="2"/>
        <v>1748594.09</v>
      </c>
      <c r="F20" s="21">
        <f>+F18</f>
        <v>1789352.1499999997</v>
      </c>
      <c r="G20" s="21">
        <f>+G18</f>
        <v>1878957.3699999999</v>
      </c>
      <c r="H20" s="21">
        <f>+H18</f>
        <v>2008426.33</v>
      </c>
      <c r="I20" s="21">
        <f t="shared" si="2"/>
        <v>2068987.7100000002</v>
      </c>
      <c r="J20" s="21">
        <f t="shared" ref="J20" si="3">+J18</f>
        <v>2040807.01</v>
      </c>
      <c r="K20" s="22">
        <f t="shared" ref="K20:O20" si="4">+K18</f>
        <v>2238057</v>
      </c>
      <c r="L20" s="21">
        <f t="shared" si="4"/>
        <v>2116132.61</v>
      </c>
      <c r="M20" s="22">
        <f t="shared" si="4"/>
        <v>2397861</v>
      </c>
      <c r="N20" s="21">
        <f t="shared" ref="N20" si="5">+N18</f>
        <v>2161814.6400000006</v>
      </c>
      <c r="O20" s="22">
        <f t="shared" si="4"/>
        <v>2391280</v>
      </c>
      <c r="P20" s="21">
        <f t="shared" si="2"/>
        <v>1696676.4700000002</v>
      </c>
      <c r="Q20" s="22">
        <f t="shared" si="2"/>
        <v>2490334</v>
      </c>
      <c r="R20" s="22">
        <f>+Q20</f>
        <v>2490334</v>
      </c>
      <c r="S20" s="22">
        <f>+Q20</f>
        <v>2490334</v>
      </c>
    </row>
    <row r="21" spans="1:22" ht="13.5" thickTop="1" x14ac:dyDescent="0.2">
      <c r="A21" s="774"/>
      <c r="B21" s="4"/>
      <c r="C21" s="24"/>
      <c r="D21" s="24"/>
      <c r="E21" s="24"/>
      <c r="F21" s="24"/>
      <c r="G21" s="24"/>
      <c r="H21" s="24"/>
      <c r="I21" s="24"/>
      <c r="J21" s="24"/>
      <c r="K21" s="24"/>
      <c r="L21" s="24"/>
      <c r="M21" s="24"/>
      <c r="N21" s="24"/>
      <c r="O21" s="24"/>
      <c r="P21" s="199" t="s">
        <v>843</v>
      </c>
      <c r="Q21" s="1116">
        <f>+Q20-O20</f>
        <v>99054</v>
      </c>
      <c r="R21" s="1117">
        <f>ROUND((+Q21/O20),4)</f>
        <v>4.1399999999999999E-2</v>
      </c>
      <c r="S21" s="23"/>
      <c r="T21" s="25"/>
      <c r="U21" s="25"/>
      <c r="V21" s="25"/>
    </row>
    <row r="22" spans="1:22" x14ac:dyDescent="0.2">
      <c r="A22" s="779">
        <v>5174</v>
      </c>
      <c r="B22" s="4" t="s">
        <v>2437</v>
      </c>
      <c r="C22" s="24"/>
      <c r="D22" s="24"/>
      <c r="E22" s="24"/>
      <c r="F22" s="24"/>
      <c r="G22" s="24"/>
      <c r="H22" s="24"/>
      <c r="I22" s="24"/>
      <c r="J22" s="24"/>
      <c r="K22" s="24"/>
      <c r="L22" s="24"/>
      <c r="M22" s="24"/>
      <c r="N22" s="24"/>
      <c r="O22" s="24"/>
      <c r="P22" s="25"/>
      <c r="Q22" s="24"/>
      <c r="R22" s="24"/>
      <c r="S22" s="23"/>
      <c r="T22" s="25"/>
      <c r="U22" s="25"/>
      <c r="V22" s="25"/>
    </row>
    <row r="23" spans="1:22" x14ac:dyDescent="0.2">
      <c r="A23" s="54">
        <v>44951</v>
      </c>
      <c r="B23" s="4" t="s">
        <v>2453</v>
      </c>
      <c r="C23" s="24"/>
      <c r="D23" s="24"/>
      <c r="E23" s="24"/>
      <c r="F23" s="24"/>
      <c r="G23" s="24"/>
      <c r="H23" s="24"/>
      <c r="I23" s="24"/>
      <c r="J23" s="24"/>
      <c r="K23" s="24"/>
      <c r="L23" s="24"/>
      <c r="M23" s="24"/>
      <c r="N23" s="24"/>
      <c r="O23" s="24"/>
      <c r="P23" s="25"/>
      <c r="Q23" s="24"/>
      <c r="R23" s="24"/>
      <c r="S23" s="23"/>
      <c r="T23" s="25"/>
      <c r="U23" s="25"/>
      <c r="V23" s="25"/>
    </row>
    <row r="24" spans="1:22" ht="13.5" thickBot="1" x14ac:dyDescent="0.25">
      <c r="A24" s="54">
        <v>44985</v>
      </c>
      <c r="B24" s="4" t="s">
        <v>2500</v>
      </c>
      <c r="C24" s="23"/>
      <c r="D24" s="23"/>
      <c r="E24" s="23"/>
      <c r="F24" s="23"/>
      <c r="G24" s="23"/>
      <c r="H24" s="23"/>
      <c r="I24" s="23"/>
      <c r="J24" s="23"/>
      <c r="K24" s="23"/>
      <c r="L24" s="23"/>
      <c r="M24" s="23"/>
      <c r="N24" s="23"/>
      <c r="O24" s="23"/>
      <c r="P24" s="25"/>
      <c r="Q24" s="23"/>
      <c r="R24" s="23"/>
      <c r="S24" s="23"/>
      <c r="T24" s="25"/>
      <c r="U24" s="25"/>
      <c r="V24" s="25"/>
    </row>
    <row r="25" spans="1:22" ht="13.5" thickTop="1" x14ac:dyDescent="0.2">
      <c r="A25" s="789"/>
      <c r="B25" s="367"/>
      <c r="C25" s="368" t="s">
        <v>280</v>
      </c>
      <c r="D25" s="369" t="s">
        <v>280</v>
      </c>
      <c r="E25" s="368" t="s">
        <v>280</v>
      </c>
      <c r="F25" s="212"/>
      <c r="G25" s="212"/>
      <c r="H25" s="212"/>
      <c r="I25" s="212"/>
      <c r="J25" s="212"/>
      <c r="K25" s="212"/>
      <c r="L25" s="212"/>
      <c r="M25" s="370" t="s">
        <v>279</v>
      </c>
      <c r="N25" s="371" t="s">
        <v>826</v>
      </c>
      <c r="O25" s="372" t="s">
        <v>840</v>
      </c>
      <c r="P25" s="371" t="s">
        <v>841</v>
      </c>
      <c r="Q25" s="373"/>
      <c r="R25" s="569"/>
      <c r="S25" s="372"/>
      <c r="T25" s="25"/>
      <c r="U25" s="25"/>
      <c r="V25" s="25"/>
    </row>
    <row r="26" spans="1:22" ht="13.5" thickBot="1" x14ac:dyDescent="0.25">
      <c r="A26" s="790"/>
      <c r="B26" s="374"/>
      <c r="C26" s="421" t="s">
        <v>267</v>
      </c>
      <c r="D26" s="421" t="s">
        <v>268</v>
      </c>
      <c r="E26" s="377" t="s">
        <v>269</v>
      </c>
      <c r="F26" s="212"/>
      <c r="G26" s="212"/>
      <c r="H26" s="212"/>
      <c r="I26" s="212"/>
      <c r="J26" s="212"/>
      <c r="K26" s="212"/>
      <c r="L26" s="212"/>
      <c r="M26" s="377" t="s">
        <v>277</v>
      </c>
      <c r="N26" s="377" t="s">
        <v>571</v>
      </c>
      <c r="O26" s="376" t="s">
        <v>843</v>
      </c>
      <c r="P26" s="378" t="s">
        <v>843</v>
      </c>
      <c r="Q26" s="379" t="s">
        <v>844</v>
      </c>
      <c r="R26" s="570"/>
      <c r="S26" s="377"/>
      <c r="T26" s="25"/>
      <c r="U26" s="25"/>
      <c r="V26" s="25"/>
    </row>
    <row r="27" spans="1:22" ht="13.5" thickTop="1" x14ac:dyDescent="0.2">
      <c r="A27" s="797"/>
      <c r="B27" s="394"/>
      <c r="C27" s="426"/>
      <c r="D27" s="426"/>
      <c r="E27" s="426"/>
      <c r="F27" s="212"/>
      <c r="G27" s="212"/>
      <c r="H27" s="212"/>
      <c r="I27" s="212"/>
      <c r="J27" s="212"/>
      <c r="K27" s="212"/>
      <c r="L27" s="212"/>
      <c r="M27" s="427"/>
      <c r="N27" s="426"/>
      <c r="O27" s="414"/>
      <c r="P27" s="426"/>
      <c r="Q27" s="422"/>
      <c r="R27" s="571"/>
      <c r="S27" s="428"/>
      <c r="T27" s="25"/>
      <c r="U27" s="25"/>
      <c r="V27" s="25"/>
    </row>
    <row r="28" spans="1:22" x14ac:dyDescent="0.2">
      <c r="A28" s="797">
        <v>5170</v>
      </c>
      <c r="B28" s="415" t="s">
        <v>1598</v>
      </c>
      <c r="C28" s="426">
        <v>37150.800000000003</v>
      </c>
      <c r="D28" s="426">
        <v>37644.33</v>
      </c>
      <c r="E28" s="426">
        <v>32019.119999999999</v>
      </c>
      <c r="F28" s="212"/>
      <c r="G28" s="212"/>
      <c r="H28" s="212"/>
      <c r="I28" s="212"/>
      <c r="J28" s="212"/>
      <c r="K28" s="212"/>
      <c r="L28" s="212"/>
      <c r="M28" s="414">
        <f t="shared" ref="M28:M34" si="6">+O9</f>
        <v>2045</v>
      </c>
      <c r="N28" s="543">
        <f t="shared" ref="N28:N34" si="7">+Q9</f>
        <v>2045</v>
      </c>
      <c r="O28" s="414">
        <f t="shared" ref="O28:O34" si="8">+N28-M28</f>
        <v>0</v>
      </c>
      <c r="P28" s="392" t="str">
        <f t="shared" ref="P28:P34" si="9">IF(M28+N28&lt;&gt;0,IF(M28&lt;&gt;0,IF(O28&lt;&gt;0,ROUND((+O28/M28),4),""),1),"")</f>
        <v/>
      </c>
      <c r="Q28" s="397"/>
      <c r="R28" s="1018"/>
      <c r="S28" s="386"/>
      <c r="T28" s="25"/>
      <c r="U28" s="25"/>
      <c r="V28" s="25"/>
    </row>
    <row r="29" spans="1:22" x14ac:dyDescent="0.2">
      <c r="A29" s="795">
        <v>5171</v>
      </c>
      <c r="B29" s="415" t="s">
        <v>1599</v>
      </c>
      <c r="C29" s="429">
        <v>752282</v>
      </c>
      <c r="D29" s="429">
        <v>789701</v>
      </c>
      <c r="E29" s="429">
        <v>794597</v>
      </c>
      <c r="F29" s="212"/>
      <c r="G29" s="212"/>
      <c r="H29" s="212"/>
      <c r="I29" s="212"/>
      <c r="J29" s="212"/>
      <c r="K29" s="212"/>
      <c r="L29" s="212"/>
      <c r="M29" s="414">
        <f t="shared" si="6"/>
        <v>1062570</v>
      </c>
      <c r="N29" s="543">
        <f t="shared" si="7"/>
        <v>1095624</v>
      </c>
      <c r="O29" s="414">
        <f t="shared" si="8"/>
        <v>33054</v>
      </c>
      <c r="P29" s="392">
        <f t="shared" si="9"/>
        <v>3.1099999999999999E-2</v>
      </c>
      <c r="Q29" s="385" t="s">
        <v>2277</v>
      </c>
      <c r="R29" s="572"/>
      <c r="S29" s="386"/>
      <c r="T29" s="25"/>
      <c r="U29" s="25"/>
      <c r="V29" s="25"/>
    </row>
    <row r="30" spans="1:22" x14ac:dyDescent="0.2">
      <c r="A30" s="795">
        <v>5172</v>
      </c>
      <c r="B30" s="415" t="s">
        <v>1600</v>
      </c>
      <c r="C30" s="429">
        <v>41378.050000000003</v>
      </c>
      <c r="D30" s="426">
        <v>34572.11</v>
      </c>
      <c r="E30" s="426">
        <v>34401.49</v>
      </c>
      <c r="F30" s="212"/>
      <c r="G30" s="212"/>
      <c r="H30" s="212"/>
      <c r="I30" s="212"/>
      <c r="J30" s="212"/>
      <c r="K30" s="212"/>
      <c r="L30" s="212"/>
      <c r="M30" s="414">
        <f t="shared" si="6"/>
        <v>44000</v>
      </c>
      <c r="N30" s="543">
        <f t="shared" si="7"/>
        <v>44000</v>
      </c>
      <c r="O30" s="414">
        <f t="shared" si="8"/>
        <v>0</v>
      </c>
      <c r="P30" s="392" t="str">
        <f t="shared" si="9"/>
        <v/>
      </c>
      <c r="Q30" s="397"/>
      <c r="R30" s="1018"/>
      <c r="S30" s="414"/>
      <c r="T30" s="25"/>
      <c r="U30" s="25"/>
      <c r="V30" s="25"/>
    </row>
    <row r="31" spans="1:22" x14ac:dyDescent="0.2">
      <c r="A31" s="795">
        <v>5173</v>
      </c>
      <c r="B31" s="415" t="s">
        <v>1601</v>
      </c>
      <c r="C31" s="429">
        <v>789.92</v>
      </c>
      <c r="D31" s="426">
        <v>1375.17</v>
      </c>
      <c r="E31" s="426"/>
      <c r="F31" s="212"/>
      <c r="G31" s="212"/>
      <c r="H31" s="212"/>
      <c r="I31" s="212"/>
      <c r="J31" s="212"/>
      <c r="K31" s="212"/>
      <c r="L31" s="212"/>
      <c r="M31" s="414">
        <f t="shared" si="6"/>
        <v>10000</v>
      </c>
      <c r="N31" s="543">
        <f t="shared" si="7"/>
        <v>10000</v>
      </c>
      <c r="O31" s="414">
        <f t="shared" si="8"/>
        <v>0</v>
      </c>
      <c r="P31" s="392" t="str">
        <f t="shared" si="9"/>
        <v/>
      </c>
      <c r="Q31" s="397"/>
      <c r="R31" s="1018"/>
      <c r="S31" s="414"/>
      <c r="T31" s="25"/>
      <c r="U31" s="25"/>
      <c r="V31" s="25"/>
    </row>
    <row r="32" spans="1:22" x14ac:dyDescent="0.2">
      <c r="A32" s="795">
        <v>5174</v>
      </c>
      <c r="B32" s="415" t="s">
        <v>1602</v>
      </c>
      <c r="C32" s="429">
        <v>872311.05</v>
      </c>
      <c r="D32" s="429">
        <v>808998.23</v>
      </c>
      <c r="E32" s="429">
        <v>827690.49</v>
      </c>
      <c r="F32" s="212"/>
      <c r="G32" s="212"/>
      <c r="H32" s="212"/>
      <c r="I32" s="212"/>
      <c r="J32" s="212"/>
      <c r="K32" s="212"/>
      <c r="L32" s="212"/>
      <c r="M32" s="414">
        <f t="shared" si="6"/>
        <v>1185000</v>
      </c>
      <c r="N32" s="543">
        <f t="shared" si="7"/>
        <v>1246000</v>
      </c>
      <c r="O32" s="414">
        <f t="shared" si="8"/>
        <v>61000</v>
      </c>
      <c r="P32" s="392">
        <f t="shared" si="9"/>
        <v>5.1499999999999997E-2</v>
      </c>
      <c r="Q32" s="385" t="s">
        <v>2209</v>
      </c>
      <c r="R32" s="572"/>
      <c r="S32" s="386"/>
      <c r="T32" s="25"/>
      <c r="U32" s="25"/>
      <c r="V32" s="25"/>
    </row>
    <row r="33" spans="1:22" x14ac:dyDescent="0.2">
      <c r="A33" s="795">
        <v>5175</v>
      </c>
      <c r="B33" s="415" t="s">
        <v>1603</v>
      </c>
      <c r="C33" s="429">
        <v>15818.97</v>
      </c>
      <c r="D33" s="429">
        <v>14158.12</v>
      </c>
      <c r="E33" s="429">
        <v>12158.54</v>
      </c>
      <c r="F33" s="212"/>
      <c r="G33" s="212"/>
      <c r="H33" s="212"/>
      <c r="I33" s="212"/>
      <c r="J33" s="212"/>
      <c r="K33" s="212"/>
      <c r="L33" s="212"/>
      <c r="M33" s="414">
        <f t="shared" si="6"/>
        <v>17665</v>
      </c>
      <c r="N33" s="543">
        <f t="shared" si="7"/>
        <v>17665</v>
      </c>
      <c r="O33" s="414">
        <f t="shared" si="8"/>
        <v>0</v>
      </c>
      <c r="P33" s="392" t="str">
        <f t="shared" si="9"/>
        <v/>
      </c>
      <c r="Q33" s="385"/>
      <c r="R33" s="572"/>
      <c r="S33" s="386"/>
      <c r="T33" s="25"/>
      <c r="U33" s="25"/>
      <c r="V33" s="25"/>
    </row>
    <row r="34" spans="1:22" x14ac:dyDescent="0.2">
      <c r="A34" s="795">
        <v>5177</v>
      </c>
      <c r="B34" s="415" t="s">
        <v>1604</v>
      </c>
      <c r="C34" s="430">
        <v>40990.46</v>
      </c>
      <c r="D34" s="430">
        <v>44116.78</v>
      </c>
      <c r="E34" s="430">
        <v>47581.79</v>
      </c>
      <c r="F34" s="212"/>
      <c r="G34" s="212"/>
      <c r="H34" s="212"/>
      <c r="I34" s="212"/>
      <c r="J34" s="212"/>
      <c r="K34" s="212"/>
      <c r="L34" s="212"/>
      <c r="M34" s="414">
        <f t="shared" si="6"/>
        <v>70000</v>
      </c>
      <c r="N34" s="432">
        <f t="shared" si="7"/>
        <v>75000</v>
      </c>
      <c r="O34" s="386">
        <f t="shared" si="8"/>
        <v>5000</v>
      </c>
      <c r="P34" s="392">
        <f t="shared" si="9"/>
        <v>7.1400000000000005E-2</v>
      </c>
      <c r="Q34" s="385" t="s">
        <v>2278</v>
      </c>
      <c r="R34" s="572"/>
      <c r="S34" s="386"/>
      <c r="T34" s="25"/>
      <c r="U34" s="25"/>
      <c r="V34" s="25"/>
    </row>
    <row r="35" spans="1:22" x14ac:dyDescent="0.2">
      <c r="A35" s="774"/>
      <c r="B35" s="4"/>
      <c r="C35" s="23"/>
      <c r="D35" s="23"/>
      <c r="E35" s="23"/>
      <c r="F35" s="23"/>
      <c r="G35" s="23"/>
      <c r="H35" s="212"/>
      <c r="I35" s="212"/>
      <c r="J35" s="212"/>
      <c r="K35" s="212"/>
      <c r="L35" s="212"/>
      <c r="M35" s="23"/>
      <c r="N35" s="23"/>
      <c r="O35" s="23"/>
      <c r="P35" s="25"/>
      <c r="Q35" s="23"/>
      <c r="R35" s="23"/>
      <c r="S35" s="23"/>
      <c r="T35" s="25"/>
      <c r="U35" s="25"/>
      <c r="V35" s="25"/>
    </row>
    <row r="36" spans="1:22" x14ac:dyDescent="0.2">
      <c r="A36" s="774"/>
      <c r="B36" s="4" t="s">
        <v>846</v>
      </c>
      <c r="C36" s="23"/>
      <c r="D36" s="23"/>
      <c r="E36" s="23"/>
      <c r="F36" s="23"/>
      <c r="G36" s="23"/>
      <c r="H36" s="212"/>
      <c r="I36" s="212"/>
      <c r="J36" s="212"/>
      <c r="K36" s="212"/>
      <c r="L36" s="212"/>
      <c r="M36" s="616">
        <f>SUM(M27:M35)</f>
        <v>2391280</v>
      </c>
      <c r="N36" s="616">
        <f>SUM(N27:N35)</f>
        <v>2490334</v>
      </c>
      <c r="O36" s="25">
        <f>+N36-M36</f>
        <v>99054</v>
      </c>
      <c r="P36" s="617">
        <f>IF(M36+N36&lt;&gt;0,IF(M36&lt;&gt;0,IF(O36&lt;&gt;0,ROUND((+O36/M36),4),""),1),"")</f>
        <v>4.1399999999999999E-2</v>
      </c>
      <c r="Q36" s="23"/>
      <c r="R36" s="23"/>
      <c r="S36" s="23"/>
      <c r="T36" s="25"/>
      <c r="U36" s="25"/>
      <c r="V36" s="25"/>
    </row>
    <row r="37" spans="1:22" x14ac:dyDescent="0.2">
      <c r="A37" s="774"/>
      <c r="B37" s="4"/>
      <c r="C37" s="23"/>
      <c r="D37" s="23"/>
      <c r="E37" s="23"/>
      <c r="F37" s="23"/>
      <c r="G37" s="23"/>
      <c r="H37" s="23"/>
      <c r="I37" s="23"/>
      <c r="J37" s="23"/>
      <c r="K37" s="23"/>
      <c r="L37" s="23"/>
      <c r="M37" s="23"/>
      <c r="N37" s="23"/>
      <c r="O37" s="23"/>
      <c r="P37" s="23"/>
      <c r="Q37" s="23"/>
      <c r="R37" s="23"/>
      <c r="S37" s="23"/>
      <c r="T37" s="23"/>
      <c r="U37" s="23"/>
      <c r="V37" s="23"/>
    </row>
    <row r="38" spans="1:22" x14ac:dyDescent="0.2">
      <c r="A38" s="774"/>
      <c r="B38" s="4"/>
      <c r="C38" s="23"/>
      <c r="D38" s="23"/>
      <c r="E38" s="23"/>
      <c r="F38" s="23"/>
      <c r="G38" s="23"/>
      <c r="H38" s="23"/>
      <c r="I38" s="23"/>
      <c r="J38" s="23"/>
      <c r="K38" s="23"/>
      <c r="L38" s="23"/>
      <c r="M38" s="23"/>
      <c r="N38" s="23"/>
      <c r="O38" s="23"/>
      <c r="P38" s="23"/>
      <c r="Q38" s="23"/>
      <c r="R38" s="23"/>
      <c r="S38" s="23"/>
      <c r="T38" s="23"/>
      <c r="U38" s="23"/>
      <c r="V38" s="23"/>
    </row>
    <row r="39" spans="1:22" x14ac:dyDescent="0.2">
      <c r="A39" s="774"/>
      <c r="B39" s="4"/>
      <c r="C39" s="23"/>
      <c r="D39" s="23"/>
      <c r="E39" s="23"/>
      <c r="F39" s="23"/>
      <c r="G39" s="23"/>
      <c r="H39" s="23"/>
      <c r="I39" s="23"/>
      <c r="J39" s="23"/>
      <c r="K39" s="23"/>
      <c r="L39" s="23"/>
      <c r="M39" s="23"/>
      <c r="N39" s="23"/>
      <c r="O39" s="23"/>
      <c r="P39" s="23"/>
      <c r="Q39" s="23"/>
      <c r="R39" s="23"/>
      <c r="S39" s="23"/>
      <c r="T39" s="23"/>
      <c r="U39" s="23"/>
      <c r="V39" s="23"/>
    </row>
    <row r="40" spans="1:22" x14ac:dyDescent="0.2">
      <c r="A40" s="774"/>
      <c r="B40" s="4"/>
      <c r="C40" s="23"/>
      <c r="D40" s="23"/>
      <c r="E40" s="23"/>
      <c r="F40" s="23"/>
      <c r="G40" s="23"/>
      <c r="H40" s="23"/>
      <c r="I40" s="23"/>
      <c r="J40" s="23"/>
      <c r="K40" s="23"/>
      <c r="L40" s="23"/>
      <c r="M40" s="23"/>
      <c r="N40" s="23"/>
      <c r="O40" s="23"/>
      <c r="P40" s="25"/>
      <c r="Q40" s="23"/>
      <c r="R40" s="23"/>
      <c r="S40" s="23"/>
      <c r="T40" s="25"/>
      <c r="U40" s="25"/>
      <c r="V40" s="25"/>
    </row>
    <row r="41" spans="1:22" x14ac:dyDescent="0.2">
      <c r="A41" s="774"/>
      <c r="B41" s="4"/>
      <c r="C41" s="23"/>
      <c r="D41" s="23"/>
      <c r="E41" s="23"/>
      <c r="F41" s="23"/>
      <c r="G41" s="23"/>
      <c r="H41" s="23"/>
      <c r="I41" s="23"/>
      <c r="J41" s="23"/>
      <c r="K41" s="23"/>
      <c r="L41" s="23"/>
      <c r="M41" s="23"/>
      <c r="N41" s="23"/>
      <c r="O41" s="23"/>
      <c r="P41" s="25"/>
      <c r="Q41" s="23"/>
      <c r="R41" s="23"/>
      <c r="S41" s="23"/>
      <c r="T41" s="25"/>
      <c r="U41" s="25"/>
      <c r="V41" s="25"/>
    </row>
    <row r="42" spans="1:22" x14ac:dyDescent="0.2">
      <c r="A42" s="774"/>
      <c r="B42" s="4"/>
      <c r="C42" s="23"/>
      <c r="D42" s="23"/>
      <c r="E42" s="23"/>
      <c r="F42" s="23"/>
      <c r="G42" s="23"/>
      <c r="H42" s="23"/>
      <c r="I42" s="23"/>
      <c r="J42" s="23"/>
      <c r="K42" s="23"/>
      <c r="L42" s="23"/>
      <c r="M42" s="23"/>
      <c r="N42" s="23"/>
      <c r="O42" s="23"/>
      <c r="P42" s="23"/>
      <c r="Q42" s="23"/>
      <c r="R42" s="23"/>
      <c r="S42" s="23"/>
      <c r="T42" s="23"/>
      <c r="U42" s="23"/>
      <c r="V42" s="23"/>
    </row>
    <row r="43" spans="1:22" x14ac:dyDescent="0.2">
      <c r="A43" s="774"/>
      <c r="B43" s="4"/>
      <c r="C43" s="23"/>
      <c r="D43" s="23"/>
      <c r="E43" s="23"/>
      <c r="F43" s="23"/>
      <c r="G43" s="23"/>
      <c r="H43" s="23"/>
      <c r="I43" s="23"/>
      <c r="J43" s="23"/>
      <c r="K43" s="23"/>
      <c r="L43" s="23"/>
      <c r="M43" s="23"/>
      <c r="N43" s="23"/>
      <c r="O43" s="23"/>
      <c r="P43" s="23"/>
      <c r="Q43" s="23"/>
      <c r="R43" s="23"/>
      <c r="S43" s="23"/>
      <c r="T43" s="23"/>
      <c r="U43" s="23"/>
      <c r="V43" s="23"/>
    </row>
    <row r="44" spans="1:22" x14ac:dyDescent="0.2">
      <c r="A44" s="774"/>
      <c r="B44" s="4"/>
      <c r="C44" s="212"/>
      <c r="D44" s="212"/>
      <c r="E44" s="212"/>
      <c r="F44" s="212"/>
      <c r="G44" s="212"/>
      <c r="H44" s="212"/>
      <c r="I44" s="212"/>
      <c r="J44" s="212"/>
      <c r="K44" s="212"/>
      <c r="L44" s="212"/>
      <c r="M44" s="212"/>
      <c r="N44" s="212"/>
      <c r="O44" s="212"/>
    </row>
    <row r="45" spans="1:22" x14ac:dyDescent="0.2">
      <c r="A45" s="774"/>
      <c r="B45" s="4"/>
      <c r="C45" s="23"/>
      <c r="D45" s="23"/>
      <c r="E45" s="23"/>
      <c r="F45" s="23"/>
      <c r="G45" s="23"/>
      <c r="H45" s="23"/>
      <c r="I45" s="23"/>
      <c r="J45" s="23"/>
      <c r="K45" s="23"/>
      <c r="L45" s="23"/>
      <c r="M45" s="23"/>
      <c r="N45" s="23"/>
      <c r="O45" s="23"/>
      <c r="P45" s="23"/>
      <c r="Q45" s="23"/>
      <c r="R45" s="23"/>
      <c r="S45" s="23"/>
      <c r="T45" s="23"/>
      <c r="U45" s="23"/>
      <c r="V45" s="23"/>
    </row>
    <row r="46" spans="1:22" x14ac:dyDescent="0.2">
      <c r="A46" s="774"/>
      <c r="B46" s="4"/>
      <c r="C46" s="23"/>
      <c r="D46" s="23"/>
      <c r="E46" s="23"/>
      <c r="F46" s="23"/>
      <c r="G46" s="23"/>
      <c r="H46" s="23"/>
      <c r="I46" s="23"/>
      <c r="J46" s="23"/>
      <c r="K46" s="23"/>
      <c r="L46" s="23"/>
      <c r="M46" s="23"/>
      <c r="N46" s="23"/>
      <c r="O46" s="23"/>
      <c r="P46" s="23"/>
      <c r="Q46" s="23"/>
      <c r="R46" s="23"/>
      <c r="S46" s="23"/>
      <c r="T46" s="23"/>
      <c r="U46" s="23"/>
      <c r="V46" s="23"/>
    </row>
    <row r="47" spans="1:22" x14ac:dyDescent="0.2">
      <c r="A47" s="774"/>
      <c r="B47" s="4"/>
      <c r="C47" s="23"/>
      <c r="D47" s="23"/>
      <c r="E47" s="23"/>
      <c r="F47" s="23"/>
      <c r="G47" s="23"/>
      <c r="H47" s="23"/>
      <c r="I47" s="23"/>
      <c r="J47" s="23"/>
      <c r="K47" s="23"/>
      <c r="L47" s="23"/>
      <c r="M47" s="23"/>
      <c r="N47" s="23"/>
      <c r="O47" s="23"/>
      <c r="P47" s="23"/>
      <c r="Q47" s="23"/>
      <c r="R47" s="23"/>
      <c r="S47" s="23"/>
      <c r="T47" s="23"/>
      <c r="U47" s="23"/>
      <c r="V47" s="23"/>
    </row>
    <row r="48" spans="1:22" x14ac:dyDescent="0.2">
      <c r="A48" s="774"/>
      <c r="B48" s="4"/>
      <c r="C48" s="23"/>
      <c r="D48" s="23"/>
      <c r="E48" s="23"/>
      <c r="F48" s="23"/>
      <c r="G48" s="23"/>
      <c r="H48" s="23"/>
      <c r="I48" s="23"/>
      <c r="J48" s="23"/>
      <c r="K48" s="23"/>
      <c r="L48" s="23"/>
      <c r="M48" s="23"/>
      <c r="N48" s="23"/>
      <c r="O48" s="23"/>
      <c r="P48" s="23"/>
      <c r="Q48" s="23"/>
      <c r="R48" s="23"/>
      <c r="S48" s="23"/>
      <c r="T48" s="23"/>
      <c r="U48" s="23"/>
      <c r="V48" s="23"/>
    </row>
    <row r="49" spans="1:22" x14ac:dyDescent="0.2">
      <c r="A49" s="774"/>
      <c r="B49" s="4"/>
      <c r="C49" s="23"/>
      <c r="D49" s="23"/>
      <c r="E49" s="23"/>
      <c r="F49" s="23"/>
      <c r="G49" s="23"/>
      <c r="H49" s="23"/>
      <c r="I49" s="23"/>
      <c r="J49" s="23"/>
      <c r="K49" s="23"/>
      <c r="L49" s="23"/>
      <c r="M49" s="23"/>
      <c r="N49" s="23"/>
      <c r="O49" s="23"/>
      <c r="P49" s="23"/>
      <c r="Q49" s="23"/>
      <c r="R49" s="23"/>
      <c r="S49" s="23"/>
      <c r="T49" s="23"/>
      <c r="U49" s="23"/>
      <c r="V49" s="23"/>
    </row>
    <row r="50" spans="1:22" x14ac:dyDescent="0.2">
      <c r="A50" s="774"/>
      <c r="B50" s="4"/>
      <c r="C50" s="23"/>
      <c r="D50" s="23"/>
      <c r="E50" s="23"/>
      <c r="F50" s="23"/>
      <c r="G50" s="23"/>
      <c r="H50" s="23"/>
      <c r="I50" s="23"/>
      <c r="J50" s="23"/>
      <c r="K50" s="23"/>
      <c r="L50" s="23"/>
      <c r="M50" s="23"/>
      <c r="N50" s="23"/>
      <c r="O50" s="23"/>
      <c r="P50" s="23"/>
      <c r="Q50" s="23"/>
      <c r="R50" s="23"/>
      <c r="S50" s="23"/>
      <c r="T50" s="23"/>
      <c r="U50" s="23"/>
      <c r="V50" s="23"/>
    </row>
    <row r="51" spans="1:22" x14ac:dyDescent="0.2">
      <c r="A51" s="774"/>
      <c r="B51" s="4"/>
      <c r="C51" s="23"/>
      <c r="D51" s="23"/>
      <c r="E51" s="23"/>
      <c r="F51" s="23"/>
      <c r="G51" s="23"/>
      <c r="H51" s="23"/>
      <c r="I51" s="23"/>
      <c r="J51" s="23"/>
      <c r="K51" s="23"/>
      <c r="L51" s="23"/>
      <c r="M51" s="23"/>
      <c r="N51" s="23"/>
      <c r="O51" s="23"/>
      <c r="P51" s="25"/>
      <c r="Q51" s="23"/>
      <c r="R51" s="23"/>
      <c r="S51" s="23"/>
      <c r="T51" s="25"/>
      <c r="U51" s="25"/>
      <c r="V51" s="25"/>
    </row>
    <row r="52" spans="1:22" x14ac:dyDescent="0.2">
      <c r="A52" s="774"/>
      <c r="B52" s="4"/>
      <c r="C52" s="23"/>
      <c r="D52" s="23"/>
      <c r="E52" s="23"/>
      <c r="F52" s="23"/>
      <c r="G52" s="23"/>
      <c r="H52" s="23"/>
      <c r="I52" s="23"/>
      <c r="J52" s="23"/>
      <c r="K52" s="23"/>
      <c r="L52" s="23"/>
      <c r="M52" s="23"/>
      <c r="N52" s="23"/>
      <c r="O52" s="23"/>
      <c r="P52" s="25"/>
      <c r="Q52" s="23"/>
      <c r="R52" s="23"/>
      <c r="S52" s="23"/>
      <c r="T52" s="25"/>
      <c r="U52" s="25"/>
      <c r="V52" s="25"/>
    </row>
    <row r="53" spans="1:22" x14ac:dyDescent="0.2">
      <c r="A53" s="774"/>
      <c r="B53" s="4"/>
      <c r="C53" s="23"/>
      <c r="D53" s="23"/>
      <c r="E53" s="23"/>
      <c r="F53" s="23"/>
      <c r="G53" s="23"/>
      <c r="H53" s="23"/>
      <c r="I53" s="23"/>
      <c r="J53" s="23"/>
      <c r="K53" s="23"/>
      <c r="L53" s="23"/>
      <c r="M53" s="23"/>
      <c r="N53" s="23"/>
      <c r="O53" s="23"/>
      <c r="P53" s="23"/>
      <c r="Q53" s="23"/>
      <c r="R53" s="23"/>
      <c r="S53" s="23"/>
      <c r="T53" s="23"/>
      <c r="U53" s="23"/>
      <c r="V53" s="23"/>
    </row>
    <row r="54" spans="1:22" x14ac:dyDescent="0.2">
      <c r="A54" s="774"/>
      <c r="B54" s="4"/>
      <c r="C54" s="23"/>
      <c r="D54" s="23"/>
      <c r="E54" s="23"/>
      <c r="F54" s="23"/>
      <c r="G54" s="23"/>
      <c r="H54" s="23"/>
      <c r="I54" s="23"/>
      <c r="J54" s="23"/>
      <c r="K54" s="23"/>
      <c r="L54" s="23"/>
      <c r="M54" s="23"/>
      <c r="N54" s="23"/>
      <c r="O54" s="23"/>
      <c r="P54" s="23"/>
      <c r="Q54" s="23"/>
      <c r="R54" s="23"/>
      <c r="S54" s="23"/>
      <c r="T54" s="23"/>
      <c r="U54" s="23"/>
      <c r="V54" s="23"/>
    </row>
    <row r="55" spans="1:22" x14ac:dyDescent="0.2">
      <c r="A55" s="774"/>
      <c r="B55" s="4"/>
      <c r="C55" s="212"/>
      <c r="D55" s="212"/>
      <c r="E55" s="212"/>
      <c r="F55" s="212"/>
      <c r="G55" s="212"/>
      <c r="H55" s="212"/>
      <c r="I55" s="212"/>
      <c r="J55" s="212"/>
      <c r="K55" s="212"/>
      <c r="L55" s="212"/>
      <c r="M55" s="212"/>
      <c r="N55" s="212"/>
      <c r="O55" s="212"/>
    </row>
    <row r="56" spans="1:22" x14ac:dyDescent="0.2">
      <c r="A56" s="774"/>
      <c r="B56" s="4"/>
      <c r="C56" s="23"/>
      <c r="D56" s="23"/>
      <c r="E56" s="23"/>
      <c r="F56" s="23"/>
      <c r="G56" s="23"/>
      <c r="H56" s="23"/>
      <c r="I56" s="23"/>
      <c r="J56" s="23"/>
      <c r="K56" s="23"/>
      <c r="L56" s="23"/>
      <c r="M56" s="23"/>
      <c r="N56" s="23"/>
      <c r="O56" s="23"/>
      <c r="P56" s="23"/>
      <c r="Q56" s="23"/>
      <c r="R56" s="23"/>
      <c r="S56" s="23"/>
      <c r="T56" s="23"/>
      <c r="U56" s="23"/>
      <c r="V56" s="23"/>
    </row>
    <row r="57" spans="1:22" x14ac:dyDescent="0.2">
      <c r="A57" s="774"/>
      <c r="B57" s="4"/>
      <c r="C57" s="23"/>
      <c r="D57" s="23"/>
      <c r="E57" s="23"/>
      <c r="F57" s="23"/>
      <c r="G57" s="23"/>
      <c r="H57" s="23"/>
      <c r="I57" s="23"/>
      <c r="J57" s="23"/>
      <c r="K57" s="23"/>
      <c r="L57" s="23"/>
      <c r="M57" s="23"/>
      <c r="N57" s="23"/>
      <c r="O57" s="23"/>
      <c r="P57" s="23"/>
      <c r="Q57" s="23"/>
      <c r="R57" s="23"/>
      <c r="S57" s="23"/>
      <c r="T57" s="23"/>
      <c r="U57" s="23"/>
      <c r="V57" s="23"/>
    </row>
    <row r="58" spans="1:22" x14ac:dyDescent="0.2">
      <c r="A58" s="774"/>
      <c r="B58" s="4"/>
      <c r="C58" s="23"/>
      <c r="D58" s="23"/>
      <c r="E58" s="23"/>
      <c r="F58" s="23"/>
      <c r="G58" s="23"/>
      <c r="H58" s="23"/>
      <c r="I58" s="23"/>
      <c r="J58" s="23"/>
      <c r="K58" s="23"/>
      <c r="L58" s="23"/>
      <c r="M58" s="23"/>
      <c r="N58" s="23"/>
      <c r="O58" s="23"/>
      <c r="P58" s="23"/>
      <c r="Q58" s="23"/>
      <c r="R58" s="23"/>
      <c r="S58" s="23"/>
      <c r="T58" s="23"/>
      <c r="U58" s="23"/>
      <c r="V58" s="23"/>
    </row>
    <row r="59" spans="1:22" x14ac:dyDescent="0.2">
      <c r="A59" s="774"/>
      <c r="B59" s="4"/>
      <c r="C59" s="23"/>
      <c r="D59" s="23"/>
      <c r="E59" s="23"/>
      <c r="F59" s="23"/>
      <c r="G59" s="23"/>
      <c r="H59" s="23"/>
      <c r="I59" s="23"/>
      <c r="J59" s="23"/>
      <c r="K59" s="23"/>
      <c r="L59" s="23"/>
      <c r="M59" s="23"/>
      <c r="N59" s="23"/>
      <c r="O59" s="23"/>
      <c r="P59" s="23"/>
      <c r="Q59" s="23"/>
      <c r="R59" s="23"/>
      <c r="S59" s="23"/>
      <c r="T59" s="23"/>
      <c r="U59" s="23"/>
      <c r="V59" s="23"/>
    </row>
    <row r="60" spans="1:22" x14ac:dyDescent="0.2">
      <c r="A60" s="774"/>
      <c r="B60" s="4"/>
      <c r="C60" s="23"/>
      <c r="D60" s="23"/>
      <c r="E60" s="23"/>
      <c r="F60" s="23"/>
      <c r="G60" s="23"/>
      <c r="H60" s="23"/>
      <c r="I60" s="23"/>
      <c r="J60" s="23"/>
      <c r="K60" s="23"/>
      <c r="L60" s="23"/>
      <c r="M60" s="23"/>
      <c r="N60" s="23"/>
      <c r="O60" s="23"/>
      <c r="P60" s="23"/>
      <c r="Q60" s="23"/>
      <c r="R60" s="23"/>
      <c r="S60" s="23"/>
      <c r="T60" s="23"/>
      <c r="U60" s="23"/>
      <c r="V60" s="23"/>
    </row>
    <row r="61" spans="1:22" x14ac:dyDescent="0.2">
      <c r="A61" s="774"/>
      <c r="B61" s="4"/>
      <c r="C61" s="23"/>
      <c r="D61" s="23"/>
      <c r="E61" s="23"/>
      <c r="F61" s="23"/>
      <c r="G61" s="23"/>
      <c r="H61" s="23"/>
      <c r="I61" s="23"/>
      <c r="J61" s="23"/>
      <c r="K61" s="23"/>
      <c r="L61" s="23"/>
      <c r="M61" s="23"/>
      <c r="N61" s="23"/>
      <c r="O61" s="23"/>
      <c r="P61" s="23"/>
      <c r="Q61" s="23"/>
      <c r="R61" s="23"/>
      <c r="S61" s="23"/>
      <c r="T61" s="23"/>
      <c r="U61" s="23"/>
      <c r="V61" s="23"/>
    </row>
    <row r="62" spans="1:22" x14ac:dyDescent="0.2">
      <c r="A62" s="774"/>
      <c r="B62" s="4"/>
      <c r="C62" s="23"/>
      <c r="D62" s="23"/>
      <c r="E62" s="23"/>
      <c r="F62" s="23"/>
      <c r="G62" s="23"/>
      <c r="H62" s="23"/>
      <c r="I62" s="23"/>
      <c r="J62" s="23"/>
      <c r="K62" s="23"/>
      <c r="L62" s="23"/>
      <c r="M62" s="23"/>
      <c r="N62" s="23"/>
      <c r="O62" s="23"/>
      <c r="P62" s="25"/>
      <c r="Q62" s="23"/>
      <c r="R62" s="23"/>
      <c r="S62" s="23"/>
      <c r="T62" s="25"/>
      <c r="U62" s="25"/>
      <c r="V62" s="25"/>
    </row>
    <row r="63" spans="1:22" x14ac:dyDescent="0.2">
      <c r="A63" s="774"/>
      <c r="B63" s="4"/>
      <c r="C63" s="23"/>
      <c r="D63" s="23"/>
      <c r="E63" s="23"/>
      <c r="F63" s="23"/>
      <c r="G63" s="23"/>
      <c r="H63" s="23"/>
      <c r="I63" s="23"/>
      <c r="J63" s="23"/>
      <c r="K63" s="23"/>
      <c r="L63" s="23"/>
      <c r="M63" s="23"/>
      <c r="N63" s="23"/>
      <c r="O63" s="23"/>
      <c r="P63" s="25"/>
      <c r="Q63" s="23"/>
      <c r="R63" s="23"/>
      <c r="S63" s="23"/>
      <c r="T63" s="25"/>
      <c r="U63" s="25"/>
      <c r="V63" s="25"/>
    </row>
    <row r="64" spans="1:22" x14ac:dyDescent="0.2">
      <c r="A64" s="774"/>
      <c r="B64" s="4"/>
      <c r="C64" s="23"/>
      <c r="D64" s="23"/>
      <c r="E64" s="23"/>
      <c r="F64" s="23"/>
      <c r="G64" s="23"/>
      <c r="H64" s="23"/>
      <c r="I64" s="23"/>
      <c r="J64" s="23"/>
      <c r="K64" s="23"/>
      <c r="L64" s="23"/>
      <c r="M64" s="23"/>
      <c r="N64" s="23"/>
      <c r="O64" s="23"/>
      <c r="P64" s="25"/>
      <c r="Q64" s="23"/>
      <c r="R64" s="23"/>
      <c r="S64" s="23"/>
      <c r="T64" s="25"/>
      <c r="U64" s="25"/>
      <c r="V64" s="25"/>
    </row>
    <row r="65" spans="1:22" x14ac:dyDescent="0.2">
      <c r="A65" s="774"/>
      <c r="B65" s="4"/>
      <c r="C65" s="23"/>
      <c r="D65" s="23"/>
      <c r="E65" s="23"/>
      <c r="F65" s="23"/>
      <c r="G65" s="23"/>
      <c r="H65" s="23"/>
      <c r="I65" s="23"/>
      <c r="J65" s="23"/>
      <c r="K65" s="23"/>
      <c r="L65" s="23"/>
      <c r="M65" s="23"/>
      <c r="N65" s="23"/>
      <c r="O65" s="23"/>
      <c r="P65" s="25"/>
      <c r="Q65" s="23"/>
      <c r="R65" s="23"/>
      <c r="S65" s="23"/>
      <c r="T65" s="25"/>
      <c r="U65" s="25"/>
      <c r="V65" s="25"/>
    </row>
    <row r="66" spans="1:22" x14ac:dyDescent="0.2">
      <c r="A66" s="774"/>
      <c r="B66" s="4"/>
      <c r="C66" s="23"/>
      <c r="D66" s="23"/>
      <c r="E66" s="23"/>
      <c r="F66" s="23"/>
      <c r="G66" s="23"/>
      <c r="H66" s="23"/>
      <c r="I66" s="23"/>
      <c r="J66" s="23"/>
      <c r="K66" s="23"/>
      <c r="L66" s="23"/>
      <c r="M66" s="23"/>
      <c r="N66" s="23"/>
      <c r="O66" s="23"/>
      <c r="P66" s="25"/>
      <c r="Q66" s="23"/>
      <c r="R66" s="23"/>
      <c r="S66" s="23"/>
      <c r="T66" s="25"/>
      <c r="U66" s="25"/>
      <c r="V66" s="25"/>
    </row>
    <row r="67" spans="1:22" x14ac:dyDescent="0.2">
      <c r="A67" s="774"/>
      <c r="B67" s="4"/>
      <c r="C67" s="23"/>
      <c r="D67" s="23"/>
      <c r="E67" s="23"/>
      <c r="F67" s="23"/>
      <c r="G67" s="23"/>
      <c r="H67" s="23"/>
      <c r="I67" s="23"/>
      <c r="J67" s="23"/>
      <c r="K67" s="23"/>
      <c r="L67" s="23"/>
      <c r="M67" s="23"/>
      <c r="N67" s="23"/>
      <c r="O67" s="23"/>
      <c r="P67" s="25"/>
      <c r="Q67" s="23"/>
      <c r="R67" s="23"/>
      <c r="S67" s="23"/>
      <c r="T67" s="25"/>
      <c r="U67" s="25"/>
      <c r="V67" s="25"/>
    </row>
    <row r="68" spans="1:22" x14ac:dyDescent="0.2">
      <c r="A68" s="774"/>
      <c r="B68" s="4"/>
      <c r="C68" s="23"/>
      <c r="D68" s="23"/>
      <c r="E68" s="23"/>
      <c r="F68" s="23"/>
      <c r="G68" s="23"/>
      <c r="H68" s="23"/>
      <c r="I68" s="23"/>
      <c r="J68" s="23"/>
      <c r="K68" s="23"/>
      <c r="L68" s="23"/>
      <c r="M68" s="23"/>
      <c r="N68" s="23"/>
      <c r="O68" s="23"/>
      <c r="P68" s="25"/>
      <c r="Q68" s="23"/>
      <c r="R68" s="23"/>
      <c r="S68" s="23"/>
      <c r="T68" s="25"/>
      <c r="U68" s="25"/>
      <c r="V68" s="25"/>
    </row>
    <row r="69" spans="1:22" x14ac:dyDescent="0.2">
      <c r="A69" s="774"/>
      <c r="B69" s="4"/>
      <c r="C69" s="23"/>
      <c r="D69" s="23"/>
      <c r="E69" s="23"/>
      <c r="F69" s="23"/>
      <c r="G69" s="23"/>
      <c r="H69" s="23"/>
      <c r="I69" s="23"/>
      <c r="J69" s="23"/>
      <c r="K69" s="23"/>
      <c r="L69" s="23"/>
      <c r="M69" s="23"/>
      <c r="N69" s="23"/>
      <c r="O69" s="23"/>
      <c r="P69" s="25"/>
      <c r="Q69" s="23"/>
      <c r="R69" s="23"/>
      <c r="S69" s="23"/>
      <c r="T69" s="25"/>
      <c r="U69" s="25"/>
      <c r="V69" s="25"/>
    </row>
    <row r="70" spans="1:22" x14ac:dyDescent="0.2">
      <c r="A70" s="774"/>
      <c r="B70" s="4"/>
      <c r="C70" s="23"/>
      <c r="D70" s="23"/>
      <c r="E70" s="23"/>
      <c r="F70" s="23"/>
      <c r="G70" s="23"/>
      <c r="H70" s="23"/>
      <c r="I70" s="23"/>
      <c r="J70" s="23"/>
      <c r="K70" s="23"/>
      <c r="L70" s="23"/>
      <c r="M70" s="23"/>
      <c r="N70" s="23"/>
      <c r="O70" s="23"/>
      <c r="P70" s="25"/>
      <c r="Q70" s="23"/>
      <c r="R70" s="23"/>
      <c r="S70" s="23"/>
      <c r="T70" s="25"/>
      <c r="U70" s="25"/>
      <c r="V70" s="25"/>
    </row>
    <row r="71" spans="1:22" x14ac:dyDescent="0.2">
      <c r="A71" s="774"/>
      <c r="B71" s="4"/>
      <c r="C71" s="23"/>
      <c r="D71" s="23"/>
      <c r="E71" s="23"/>
      <c r="F71" s="23"/>
      <c r="G71" s="23"/>
      <c r="H71" s="23"/>
      <c r="I71" s="23"/>
      <c r="J71" s="23"/>
      <c r="K71" s="23"/>
      <c r="L71" s="23"/>
      <c r="M71" s="23"/>
      <c r="N71" s="23"/>
      <c r="O71" s="23"/>
      <c r="P71" s="25"/>
      <c r="Q71" s="23"/>
      <c r="R71" s="23"/>
      <c r="S71" s="23"/>
      <c r="T71" s="25"/>
      <c r="U71" s="25"/>
      <c r="V71" s="25"/>
    </row>
    <row r="72" spans="1:22" x14ac:dyDescent="0.2">
      <c r="A72" s="774"/>
      <c r="B72" s="4"/>
      <c r="C72" s="23"/>
      <c r="D72" s="23"/>
      <c r="E72" s="23"/>
      <c r="F72" s="23"/>
      <c r="G72" s="23"/>
      <c r="H72" s="23"/>
      <c r="I72" s="23"/>
      <c r="J72" s="23"/>
      <c r="K72" s="23"/>
      <c r="L72" s="23"/>
      <c r="M72" s="23"/>
      <c r="N72" s="23"/>
      <c r="O72" s="23"/>
      <c r="P72" s="4"/>
      <c r="Q72" s="23"/>
      <c r="R72" s="23"/>
      <c r="S72" s="23"/>
      <c r="T72" s="4"/>
      <c r="U72" s="4"/>
      <c r="V72" s="4"/>
    </row>
    <row r="73" spans="1:22" x14ac:dyDescent="0.2">
      <c r="A73" s="774"/>
      <c r="B73" s="4"/>
      <c r="C73" s="23"/>
      <c r="D73" s="23"/>
      <c r="E73" s="23"/>
      <c r="F73" s="23"/>
      <c r="G73" s="23"/>
      <c r="H73" s="23"/>
      <c r="I73" s="23"/>
      <c r="J73" s="23"/>
      <c r="K73" s="23"/>
      <c r="L73" s="23"/>
      <c r="M73" s="23"/>
      <c r="N73" s="23"/>
      <c r="O73" s="23"/>
      <c r="P73" s="4"/>
      <c r="Q73" s="23"/>
      <c r="R73" s="23"/>
      <c r="S73" s="23"/>
      <c r="T73" s="4"/>
      <c r="U73" s="4"/>
      <c r="V73" s="4"/>
    </row>
    <row r="74" spans="1:22" x14ac:dyDescent="0.2">
      <c r="A74" s="774"/>
      <c r="B74" s="4"/>
      <c r="C74" s="23"/>
      <c r="D74" s="23"/>
      <c r="E74" s="23"/>
      <c r="F74" s="23"/>
      <c r="G74" s="23"/>
      <c r="H74" s="23"/>
      <c r="I74" s="23"/>
      <c r="J74" s="23"/>
      <c r="K74" s="23"/>
      <c r="L74" s="23"/>
      <c r="M74" s="23"/>
      <c r="N74" s="23"/>
      <c r="O74" s="23"/>
      <c r="P74" s="4"/>
      <c r="Q74" s="23"/>
      <c r="R74" s="23"/>
      <c r="S74" s="23"/>
      <c r="T74" s="4"/>
      <c r="U74" s="4"/>
      <c r="V74" s="4"/>
    </row>
    <row r="75" spans="1:22" x14ac:dyDescent="0.2">
      <c r="A75" s="774"/>
      <c r="B75" s="4"/>
      <c r="C75" s="23"/>
      <c r="D75" s="23"/>
      <c r="E75" s="23"/>
      <c r="F75" s="23"/>
      <c r="G75" s="23"/>
      <c r="H75" s="23"/>
      <c r="I75" s="23"/>
      <c r="J75" s="23"/>
      <c r="K75" s="23"/>
      <c r="L75" s="23"/>
      <c r="M75" s="23"/>
      <c r="N75" s="23"/>
      <c r="O75" s="23"/>
      <c r="P75" s="4"/>
      <c r="Q75" s="23"/>
      <c r="R75" s="23"/>
      <c r="S75" s="23"/>
      <c r="T75" s="4"/>
      <c r="U75" s="4"/>
      <c r="V75" s="4"/>
    </row>
    <row r="76" spans="1:22" x14ac:dyDescent="0.2">
      <c r="A76" s="774"/>
      <c r="B76" s="4"/>
      <c r="C76" s="23"/>
      <c r="D76" s="23"/>
      <c r="E76" s="23"/>
      <c r="F76" s="23"/>
      <c r="G76" s="23"/>
      <c r="H76" s="23"/>
      <c r="I76" s="23"/>
      <c r="J76" s="23"/>
      <c r="K76" s="23"/>
      <c r="L76" s="23"/>
      <c r="M76" s="23"/>
      <c r="N76" s="23"/>
      <c r="O76" s="23"/>
      <c r="P76" s="4"/>
      <c r="Q76" s="23"/>
      <c r="R76" s="23"/>
      <c r="S76" s="23"/>
      <c r="T76" s="4"/>
      <c r="U76" s="4"/>
      <c r="V76" s="4"/>
    </row>
    <row r="77" spans="1:22" x14ac:dyDescent="0.2">
      <c r="A77" s="774"/>
      <c r="B77" s="4"/>
      <c r="C77" s="23"/>
      <c r="D77" s="23"/>
      <c r="E77" s="23"/>
      <c r="F77" s="23"/>
      <c r="G77" s="23"/>
      <c r="H77" s="23"/>
      <c r="I77" s="23"/>
      <c r="J77" s="23"/>
      <c r="K77" s="23"/>
      <c r="L77" s="23"/>
      <c r="M77" s="23"/>
      <c r="N77" s="23"/>
      <c r="O77" s="23"/>
      <c r="P77" s="4"/>
      <c r="Q77" s="23"/>
      <c r="R77" s="23"/>
      <c r="S77" s="23"/>
      <c r="T77" s="4"/>
      <c r="U77" s="4"/>
      <c r="V77" s="4"/>
    </row>
    <row r="78" spans="1:22" x14ac:dyDescent="0.2">
      <c r="A78" s="774"/>
      <c r="B78" s="4"/>
      <c r="C78" s="23"/>
      <c r="D78" s="23"/>
      <c r="E78" s="23"/>
      <c r="F78" s="23"/>
      <c r="G78" s="23"/>
      <c r="H78" s="23"/>
      <c r="I78" s="23"/>
      <c r="J78" s="23"/>
      <c r="K78" s="23"/>
      <c r="L78" s="23"/>
      <c r="M78" s="23"/>
      <c r="N78" s="23"/>
      <c r="O78" s="23"/>
      <c r="P78" s="4"/>
      <c r="Q78" s="23"/>
      <c r="R78" s="23"/>
      <c r="S78" s="23"/>
      <c r="T78" s="4"/>
      <c r="U78" s="4"/>
      <c r="V78" s="4"/>
    </row>
    <row r="79" spans="1:22" x14ac:dyDescent="0.2">
      <c r="A79" s="774"/>
      <c r="B79" s="4"/>
      <c r="C79" s="23"/>
      <c r="D79" s="23"/>
      <c r="E79" s="23"/>
      <c r="F79" s="23"/>
      <c r="G79" s="23"/>
      <c r="H79" s="23"/>
      <c r="I79" s="23"/>
      <c r="J79" s="23"/>
      <c r="K79" s="23"/>
      <c r="L79" s="23"/>
      <c r="M79" s="23"/>
      <c r="N79" s="23"/>
      <c r="O79" s="23"/>
      <c r="P79" s="4"/>
      <c r="Q79" s="23"/>
      <c r="R79" s="23"/>
      <c r="S79" s="23"/>
      <c r="T79" s="4"/>
      <c r="U79" s="4"/>
      <c r="V79" s="4"/>
    </row>
    <row r="80" spans="1:22" x14ac:dyDescent="0.2">
      <c r="A80" s="774"/>
      <c r="B80" s="4"/>
      <c r="C80" s="23"/>
      <c r="D80" s="23"/>
      <c r="E80" s="23"/>
      <c r="F80" s="23"/>
      <c r="G80" s="23"/>
      <c r="H80" s="23"/>
      <c r="I80" s="23"/>
      <c r="J80" s="23"/>
      <c r="K80" s="23"/>
      <c r="L80" s="23"/>
      <c r="M80" s="23"/>
      <c r="N80" s="23"/>
      <c r="O80" s="23"/>
      <c r="P80" s="4"/>
      <c r="Q80" s="23"/>
      <c r="R80" s="23"/>
      <c r="S80" s="23"/>
      <c r="T80" s="4"/>
      <c r="U80" s="4"/>
      <c r="V80" s="4"/>
    </row>
    <row r="81" spans="1:22" x14ac:dyDescent="0.2">
      <c r="A81" s="774"/>
      <c r="B81" s="4"/>
      <c r="C81" s="23"/>
      <c r="D81" s="23"/>
      <c r="E81" s="23"/>
      <c r="F81" s="23"/>
      <c r="G81" s="23"/>
      <c r="H81" s="23"/>
      <c r="I81" s="23"/>
      <c r="J81" s="23"/>
      <c r="K81" s="23"/>
      <c r="L81" s="23"/>
      <c r="M81" s="23"/>
      <c r="N81" s="23"/>
      <c r="O81" s="23"/>
      <c r="P81" s="4"/>
      <c r="Q81" s="23"/>
      <c r="R81" s="23"/>
      <c r="S81" s="23"/>
      <c r="T81" s="4"/>
      <c r="U81" s="4"/>
      <c r="V81" s="4"/>
    </row>
    <row r="82" spans="1:22" x14ac:dyDescent="0.2">
      <c r="A82" s="774"/>
      <c r="B82" s="4"/>
      <c r="C82" s="23"/>
      <c r="D82" s="23"/>
      <c r="E82" s="23"/>
      <c r="F82" s="23"/>
      <c r="G82" s="23"/>
      <c r="H82" s="23"/>
      <c r="I82" s="23"/>
      <c r="J82" s="23"/>
      <c r="K82" s="23"/>
      <c r="L82" s="23"/>
      <c r="M82" s="23"/>
      <c r="N82" s="23"/>
      <c r="O82" s="23"/>
      <c r="P82" s="4"/>
      <c r="Q82" s="23"/>
      <c r="R82" s="23"/>
      <c r="S82" s="23"/>
      <c r="T82" s="4"/>
      <c r="U82" s="4"/>
      <c r="V82" s="4"/>
    </row>
    <row r="83" spans="1:22" x14ac:dyDescent="0.2">
      <c r="A83" s="774"/>
      <c r="B83" s="4"/>
      <c r="C83" s="23"/>
      <c r="D83" s="23"/>
      <c r="E83" s="23"/>
      <c r="F83" s="23"/>
      <c r="G83" s="23"/>
      <c r="H83" s="23"/>
      <c r="I83" s="23"/>
      <c r="J83" s="23"/>
      <c r="K83" s="23"/>
      <c r="L83" s="23"/>
      <c r="M83" s="23"/>
      <c r="N83" s="23"/>
      <c r="O83" s="23"/>
      <c r="P83" s="4"/>
      <c r="Q83" s="23"/>
      <c r="R83" s="23"/>
      <c r="S83" s="23"/>
      <c r="T83" s="4"/>
      <c r="U83" s="4"/>
      <c r="V83" s="4"/>
    </row>
    <row r="84" spans="1:22" x14ac:dyDescent="0.2">
      <c r="A84" s="774"/>
      <c r="B84" s="4"/>
      <c r="C84" s="23"/>
      <c r="D84" s="23"/>
      <c r="E84" s="23"/>
      <c r="F84" s="23"/>
      <c r="G84" s="23"/>
      <c r="H84" s="23"/>
      <c r="I84" s="23"/>
      <c r="J84" s="23"/>
      <c r="K84" s="23"/>
      <c r="L84" s="23"/>
      <c r="M84" s="23"/>
      <c r="N84" s="23"/>
      <c r="O84" s="23"/>
      <c r="P84" s="4"/>
      <c r="Q84" s="23"/>
      <c r="R84" s="23"/>
      <c r="S84" s="23"/>
      <c r="T84" s="4"/>
      <c r="U84" s="4"/>
      <c r="V84" s="4"/>
    </row>
    <row r="85" spans="1:22" x14ac:dyDescent="0.2">
      <c r="A85" s="774"/>
      <c r="B85" s="4"/>
      <c r="C85" s="23"/>
      <c r="D85" s="23"/>
      <c r="E85" s="23"/>
      <c r="F85" s="23"/>
      <c r="G85" s="23"/>
      <c r="H85" s="23"/>
      <c r="I85" s="23"/>
      <c r="J85" s="23"/>
      <c r="K85" s="23"/>
      <c r="L85" s="23"/>
      <c r="M85" s="23"/>
      <c r="N85" s="23"/>
      <c r="O85" s="23"/>
      <c r="P85" s="4"/>
      <c r="Q85" s="23"/>
      <c r="R85" s="23"/>
      <c r="S85" s="23"/>
      <c r="T85" s="4"/>
      <c r="U85" s="4"/>
      <c r="V85" s="4"/>
    </row>
    <row r="86" spans="1:22" x14ac:dyDescent="0.2">
      <c r="A86" s="774"/>
      <c r="B86" s="4"/>
      <c r="C86" s="23"/>
      <c r="D86" s="23"/>
      <c r="E86" s="23"/>
      <c r="F86" s="23"/>
      <c r="G86" s="23"/>
      <c r="H86" s="23"/>
      <c r="I86" s="23"/>
      <c r="J86" s="23"/>
      <c r="K86" s="23"/>
      <c r="L86" s="23"/>
      <c r="M86" s="23"/>
      <c r="N86" s="23"/>
      <c r="O86" s="23"/>
      <c r="P86" s="4"/>
      <c r="Q86" s="23"/>
      <c r="R86" s="23"/>
      <c r="S86" s="23"/>
      <c r="T86" s="4"/>
      <c r="U86" s="4"/>
      <c r="V86" s="4"/>
    </row>
    <row r="87" spans="1:22" x14ac:dyDescent="0.2">
      <c r="A87" s="774"/>
      <c r="B87" s="4"/>
      <c r="C87" s="23"/>
      <c r="D87" s="23"/>
      <c r="E87" s="23"/>
      <c r="F87" s="23"/>
      <c r="G87" s="23"/>
      <c r="H87" s="23"/>
      <c r="I87" s="23"/>
      <c r="J87" s="23"/>
      <c r="K87" s="23"/>
      <c r="L87" s="23"/>
      <c r="M87" s="23"/>
      <c r="N87" s="23"/>
      <c r="O87" s="23"/>
      <c r="P87" s="4"/>
      <c r="Q87" s="23"/>
      <c r="R87" s="23"/>
      <c r="S87" s="23"/>
      <c r="T87" s="4"/>
      <c r="U87" s="4"/>
      <c r="V87" s="4"/>
    </row>
    <row r="88" spans="1:22" x14ac:dyDescent="0.2">
      <c r="A88" s="774"/>
      <c r="B88" s="4"/>
      <c r="C88" s="23"/>
      <c r="D88" s="23"/>
      <c r="E88" s="23"/>
      <c r="F88" s="23"/>
      <c r="G88" s="23"/>
      <c r="H88" s="23"/>
      <c r="I88" s="23"/>
      <c r="J88" s="23"/>
      <c r="K88" s="23"/>
      <c r="L88" s="23"/>
      <c r="M88" s="23"/>
      <c r="N88" s="23"/>
      <c r="O88" s="23"/>
      <c r="P88" s="4"/>
      <c r="Q88" s="23"/>
      <c r="R88" s="23"/>
      <c r="S88" s="23"/>
      <c r="T88" s="4"/>
      <c r="U88" s="4"/>
      <c r="V88" s="4"/>
    </row>
    <row r="89" spans="1:22" x14ac:dyDescent="0.2">
      <c r="A89" s="774"/>
      <c r="B89" s="4"/>
      <c r="C89" s="23"/>
      <c r="D89" s="23"/>
      <c r="E89" s="23"/>
      <c r="F89" s="23"/>
      <c r="G89" s="23"/>
      <c r="H89" s="23"/>
      <c r="I89" s="23"/>
      <c r="J89" s="23"/>
      <c r="K89" s="23"/>
      <c r="L89" s="23"/>
      <c r="M89" s="23"/>
      <c r="N89" s="23"/>
      <c r="O89" s="23"/>
      <c r="P89" s="4"/>
      <c r="Q89" s="23"/>
      <c r="R89" s="23"/>
      <c r="S89" s="23"/>
      <c r="T89" s="4"/>
      <c r="U89" s="4"/>
      <c r="V89" s="4"/>
    </row>
    <row r="90" spans="1:22" x14ac:dyDescent="0.2">
      <c r="A90" s="774"/>
      <c r="B90" s="4"/>
      <c r="C90" s="23"/>
      <c r="D90" s="23"/>
      <c r="E90" s="23"/>
      <c r="F90" s="23"/>
      <c r="G90" s="23"/>
      <c r="H90" s="23"/>
      <c r="I90" s="23"/>
      <c r="J90" s="23"/>
      <c r="K90" s="23"/>
      <c r="L90" s="23"/>
      <c r="M90" s="23"/>
      <c r="N90" s="23"/>
      <c r="O90" s="23"/>
      <c r="P90" s="4"/>
      <c r="Q90" s="23"/>
      <c r="R90" s="23"/>
      <c r="S90" s="23"/>
      <c r="T90" s="4"/>
      <c r="U90" s="4"/>
      <c r="V90" s="4"/>
    </row>
    <row r="91" spans="1:22" x14ac:dyDescent="0.2">
      <c r="A91" s="774"/>
      <c r="B91" s="4"/>
      <c r="C91" s="23"/>
      <c r="D91" s="23"/>
      <c r="E91" s="23"/>
      <c r="F91" s="23"/>
      <c r="G91" s="23"/>
      <c r="H91" s="23"/>
      <c r="I91" s="23"/>
      <c r="J91" s="23"/>
      <c r="K91" s="23"/>
      <c r="L91" s="23"/>
      <c r="M91" s="23"/>
      <c r="N91" s="23"/>
      <c r="O91" s="23"/>
      <c r="P91" s="4"/>
      <c r="Q91" s="23"/>
      <c r="R91" s="23"/>
      <c r="S91" s="23"/>
      <c r="T91" s="4"/>
      <c r="U91" s="4"/>
      <c r="V91" s="4"/>
    </row>
    <row r="92" spans="1:22" x14ac:dyDescent="0.2">
      <c r="A92" s="774"/>
      <c r="B92" s="4"/>
      <c r="C92" s="23"/>
      <c r="D92" s="23"/>
      <c r="E92" s="23"/>
      <c r="F92" s="23"/>
      <c r="G92" s="23"/>
      <c r="H92" s="23"/>
      <c r="I92" s="23"/>
      <c r="J92" s="23"/>
      <c r="K92" s="23"/>
      <c r="L92" s="23"/>
      <c r="M92" s="23"/>
      <c r="N92" s="23"/>
      <c r="O92" s="23"/>
      <c r="P92" s="4"/>
      <c r="Q92" s="23"/>
      <c r="R92" s="23"/>
      <c r="S92" s="23"/>
      <c r="T92" s="4"/>
      <c r="U92" s="4"/>
      <c r="V92" s="4"/>
    </row>
    <row r="93" spans="1:22" x14ac:dyDescent="0.2">
      <c r="A93" s="774"/>
      <c r="B93" s="4"/>
      <c r="C93" s="23"/>
      <c r="D93" s="23"/>
      <c r="E93" s="23"/>
      <c r="F93" s="23"/>
      <c r="G93" s="23"/>
      <c r="H93" s="23"/>
      <c r="I93" s="23"/>
      <c r="J93" s="23"/>
      <c r="K93" s="23"/>
      <c r="L93" s="23"/>
      <c r="M93" s="23"/>
      <c r="N93" s="23"/>
      <c r="O93" s="23"/>
      <c r="P93" s="4"/>
      <c r="Q93" s="23"/>
      <c r="R93" s="23"/>
      <c r="S93" s="23"/>
      <c r="T93" s="4"/>
      <c r="U93" s="4"/>
      <c r="V93" s="4"/>
    </row>
    <row r="94" spans="1:22" x14ac:dyDescent="0.2">
      <c r="A94" s="774"/>
      <c r="B94" s="4"/>
      <c r="C94" s="23"/>
      <c r="D94" s="23"/>
      <c r="E94" s="23"/>
      <c r="F94" s="23"/>
      <c r="G94" s="23"/>
      <c r="H94" s="23"/>
      <c r="I94" s="23"/>
      <c r="J94" s="23"/>
      <c r="K94" s="23"/>
      <c r="L94" s="23"/>
      <c r="M94" s="23"/>
      <c r="N94" s="23"/>
      <c r="O94" s="23"/>
      <c r="P94" s="4"/>
      <c r="Q94" s="23"/>
      <c r="R94" s="23"/>
      <c r="S94" s="23"/>
      <c r="T94" s="4"/>
      <c r="U94" s="4"/>
      <c r="V94" s="4"/>
    </row>
    <row r="95" spans="1:22" x14ac:dyDescent="0.2">
      <c r="A95" s="774"/>
      <c r="B95" s="4"/>
      <c r="C95" s="23"/>
      <c r="D95" s="23"/>
      <c r="E95" s="23"/>
      <c r="F95" s="23"/>
      <c r="G95" s="23"/>
      <c r="H95" s="23"/>
      <c r="I95" s="23"/>
      <c r="J95" s="23"/>
      <c r="K95" s="23"/>
      <c r="L95" s="23"/>
      <c r="M95" s="23"/>
      <c r="N95" s="23"/>
      <c r="O95" s="23"/>
      <c r="P95" s="4"/>
      <c r="Q95" s="23"/>
      <c r="R95" s="23"/>
      <c r="S95" s="23"/>
      <c r="T95" s="4"/>
      <c r="U95" s="4"/>
      <c r="V95" s="4"/>
    </row>
    <row r="96" spans="1:22" x14ac:dyDescent="0.2">
      <c r="A96" s="774"/>
      <c r="B96" s="4"/>
      <c r="C96" s="23"/>
      <c r="D96" s="23"/>
      <c r="E96" s="23"/>
      <c r="F96" s="23"/>
      <c r="G96" s="23"/>
      <c r="H96" s="23"/>
      <c r="I96" s="23"/>
      <c r="J96" s="23"/>
      <c r="K96" s="23"/>
      <c r="L96" s="23"/>
      <c r="M96" s="23"/>
      <c r="N96" s="23"/>
      <c r="O96" s="23"/>
      <c r="P96" s="4"/>
      <c r="Q96" s="23"/>
      <c r="R96" s="23"/>
      <c r="S96" s="23"/>
      <c r="T96" s="4"/>
      <c r="U96" s="4"/>
      <c r="V96" s="4"/>
    </row>
    <row r="97" spans="1:22" x14ac:dyDescent="0.2">
      <c r="A97" s="774"/>
      <c r="B97" s="4"/>
      <c r="C97" s="23"/>
      <c r="D97" s="23"/>
      <c r="E97" s="23"/>
      <c r="F97" s="23"/>
      <c r="G97" s="23"/>
      <c r="H97" s="23"/>
      <c r="I97" s="23"/>
      <c r="J97" s="23"/>
      <c r="K97" s="23"/>
      <c r="L97" s="23"/>
      <c r="M97" s="23"/>
      <c r="N97" s="23"/>
      <c r="O97" s="23"/>
      <c r="P97" s="4"/>
      <c r="Q97" s="23"/>
      <c r="R97" s="23"/>
      <c r="S97" s="23"/>
      <c r="T97" s="4"/>
      <c r="U97" s="4"/>
      <c r="V97" s="4"/>
    </row>
    <row r="98" spans="1:22" x14ac:dyDescent="0.2">
      <c r="A98" s="774"/>
      <c r="B98" s="4"/>
      <c r="C98" s="23"/>
      <c r="D98" s="23"/>
      <c r="E98" s="23"/>
      <c r="F98" s="23"/>
      <c r="G98" s="23"/>
      <c r="H98" s="23"/>
      <c r="I98" s="23"/>
      <c r="J98" s="23"/>
      <c r="K98" s="23"/>
      <c r="L98" s="23"/>
      <c r="M98" s="23"/>
      <c r="N98" s="23"/>
      <c r="O98" s="23"/>
      <c r="P98" s="4"/>
      <c r="Q98" s="23"/>
      <c r="R98" s="23"/>
      <c r="S98" s="23"/>
      <c r="T98" s="4"/>
      <c r="U98" s="4"/>
      <c r="V98" s="4"/>
    </row>
    <row r="99" spans="1:22" x14ac:dyDescent="0.2">
      <c r="A99" s="774"/>
      <c r="B99" s="4"/>
      <c r="C99" s="23"/>
      <c r="D99" s="23"/>
      <c r="E99" s="23"/>
      <c r="F99" s="23"/>
      <c r="G99" s="23"/>
      <c r="H99" s="23"/>
      <c r="I99" s="23"/>
      <c r="J99" s="23"/>
      <c r="K99" s="23"/>
      <c r="L99" s="23"/>
      <c r="M99" s="23"/>
      <c r="N99" s="23"/>
      <c r="O99" s="23"/>
      <c r="P99" s="4"/>
      <c r="Q99" s="23"/>
      <c r="R99" s="23"/>
      <c r="S99" s="23"/>
      <c r="T99" s="4"/>
      <c r="U99" s="4"/>
      <c r="V99" s="4"/>
    </row>
    <row r="100" spans="1:22" x14ac:dyDescent="0.2">
      <c r="A100" s="774"/>
      <c r="B100" s="4"/>
      <c r="C100" s="23"/>
      <c r="D100" s="23"/>
      <c r="E100" s="23"/>
      <c r="F100" s="23"/>
      <c r="G100" s="23"/>
      <c r="H100" s="23"/>
      <c r="I100" s="23"/>
      <c r="J100" s="23"/>
      <c r="K100" s="23"/>
      <c r="L100" s="23"/>
      <c r="M100" s="23"/>
      <c r="N100" s="23"/>
      <c r="O100" s="23"/>
      <c r="P100" s="4"/>
      <c r="Q100" s="23"/>
      <c r="R100" s="23"/>
      <c r="S100" s="23"/>
      <c r="T100" s="4"/>
      <c r="U100" s="4"/>
      <c r="V100" s="4"/>
    </row>
    <row r="101" spans="1:22" x14ac:dyDescent="0.2">
      <c r="A101" s="774"/>
      <c r="B101" s="4"/>
      <c r="C101" s="23"/>
      <c r="D101" s="23"/>
      <c r="E101" s="23"/>
      <c r="F101" s="23"/>
      <c r="G101" s="23"/>
      <c r="H101" s="23"/>
      <c r="I101" s="23"/>
      <c r="J101" s="23"/>
      <c r="K101" s="23"/>
      <c r="L101" s="23"/>
      <c r="M101" s="23"/>
      <c r="N101" s="23"/>
      <c r="O101" s="23"/>
      <c r="P101" s="4"/>
      <c r="Q101" s="23"/>
      <c r="R101" s="23"/>
      <c r="S101" s="23"/>
      <c r="T101" s="4"/>
      <c r="U101" s="4"/>
      <c r="V101" s="4"/>
    </row>
    <row r="102" spans="1:22" x14ac:dyDescent="0.2">
      <c r="A102" s="774"/>
      <c r="B102" s="4"/>
      <c r="C102" s="23"/>
      <c r="D102" s="23"/>
      <c r="E102" s="23"/>
      <c r="F102" s="23"/>
      <c r="G102" s="23"/>
      <c r="H102" s="23"/>
      <c r="I102" s="23"/>
      <c r="J102" s="23"/>
      <c r="K102" s="23"/>
      <c r="L102" s="23"/>
      <c r="M102" s="23"/>
      <c r="N102" s="23"/>
      <c r="O102" s="23"/>
      <c r="P102" s="4"/>
      <c r="Q102" s="23"/>
      <c r="R102" s="23"/>
      <c r="S102" s="23"/>
      <c r="T102" s="4"/>
      <c r="U102" s="4"/>
      <c r="V102" s="4"/>
    </row>
    <row r="103" spans="1:22" x14ac:dyDescent="0.2">
      <c r="A103" s="774"/>
      <c r="B103" s="4"/>
      <c r="C103" s="23"/>
      <c r="D103" s="23"/>
      <c r="E103" s="23"/>
      <c r="F103" s="23"/>
      <c r="G103" s="23"/>
      <c r="H103" s="23"/>
      <c r="I103" s="23"/>
      <c r="J103" s="23"/>
      <c r="K103" s="23"/>
      <c r="L103" s="23"/>
      <c r="M103" s="23"/>
      <c r="N103" s="23"/>
      <c r="O103" s="23"/>
      <c r="P103" s="4"/>
      <c r="Q103" s="23"/>
      <c r="R103" s="23"/>
      <c r="S103" s="23"/>
      <c r="T103" s="4"/>
      <c r="U103" s="4"/>
      <c r="V103" s="4"/>
    </row>
    <row r="104" spans="1:22" x14ac:dyDescent="0.2">
      <c r="A104" s="774"/>
      <c r="B104" s="4"/>
      <c r="C104" s="23"/>
      <c r="D104" s="23"/>
      <c r="E104" s="23"/>
      <c r="F104" s="23"/>
      <c r="G104" s="23"/>
      <c r="H104" s="23"/>
      <c r="I104" s="23"/>
      <c r="J104" s="23"/>
      <c r="K104" s="23"/>
      <c r="L104" s="23"/>
      <c r="M104" s="23"/>
      <c r="N104" s="23"/>
      <c r="O104" s="23"/>
      <c r="P104" s="4"/>
      <c r="Q104" s="23"/>
      <c r="R104" s="23"/>
      <c r="S104" s="23"/>
      <c r="T104" s="4"/>
      <c r="U104" s="4"/>
      <c r="V104" s="4"/>
    </row>
    <row r="105" spans="1:22" x14ac:dyDescent="0.2">
      <c r="A105" s="774"/>
      <c r="B105" s="4"/>
      <c r="C105" s="23"/>
      <c r="D105" s="23"/>
      <c r="E105" s="23"/>
      <c r="F105" s="23"/>
      <c r="G105" s="23"/>
      <c r="H105" s="23"/>
      <c r="I105" s="23"/>
      <c r="J105" s="23"/>
      <c r="K105" s="23"/>
      <c r="L105" s="23"/>
      <c r="M105" s="23"/>
      <c r="N105" s="23"/>
      <c r="O105" s="23"/>
      <c r="P105" s="4"/>
      <c r="Q105" s="23"/>
      <c r="R105" s="23"/>
      <c r="S105" s="23"/>
      <c r="T105" s="4"/>
      <c r="U105" s="4"/>
      <c r="V105" s="4"/>
    </row>
    <row r="106" spans="1:22" x14ac:dyDescent="0.2">
      <c r="A106" s="774"/>
      <c r="B106" s="4"/>
      <c r="C106" s="23"/>
      <c r="D106" s="23"/>
      <c r="E106" s="23"/>
      <c r="F106" s="23"/>
      <c r="G106" s="23"/>
      <c r="H106" s="23"/>
      <c r="I106" s="23"/>
      <c r="J106" s="23"/>
      <c r="K106" s="23"/>
      <c r="L106" s="23"/>
      <c r="M106" s="23"/>
      <c r="N106" s="23"/>
      <c r="O106" s="23"/>
      <c r="P106" s="4"/>
      <c r="Q106" s="23"/>
      <c r="R106" s="23"/>
      <c r="S106" s="23"/>
      <c r="T106" s="4"/>
      <c r="U106" s="4"/>
      <c r="V106" s="4"/>
    </row>
    <row r="107" spans="1:22" x14ac:dyDescent="0.2">
      <c r="A107" s="774"/>
      <c r="B107" s="4"/>
      <c r="C107" s="23"/>
      <c r="D107" s="23"/>
      <c r="E107" s="23"/>
      <c r="F107" s="23"/>
      <c r="G107" s="23"/>
      <c r="H107" s="23"/>
      <c r="I107" s="23"/>
      <c r="J107" s="23"/>
      <c r="K107" s="23"/>
      <c r="L107" s="23"/>
      <c r="M107" s="23"/>
      <c r="N107" s="23"/>
      <c r="O107" s="23"/>
      <c r="P107" s="4"/>
      <c r="Q107" s="23"/>
      <c r="R107" s="23"/>
      <c r="S107" s="23"/>
      <c r="T107" s="4"/>
      <c r="U107" s="4"/>
      <c r="V107" s="4"/>
    </row>
    <row r="108" spans="1:22" x14ac:dyDescent="0.2">
      <c r="A108" s="774"/>
      <c r="B108" s="4"/>
      <c r="C108" s="23"/>
      <c r="D108" s="23"/>
      <c r="E108" s="23"/>
      <c r="F108" s="23"/>
      <c r="G108" s="23"/>
      <c r="H108" s="23"/>
      <c r="I108" s="23"/>
      <c r="J108" s="23"/>
      <c r="K108" s="23"/>
      <c r="L108" s="23"/>
      <c r="M108" s="23"/>
      <c r="N108" s="23"/>
      <c r="O108" s="23"/>
      <c r="P108" s="4"/>
      <c r="Q108" s="23"/>
      <c r="R108" s="23"/>
      <c r="S108" s="23"/>
      <c r="T108" s="4"/>
      <c r="U108" s="4"/>
      <c r="V108" s="4"/>
    </row>
    <row r="109" spans="1:22" x14ac:dyDescent="0.2">
      <c r="A109" s="774"/>
      <c r="B109" s="4"/>
      <c r="C109" s="23"/>
      <c r="D109" s="23"/>
      <c r="E109" s="23"/>
      <c r="F109" s="23"/>
      <c r="G109" s="23"/>
      <c r="H109" s="23"/>
      <c r="I109" s="23"/>
      <c r="J109" s="23"/>
      <c r="K109" s="23"/>
      <c r="L109" s="23"/>
      <c r="M109" s="23"/>
      <c r="N109" s="23"/>
      <c r="O109" s="23"/>
      <c r="P109" s="4"/>
      <c r="Q109" s="23"/>
      <c r="R109" s="23"/>
      <c r="S109" s="23"/>
      <c r="T109" s="4"/>
      <c r="U109" s="4"/>
      <c r="V109" s="4"/>
    </row>
    <row r="110" spans="1:22" x14ac:dyDescent="0.2">
      <c r="A110" s="774"/>
      <c r="B110" s="4"/>
      <c r="C110" s="23"/>
      <c r="D110" s="23"/>
      <c r="E110" s="23"/>
      <c r="F110" s="23"/>
      <c r="G110" s="23"/>
      <c r="H110" s="23"/>
      <c r="I110" s="23"/>
      <c r="J110" s="23"/>
      <c r="K110" s="23"/>
      <c r="L110" s="23"/>
      <c r="M110" s="23"/>
      <c r="N110" s="23"/>
      <c r="O110" s="23"/>
      <c r="P110" s="4"/>
      <c r="Q110" s="23"/>
      <c r="R110" s="23"/>
      <c r="S110" s="23"/>
      <c r="T110" s="4"/>
      <c r="U110" s="4"/>
      <c r="V110" s="4"/>
    </row>
    <row r="111" spans="1:22" x14ac:dyDescent="0.2">
      <c r="A111" s="774"/>
      <c r="B111" s="4"/>
      <c r="C111" s="23"/>
      <c r="D111" s="23"/>
      <c r="E111" s="23"/>
      <c r="F111" s="23"/>
      <c r="G111" s="23"/>
      <c r="H111" s="23"/>
      <c r="I111" s="23"/>
      <c r="J111" s="23"/>
      <c r="K111" s="23"/>
      <c r="L111" s="23"/>
      <c r="M111" s="23"/>
      <c r="N111" s="23"/>
      <c r="O111" s="23"/>
      <c r="P111" s="4"/>
      <c r="Q111" s="23"/>
      <c r="R111" s="23"/>
      <c r="S111" s="23"/>
      <c r="T111" s="4"/>
      <c r="U111" s="4"/>
      <c r="V111" s="4"/>
    </row>
    <row r="112" spans="1:22" x14ac:dyDescent="0.2">
      <c r="A112" s="774"/>
      <c r="B112" s="4"/>
      <c r="C112" s="23"/>
      <c r="D112" s="23"/>
      <c r="E112" s="23"/>
      <c r="F112" s="23"/>
      <c r="G112" s="23"/>
      <c r="H112" s="23"/>
      <c r="I112" s="23"/>
      <c r="J112" s="23"/>
      <c r="K112" s="23"/>
      <c r="L112" s="23"/>
      <c r="M112" s="23"/>
      <c r="N112" s="23"/>
      <c r="O112" s="23"/>
      <c r="P112" s="4"/>
      <c r="Q112" s="23"/>
      <c r="R112" s="23"/>
      <c r="S112" s="23"/>
      <c r="T112" s="4"/>
      <c r="U112" s="4"/>
      <c r="V112" s="4"/>
    </row>
    <row r="113" spans="1:22" x14ac:dyDescent="0.2">
      <c r="A113" s="774"/>
      <c r="B113" s="4"/>
      <c r="C113" s="23"/>
      <c r="D113" s="23"/>
      <c r="E113" s="23"/>
      <c r="F113" s="23"/>
      <c r="G113" s="23"/>
      <c r="H113" s="23"/>
      <c r="I113" s="23"/>
      <c r="J113" s="23"/>
      <c r="K113" s="23"/>
      <c r="L113" s="23"/>
      <c r="M113" s="23"/>
      <c r="N113" s="23"/>
      <c r="O113" s="23"/>
      <c r="P113" s="4"/>
      <c r="Q113" s="23"/>
      <c r="R113" s="23"/>
      <c r="S113" s="23"/>
      <c r="T113" s="4"/>
      <c r="U113" s="4"/>
      <c r="V113" s="4"/>
    </row>
    <row r="114" spans="1:22" x14ac:dyDescent="0.2">
      <c r="A114" s="774"/>
      <c r="B114" s="4"/>
      <c r="C114" s="23"/>
      <c r="D114" s="23"/>
      <c r="E114" s="23"/>
      <c r="F114" s="23"/>
      <c r="G114" s="23"/>
      <c r="H114" s="23"/>
      <c r="I114" s="23"/>
      <c r="J114" s="23"/>
      <c r="K114" s="23"/>
      <c r="L114" s="23"/>
      <c r="M114" s="23"/>
      <c r="N114" s="23"/>
      <c r="O114" s="23"/>
      <c r="P114" s="4"/>
      <c r="Q114" s="23"/>
      <c r="R114" s="23"/>
      <c r="S114" s="23"/>
      <c r="T114" s="4"/>
      <c r="U114" s="4"/>
      <c r="V114" s="4"/>
    </row>
    <row r="115" spans="1:22" x14ac:dyDescent="0.2">
      <c r="A115" s="774"/>
      <c r="B115" s="4"/>
      <c r="C115" s="23"/>
      <c r="D115" s="23"/>
      <c r="E115" s="23"/>
      <c r="F115" s="23"/>
      <c r="G115" s="23"/>
      <c r="H115" s="23"/>
      <c r="I115" s="23"/>
      <c r="J115" s="23"/>
      <c r="K115" s="23"/>
      <c r="L115" s="23"/>
      <c r="M115" s="23"/>
      <c r="N115" s="23"/>
      <c r="O115" s="23"/>
      <c r="P115" s="4"/>
      <c r="Q115" s="23"/>
      <c r="R115" s="23"/>
      <c r="S115" s="23"/>
      <c r="T115" s="4"/>
      <c r="U115" s="4"/>
      <c r="V115" s="4"/>
    </row>
    <row r="116" spans="1:22" x14ac:dyDescent="0.2">
      <c r="A116" s="774"/>
      <c r="B116" s="4"/>
      <c r="C116" s="23"/>
      <c r="D116" s="23"/>
      <c r="E116" s="23"/>
      <c r="F116" s="23"/>
      <c r="G116" s="23"/>
      <c r="H116" s="23"/>
      <c r="I116" s="23"/>
      <c r="J116" s="23"/>
      <c r="K116" s="23"/>
      <c r="L116" s="23"/>
      <c r="M116" s="23"/>
      <c r="N116" s="23"/>
      <c r="O116" s="23"/>
      <c r="P116" s="4"/>
      <c r="Q116" s="23"/>
      <c r="R116" s="23"/>
      <c r="S116" s="23"/>
      <c r="T116" s="4"/>
      <c r="U116" s="4"/>
      <c r="V116" s="4"/>
    </row>
    <row r="117" spans="1:22" x14ac:dyDescent="0.2">
      <c r="A117" s="774"/>
      <c r="B117" s="4"/>
      <c r="C117" s="23"/>
      <c r="D117" s="23"/>
      <c r="E117" s="23"/>
      <c r="F117" s="23"/>
      <c r="G117" s="23"/>
      <c r="H117" s="23"/>
      <c r="I117" s="23"/>
      <c r="J117" s="23"/>
      <c r="K117" s="23"/>
      <c r="L117" s="23"/>
      <c r="M117" s="23"/>
      <c r="N117" s="23"/>
      <c r="O117" s="23"/>
      <c r="P117" s="4"/>
      <c r="Q117" s="23"/>
      <c r="R117" s="23"/>
      <c r="S117" s="23"/>
      <c r="T117" s="4"/>
      <c r="U117" s="4"/>
      <c r="V117" s="4"/>
    </row>
    <row r="118" spans="1:22" x14ac:dyDescent="0.2">
      <c r="A118" s="774"/>
      <c r="B118" s="4"/>
      <c r="C118" s="23"/>
      <c r="D118" s="23"/>
      <c r="E118" s="23"/>
      <c r="F118" s="23"/>
      <c r="G118" s="23"/>
      <c r="H118" s="23"/>
      <c r="I118" s="23"/>
      <c r="J118" s="23"/>
      <c r="K118" s="23"/>
      <c r="L118" s="23"/>
      <c r="M118" s="23"/>
      <c r="N118" s="23"/>
      <c r="O118" s="23"/>
      <c r="P118" s="4"/>
      <c r="Q118" s="23"/>
      <c r="R118" s="23"/>
      <c r="S118" s="23"/>
      <c r="T118" s="4"/>
      <c r="U118" s="4"/>
      <c r="V118" s="4"/>
    </row>
    <row r="119" spans="1:22" x14ac:dyDescent="0.2">
      <c r="A119" s="774"/>
      <c r="B119" s="4"/>
      <c r="C119" s="23"/>
      <c r="D119" s="23"/>
      <c r="E119" s="23"/>
      <c r="F119" s="23"/>
      <c r="G119" s="23"/>
      <c r="H119" s="23"/>
      <c r="I119" s="23"/>
      <c r="J119" s="23"/>
      <c r="K119" s="23"/>
      <c r="L119" s="23"/>
      <c r="M119" s="23"/>
      <c r="N119" s="23"/>
      <c r="O119" s="23"/>
      <c r="P119" s="4"/>
      <c r="Q119" s="23"/>
      <c r="R119" s="23"/>
      <c r="S119" s="23"/>
      <c r="T119" s="4"/>
      <c r="U119" s="4"/>
      <c r="V119" s="4"/>
    </row>
    <row r="120" spans="1:22" x14ac:dyDescent="0.2">
      <c r="A120" s="774"/>
      <c r="B120" s="4"/>
      <c r="C120" s="23"/>
      <c r="D120" s="23"/>
      <c r="E120" s="23"/>
      <c r="F120" s="23"/>
      <c r="G120" s="23"/>
      <c r="H120" s="23"/>
      <c r="I120" s="23"/>
      <c r="J120" s="23"/>
      <c r="K120" s="23"/>
      <c r="L120" s="23"/>
      <c r="M120" s="23"/>
      <c r="N120" s="23"/>
      <c r="O120" s="23"/>
      <c r="P120" s="4"/>
      <c r="Q120" s="23"/>
      <c r="R120" s="23"/>
      <c r="S120" s="23"/>
      <c r="T120" s="4"/>
      <c r="U120" s="4"/>
      <c r="V120" s="4"/>
    </row>
    <row r="121" spans="1:22" x14ac:dyDescent="0.2">
      <c r="A121" s="774"/>
      <c r="B121" s="4"/>
      <c r="C121" s="23"/>
      <c r="D121" s="23"/>
      <c r="E121" s="23"/>
      <c r="F121" s="23"/>
      <c r="G121" s="23"/>
      <c r="H121" s="23"/>
      <c r="I121" s="23"/>
      <c r="J121" s="23"/>
      <c r="K121" s="23"/>
      <c r="L121" s="23"/>
      <c r="M121" s="23"/>
      <c r="N121" s="23"/>
      <c r="O121" s="23"/>
      <c r="P121" s="4"/>
      <c r="Q121" s="23"/>
      <c r="R121" s="23"/>
      <c r="S121" s="23"/>
      <c r="T121" s="4"/>
      <c r="U121" s="4"/>
      <c r="V121" s="4"/>
    </row>
    <row r="122" spans="1:22" x14ac:dyDescent="0.2">
      <c r="A122" s="774"/>
      <c r="B122" s="4"/>
      <c r="C122" s="23"/>
      <c r="D122" s="23"/>
      <c r="E122" s="23"/>
      <c r="F122" s="23"/>
      <c r="G122" s="23"/>
      <c r="H122" s="23"/>
      <c r="I122" s="23"/>
      <c r="J122" s="23"/>
      <c r="K122" s="23"/>
      <c r="L122" s="23"/>
      <c r="M122" s="23"/>
      <c r="N122" s="23"/>
      <c r="O122" s="23"/>
      <c r="P122" s="4"/>
      <c r="Q122" s="23"/>
      <c r="R122" s="23"/>
      <c r="S122" s="23"/>
      <c r="T122" s="4"/>
      <c r="U122" s="4"/>
      <c r="V122" s="4"/>
    </row>
    <row r="123" spans="1:22" x14ac:dyDescent="0.2">
      <c r="A123" s="774"/>
      <c r="B123" s="4"/>
      <c r="C123" s="23"/>
      <c r="D123" s="23"/>
      <c r="E123" s="23"/>
      <c r="F123" s="23"/>
      <c r="G123" s="23"/>
      <c r="H123" s="23"/>
      <c r="I123" s="23"/>
      <c r="J123" s="23"/>
      <c r="K123" s="23"/>
      <c r="L123" s="23"/>
      <c r="M123" s="23"/>
      <c r="N123" s="23"/>
      <c r="O123" s="23"/>
      <c r="P123" s="4"/>
      <c r="Q123" s="23"/>
      <c r="R123" s="23"/>
      <c r="S123" s="23"/>
      <c r="T123" s="4"/>
      <c r="U123" s="4"/>
      <c r="V123" s="4"/>
    </row>
    <row r="124" spans="1:22" x14ac:dyDescent="0.2">
      <c r="A124" s="774"/>
      <c r="B124" s="4"/>
      <c r="C124" s="23"/>
      <c r="D124" s="23"/>
      <c r="E124" s="23"/>
      <c r="F124" s="23"/>
      <c r="G124" s="23"/>
      <c r="H124" s="23"/>
      <c r="I124" s="23"/>
      <c r="J124" s="23"/>
      <c r="K124" s="23"/>
      <c r="L124" s="23"/>
      <c r="M124" s="23"/>
      <c r="N124" s="23"/>
      <c r="O124" s="23"/>
      <c r="P124" s="4"/>
      <c r="Q124" s="23"/>
      <c r="R124" s="23"/>
      <c r="S124" s="23"/>
      <c r="T124" s="4"/>
      <c r="U124" s="4"/>
      <c r="V124" s="4"/>
    </row>
    <row r="125" spans="1:22" x14ac:dyDescent="0.2">
      <c r="A125" s="774"/>
      <c r="B125" s="4"/>
      <c r="C125" s="23"/>
      <c r="D125" s="23"/>
      <c r="E125" s="23"/>
      <c r="F125" s="23"/>
      <c r="G125" s="23"/>
      <c r="H125" s="23"/>
      <c r="I125" s="23"/>
      <c r="J125" s="23"/>
      <c r="K125" s="23"/>
      <c r="L125" s="23"/>
      <c r="M125" s="23"/>
      <c r="N125" s="23"/>
      <c r="O125" s="23"/>
      <c r="P125" s="4"/>
      <c r="Q125" s="23"/>
      <c r="R125" s="23"/>
      <c r="S125" s="23"/>
      <c r="T125" s="4"/>
      <c r="U125" s="4"/>
      <c r="V125" s="4"/>
    </row>
    <row r="126" spans="1:22" x14ac:dyDescent="0.2">
      <c r="A126" s="774"/>
      <c r="B126" s="4"/>
      <c r="C126" s="23"/>
      <c r="D126" s="23"/>
      <c r="E126" s="23"/>
      <c r="F126" s="23"/>
      <c r="G126" s="23"/>
      <c r="H126" s="23"/>
      <c r="I126" s="23"/>
      <c r="J126" s="23"/>
      <c r="K126" s="23"/>
      <c r="L126" s="23"/>
      <c r="M126" s="23"/>
      <c r="N126" s="23"/>
      <c r="O126" s="23"/>
      <c r="P126" s="4"/>
      <c r="Q126" s="23"/>
      <c r="R126" s="23"/>
      <c r="S126" s="23"/>
      <c r="T126" s="4"/>
      <c r="U126" s="4"/>
      <c r="V126" s="4"/>
    </row>
    <row r="127" spans="1:22" x14ac:dyDescent="0.2">
      <c r="A127" s="774"/>
      <c r="B127" s="4"/>
      <c r="C127" s="23"/>
      <c r="D127" s="23"/>
      <c r="E127" s="23"/>
      <c r="F127" s="23"/>
      <c r="G127" s="23"/>
      <c r="H127" s="23"/>
      <c r="I127" s="23"/>
      <c r="J127" s="23"/>
      <c r="K127" s="23"/>
      <c r="L127" s="23"/>
      <c r="M127" s="23"/>
      <c r="N127" s="23"/>
      <c r="O127" s="23"/>
      <c r="P127" s="4"/>
      <c r="Q127" s="23"/>
      <c r="R127" s="23"/>
      <c r="S127" s="23"/>
      <c r="T127" s="4"/>
      <c r="U127" s="4"/>
      <c r="V127" s="4"/>
    </row>
    <row r="128" spans="1:22" x14ac:dyDescent="0.2">
      <c r="A128" s="774"/>
      <c r="B128" s="4"/>
      <c r="C128" s="23"/>
      <c r="D128" s="23"/>
      <c r="E128" s="23"/>
      <c r="F128" s="23"/>
      <c r="G128" s="23"/>
      <c r="H128" s="23"/>
      <c r="I128" s="23"/>
      <c r="J128" s="23"/>
      <c r="K128" s="23"/>
      <c r="L128" s="23"/>
      <c r="M128" s="23"/>
      <c r="N128" s="23"/>
      <c r="O128" s="23"/>
      <c r="P128" s="4"/>
      <c r="Q128" s="23"/>
      <c r="R128" s="23"/>
      <c r="S128" s="23"/>
      <c r="T128" s="4"/>
      <c r="U128" s="4"/>
      <c r="V128" s="4"/>
    </row>
    <row r="129" spans="1:22" x14ac:dyDescent="0.2">
      <c r="A129" s="774"/>
      <c r="B129" s="4"/>
      <c r="C129" s="23"/>
      <c r="D129" s="23"/>
      <c r="E129" s="23"/>
      <c r="F129" s="23"/>
      <c r="G129" s="23"/>
      <c r="H129" s="23"/>
      <c r="I129" s="23"/>
      <c r="J129" s="23"/>
      <c r="K129" s="23"/>
      <c r="L129" s="23"/>
      <c r="M129" s="23"/>
      <c r="N129" s="23"/>
      <c r="O129" s="23"/>
      <c r="P129" s="4"/>
      <c r="Q129" s="23"/>
      <c r="R129" s="23"/>
      <c r="S129" s="23"/>
      <c r="T129" s="4"/>
      <c r="U129" s="4"/>
      <c r="V129" s="4"/>
    </row>
    <row r="130" spans="1:22" x14ac:dyDescent="0.2">
      <c r="A130" s="774"/>
      <c r="B130" s="4"/>
      <c r="C130" s="23"/>
      <c r="D130" s="23"/>
      <c r="E130" s="23"/>
      <c r="F130" s="23"/>
      <c r="G130" s="23"/>
      <c r="H130" s="23"/>
      <c r="I130" s="23"/>
      <c r="J130" s="23"/>
      <c r="K130" s="23"/>
      <c r="L130" s="23"/>
      <c r="M130" s="23"/>
      <c r="N130" s="23"/>
      <c r="O130" s="23"/>
      <c r="P130" s="4"/>
      <c r="Q130" s="23"/>
      <c r="R130" s="23"/>
      <c r="S130" s="23"/>
      <c r="T130" s="4"/>
      <c r="U130" s="4"/>
      <c r="V130" s="4"/>
    </row>
    <row r="131" spans="1:22" x14ac:dyDescent="0.2">
      <c r="A131" s="774"/>
      <c r="B131" s="4"/>
      <c r="C131" s="23"/>
      <c r="D131" s="23"/>
      <c r="E131" s="23"/>
      <c r="F131" s="23"/>
      <c r="G131" s="23"/>
      <c r="H131" s="23"/>
      <c r="I131" s="23"/>
      <c r="J131" s="23"/>
      <c r="K131" s="23"/>
      <c r="L131" s="23"/>
      <c r="M131" s="23"/>
      <c r="N131" s="23"/>
      <c r="O131" s="23"/>
      <c r="P131" s="4"/>
      <c r="Q131" s="23"/>
      <c r="R131" s="23"/>
      <c r="S131" s="23"/>
      <c r="T131" s="4"/>
      <c r="U131" s="4"/>
      <c r="V131" s="4"/>
    </row>
    <row r="132" spans="1:22" x14ac:dyDescent="0.2">
      <c r="A132" s="774"/>
      <c r="B132" s="4"/>
      <c r="C132" s="23"/>
      <c r="D132" s="23"/>
      <c r="E132" s="23"/>
      <c r="F132" s="23"/>
      <c r="G132" s="23"/>
      <c r="H132" s="23"/>
      <c r="I132" s="23"/>
      <c r="J132" s="23"/>
      <c r="K132" s="23"/>
      <c r="L132" s="23"/>
      <c r="M132" s="23"/>
      <c r="N132" s="23"/>
      <c r="O132" s="23"/>
      <c r="P132" s="4"/>
      <c r="Q132" s="23"/>
      <c r="R132" s="23"/>
      <c r="S132" s="23"/>
      <c r="T132" s="4"/>
      <c r="U132" s="4"/>
      <c r="V132" s="4"/>
    </row>
    <row r="133" spans="1:22" x14ac:dyDescent="0.2">
      <c r="A133" s="774"/>
      <c r="B133" s="4"/>
      <c r="C133" s="23"/>
      <c r="D133" s="23"/>
      <c r="E133" s="23"/>
      <c r="F133" s="23"/>
      <c r="G133" s="23"/>
      <c r="H133" s="23"/>
      <c r="I133" s="23"/>
      <c r="J133" s="23"/>
      <c r="K133" s="23"/>
      <c r="L133" s="23"/>
      <c r="M133" s="23"/>
      <c r="N133" s="23"/>
      <c r="O133" s="23"/>
      <c r="P133" s="4"/>
      <c r="Q133" s="23"/>
      <c r="R133" s="23"/>
      <c r="S133" s="23"/>
      <c r="T133" s="4"/>
      <c r="U133" s="4"/>
      <c r="V133" s="4"/>
    </row>
    <row r="134" spans="1:22" x14ac:dyDescent="0.2">
      <c r="A134" s="774"/>
      <c r="B134" s="4"/>
      <c r="C134" s="23"/>
      <c r="D134" s="23"/>
      <c r="E134" s="23"/>
      <c r="F134" s="23"/>
      <c r="G134" s="23"/>
      <c r="H134" s="23"/>
      <c r="I134" s="23"/>
      <c r="J134" s="23"/>
      <c r="K134" s="23"/>
      <c r="L134" s="23"/>
      <c r="M134" s="23"/>
      <c r="N134" s="23"/>
      <c r="O134" s="23"/>
      <c r="P134" s="4"/>
      <c r="Q134" s="23"/>
      <c r="R134" s="23"/>
      <c r="S134" s="23"/>
      <c r="T134" s="4"/>
      <c r="U134" s="4"/>
      <c r="V134" s="4"/>
    </row>
    <row r="135" spans="1:22" x14ac:dyDescent="0.2">
      <c r="A135" s="774"/>
      <c r="B135" s="4"/>
      <c r="C135" s="23"/>
      <c r="D135" s="23"/>
      <c r="E135" s="23"/>
      <c r="F135" s="23"/>
      <c r="G135" s="23"/>
      <c r="H135" s="23"/>
      <c r="I135" s="23"/>
      <c r="J135" s="23"/>
      <c r="K135" s="23"/>
      <c r="L135" s="23"/>
      <c r="M135" s="23"/>
      <c r="N135" s="23"/>
      <c r="O135" s="23"/>
      <c r="P135" s="4"/>
      <c r="Q135" s="23"/>
      <c r="R135" s="23"/>
      <c r="S135" s="23"/>
      <c r="T135" s="4"/>
      <c r="U135" s="4"/>
      <c r="V135" s="4"/>
    </row>
    <row r="136" spans="1:22" x14ac:dyDescent="0.2">
      <c r="C136" s="212"/>
      <c r="D136" s="212"/>
      <c r="E136" s="212"/>
      <c r="F136" s="212"/>
      <c r="G136" s="212"/>
      <c r="H136" s="212"/>
      <c r="I136" s="212"/>
      <c r="J136" s="212"/>
      <c r="K136" s="212"/>
      <c r="L136" s="212"/>
      <c r="M136" s="212"/>
      <c r="N136" s="212"/>
      <c r="O136" s="212"/>
    </row>
    <row r="137" spans="1:22" x14ac:dyDescent="0.2">
      <c r="C137" s="212"/>
      <c r="D137" s="212"/>
      <c r="E137" s="212"/>
      <c r="F137" s="212"/>
      <c r="G137" s="212"/>
      <c r="H137" s="212"/>
      <c r="I137" s="212"/>
      <c r="J137" s="212"/>
      <c r="K137" s="212"/>
      <c r="L137" s="212"/>
      <c r="M137" s="212"/>
      <c r="N137" s="212"/>
      <c r="O137" s="212"/>
    </row>
    <row r="138" spans="1:22" x14ac:dyDescent="0.2">
      <c r="C138" s="212"/>
      <c r="D138" s="212"/>
      <c r="E138" s="212"/>
      <c r="F138" s="212"/>
      <c r="G138" s="212"/>
      <c r="H138" s="212"/>
      <c r="I138" s="212"/>
      <c r="J138" s="212"/>
      <c r="K138" s="212"/>
      <c r="L138" s="212"/>
      <c r="M138" s="212"/>
      <c r="N138" s="212"/>
      <c r="O138" s="212"/>
    </row>
    <row r="139" spans="1:22" x14ac:dyDescent="0.2">
      <c r="C139" s="212"/>
      <c r="D139" s="212"/>
      <c r="E139" s="212"/>
      <c r="F139" s="212"/>
      <c r="G139" s="212"/>
      <c r="H139" s="212"/>
      <c r="I139" s="212"/>
      <c r="J139" s="212"/>
      <c r="K139" s="212"/>
      <c r="L139" s="212"/>
      <c r="M139" s="212"/>
      <c r="N139" s="212"/>
      <c r="O139" s="212"/>
    </row>
    <row r="140" spans="1:22" x14ac:dyDescent="0.2">
      <c r="C140" s="212"/>
      <c r="D140" s="212"/>
      <c r="E140" s="212"/>
      <c r="F140" s="212"/>
      <c r="G140" s="212"/>
      <c r="H140" s="212"/>
      <c r="I140" s="212"/>
      <c r="J140" s="212"/>
      <c r="K140" s="212"/>
      <c r="L140" s="212"/>
      <c r="M140" s="212"/>
      <c r="N140" s="212"/>
      <c r="O140" s="212"/>
    </row>
    <row r="141" spans="1:22" x14ac:dyDescent="0.2">
      <c r="C141" s="212"/>
      <c r="D141" s="212"/>
      <c r="E141" s="212"/>
      <c r="F141" s="212"/>
      <c r="G141" s="212"/>
      <c r="H141" s="212"/>
      <c r="I141" s="212"/>
      <c r="J141" s="212"/>
      <c r="K141" s="212"/>
      <c r="L141" s="212"/>
      <c r="M141" s="212"/>
      <c r="N141" s="212"/>
      <c r="O141" s="212"/>
    </row>
    <row r="142" spans="1:22" x14ac:dyDescent="0.2">
      <c r="C142" s="212"/>
      <c r="D142" s="212"/>
      <c r="E142" s="212"/>
      <c r="F142" s="212"/>
      <c r="G142" s="212"/>
      <c r="H142" s="212"/>
      <c r="I142" s="212"/>
      <c r="J142" s="212"/>
      <c r="K142" s="212"/>
      <c r="L142" s="212"/>
      <c r="M142" s="212"/>
      <c r="N142" s="212"/>
      <c r="O142" s="212"/>
    </row>
    <row r="143" spans="1:22" x14ac:dyDescent="0.2">
      <c r="C143" s="212"/>
      <c r="D143" s="212"/>
      <c r="E143" s="212"/>
      <c r="F143" s="212"/>
      <c r="G143" s="212"/>
      <c r="H143" s="212"/>
      <c r="I143" s="212"/>
      <c r="J143" s="212"/>
      <c r="K143" s="212"/>
      <c r="L143" s="212"/>
      <c r="M143" s="212"/>
      <c r="N143" s="212"/>
      <c r="O143" s="212"/>
    </row>
    <row r="144" spans="1:22" x14ac:dyDescent="0.2">
      <c r="C144" s="212"/>
      <c r="D144" s="212"/>
      <c r="E144" s="212"/>
      <c r="F144" s="212"/>
      <c r="G144" s="212"/>
      <c r="H144" s="212"/>
      <c r="I144" s="212"/>
      <c r="J144" s="212"/>
      <c r="K144" s="212"/>
      <c r="L144" s="212"/>
      <c r="M144" s="212"/>
      <c r="N144" s="212"/>
      <c r="O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row r="160" spans="3:3" x14ac:dyDescent="0.2">
      <c r="C160" s="212"/>
    </row>
    <row r="161" spans="3:3" x14ac:dyDescent="0.2">
      <c r="C161" s="212"/>
    </row>
    <row r="162" spans="3:3" x14ac:dyDescent="0.2">
      <c r="C162" s="212"/>
    </row>
    <row r="163" spans="3:3" x14ac:dyDescent="0.2">
      <c r="C163" s="212"/>
    </row>
    <row r="164" spans="3:3" x14ac:dyDescent="0.2">
      <c r="C164" s="212"/>
    </row>
    <row r="165" spans="3:3" x14ac:dyDescent="0.2">
      <c r="C165" s="212"/>
    </row>
    <row r="166" spans="3:3" x14ac:dyDescent="0.2">
      <c r="C166" s="212"/>
    </row>
    <row r="167" spans="3:3" x14ac:dyDescent="0.2">
      <c r="C167" s="212"/>
    </row>
    <row r="168" spans="3:3" x14ac:dyDescent="0.2">
      <c r="C168" s="212"/>
    </row>
    <row r="169" spans="3:3" x14ac:dyDescent="0.2">
      <c r="C169" s="212"/>
    </row>
    <row r="170" spans="3:3" x14ac:dyDescent="0.2">
      <c r="C170" s="212"/>
    </row>
    <row r="171" spans="3:3" x14ac:dyDescent="0.2">
      <c r="C171" s="212"/>
    </row>
    <row r="172" spans="3:3" x14ac:dyDescent="0.2">
      <c r="C172" s="212"/>
    </row>
    <row r="173" spans="3:3" x14ac:dyDescent="0.2">
      <c r="C173" s="212"/>
    </row>
    <row r="174" spans="3:3" x14ac:dyDescent="0.2">
      <c r="C174" s="212"/>
    </row>
    <row r="175" spans="3:3" x14ac:dyDescent="0.2">
      <c r="C175" s="212"/>
    </row>
    <row r="176" spans="3:3" x14ac:dyDescent="0.2">
      <c r="C176" s="212"/>
    </row>
    <row r="177" spans="3:3" x14ac:dyDescent="0.2">
      <c r="C177" s="212"/>
    </row>
  </sheetData>
  <phoneticPr fontId="0" type="noConversion"/>
  <hyperlinks>
    <hyperlink ref="A1" location="'Working Budget with funding det'!A1" display="Main " xr:uid="{00000000-0004-0000-3300-000000000000}"/>
    <hyperlink ref="B1" location="'Table of Contents'!A1" display="TOC" xr:uid="{00000000-0004-0000-3300-000001000000}"/>
  </hyperlinks>
  <pageMargins left="0.75" right="0.75" top="1" bottom="1" header="0.5" footer="0.5"/>
  <pageSetup scale="83" fitToHeight="2" orientation="landscape" horizontalDpi="300" verticalDpi="300" r:id="rId1"/>
  <headerFooter alignWithMargins="0">
    <oddFooter>&amp;L&amp;D     &amp;T&amp;C&amp;F&amp;R&amp;A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B050"/>
    <pageSetUpPr fitToPage="1"/>
  </sheetPr>
  <dimension ref="A1:W186"/>
  <sheetViews>
    <sheetView topLeftCell="B4" workbookViewId="0">
      <selection activeCell="P15" sqref="P15"/>
    </sheetView>
  </sheetViews>
  <sheetFormatPr defaultRowHeight="12.75" x14ac:dyDescent="0.2"/>
  <cols>
    <col min="1" max="1" width="9.5" style="783" bestFit="1" customWidth="1"/>
    <col min="2" max="2" width="36.6640625" customWidth="1"/>
    <col min="3" max="3" width="14.5" style="1" hidden="1" customWidth="1"/>
    <col min="4" max="12" width="14.5" style="106" hidden="1" customWidth="1"/>
    <col min="13" max="15" width="14.5" style="106" customWidth="1"/>
    <col min="16" max="16" width="14.5" customWidth="1"/>
    <col min="17" max="19" width="14.5" style="1" customWidth="1"/>
    <col min="20" max="22" width="14.5" customWidth="1"/>
    <col min="23" max="23" width="14.6640625" style="2" customWidth="1"/>
  </cols>
  <sheetData>
    <row r="1" spans="1:22" x14ac:dyDescent="0.2">
      <c r="A1" s="772" t="s">
        <v>847</v>
      </c>
      <c r="B1" s="308" t="s">
        <v>197</v>
      </c>
      <c r="D1" s="212"/>
      <c r="E1" s="212"/>
      <c r="F1" s="212"/>
      <c r="G1" s="212"/>
      <c r="H1" s="212"/>
      <c r="I1" s="212"/>
      <c r="J1" s="212"/>
      <c r="K1" s="212"/>
      <c r="L1" s="212"/>
      <c r="M1" s="212"/>
      <c r="N1" s="212"/>
      <c r="O1" s="212"/>
      <c r="S1"/>
    </row>
    <row r="2" spans="1:22" ht="15" x14ac:dyDescent="0.25">
      <c r="A2" s="773" t="s">
        <v>1596</v>
      </c>
      <c r="B2" s="43"/>
      <c r="D2" s="212"/>
      <c r="E2" s="126"/>
      <c r="F2" s="212"/>
      <c r="G2" s="212"/>
      <c r="H2" s="212"/>
      <c r="I2" s="126" t="s">
        <v>816</v>
      </c>
      <c r="J2" s="126"/>
      <c r="K2" s="126"/>
      <c r="L2" s="126"/>
      <c r="M2" s="126"/>
      <c r="N2" s="126"/>
      <c r="O2" s="126"/>
      <c r="P2" s="58" t="s">
        <v>1608</v>
      </c>
      <c r="S2" s="44" t="s">
        <v>1609</v>
      </c>
    </row>
    <row r="3" spans="1:22" ht="13.5" thickBot="1" x14ac:dyDescent="0.25">
      <c r="A3" s="774"/>
      <c r="B3" s="4"/>
      <c r="C3" s="23"/>
      <c r="D3" s="23"/>
      <c r="E3" s="23"/>
      <c r="F3" s="23"/>
      <c r="G3" s="23"/>
      <c r="H3" s="23"/>
      <c r="I3" s="23"/>
      <c r="J3" s="23"/>
      <c r="K3" s="23"/>
      <c r="L3" s="23"/>
      <c r="M3" s="23"/>
      <c r="N3" s="23"/>
      <c r="O3" s="23"/>
      <c r="P3" s="4"/>
      <c r="Q3" s="23"/>
      <c r="R3" s="23"/>
      <c r="S3" s="4"/>
      <c r="V3" s="4"/>
    </row>
    <row r="4" spans="1:22"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2" x14ac:dyDescent="0.2">
      <c r="A5" s="776"/>
      <c r="B5" s="202"/>
      <c r="C5" s="113"/>
      <c r="D5" s="82"/>
      <c r="E5" s="82"/>
      <c r="F5" s="82"/>
      <c r="G5" s="82"/>
      <c r="H5" s="105"/>
      <c r="I5" s="247"/>
      <c r="J5" s="247"/>
      <c r="K5" s="247"/>
      <c r="L5" s="247"/>
      <c r="M5" s="247"/>
      <c r="N5" s="247"/>
      <c r="O5" s="247"/>
      <c r="P5" s="105" t="s">
        <v>819</v>
      </c>
      <c r="Q5" s="83" t="s">
        <v>820</v>
      </c>
      <c r="R5" s="83" t="s">
        <v>821</v>
      </c>
      <c r="S5" s="196" t="s">
        <v>822</v>
      </c>
    </row>
    <row r="6" spans="1:22" x14ac:dyDescent="0.2">
      <c r="A6" s="776"/>
      <c r="B6" s="202"/>
      <c r="C6" s="113"/>
      <c r="D6" s="113"/>
      <c r="E6" s="113"/>
      <c r="F6" s="113"/>
      <c r="G6" s="113"/>
      <c r="H6" s="113"/>
      <c r="I6" s="83"/>
      <c r="J6" s="83"/>
      <c r="K6" s="83"/>
      <c r="L6" s="83"/>
      <c r="M6" s="83"/>
      <c r="N6" s="83"/>
      <c r="O6" s="83"/>
      <c r="P6" s="113"/>
      <c r="Q6" s="83" t="s">
        <v>823</v>
      </c>
      <c r="R6" s="83" t="s">
        <v>585</v>
      </c>
      <c r="S6" s="45" t="s">
        <v>824</v>
      </c>
    </row>
    <row r="7" spans="1:22"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2" ht="13.5" thickTop="1" x14ac:dyDescent="0.2">
      <c r="A8" s="796"/>
      <c r="B8" s="203"/>
      <c r="C8" s="118"/>
      <c r="D8" s="18"/>
      <c r="E8" s="18"/>
      <c r="F8" s="18"/>
      <c r="G8" s="18"/>
      <c r="H8" s="18"/>
      <c r="I8" s="19"/>
      <c r="J8" s="19"/>
      <c r="K8" s="19"/>
      <c r="L8" s="19"/>
      <c r="M8" s="19"/>
      <c r="N8" s="19"/>
      <c r="O8" s="19"/>
      <c r="P8" s="18"/>
      <c r="Q8" s="19"/>
      <c r="R8" s="19"/>
      <c r="S8" s="19"/>
    </row>
    <row r="9" spans="1:22" x14ac:dyDescent="0.2">
      <c r="A9" s="796">
        <v>5740</v>
      </c>
      <c r="B9" s="102" t="s">
        <v>1610</v>
      </c>
      <c r="C9" s="118"/>
      <c r="D9" s="18">
        <v>0</v>
      </c>
      <c r="E9" s="18">
        <v>-3549.82</v>
      </c>
      <c r="F9" s="18">
        <v>84898.93</v>
      </c>
      <c r="G9" s="18">
        <v>87959.99</v>
      </c>
      <c r="H9" s="18">
        <v>95065.72</v>
      </c>
      <c r="I9" s="18">
        <v>85911.72</v>
      </c>
      <c r="J9" s="18">
        <v>92318.19</v>
      </c>
      <c r="K9" s="19">
        <v>96000</v>
      </c>
      <c r="L9" s="18">
        <v>108176.48</v>
      </c>
      <c r="M9" s="19">
        <v>115000</v>
      </c>
      <c r="N9" s="18">
        <v>104258.71</v>
      </c>
      <c r="O9" s="19">
        <v>119600</v>
      </c>
      <c r="P9" s="13">
        <v>94977</v>
      </c>
      <c r="Q9" s="19">
        <v>119600</v>
      </c>
      <c r="R9" s="19"/>
      <c r="S9" s="19"/>
    </row>
    <row r="10" spans="1:22" hidden="1" x14ac:dyDescent="0.2">
      <c r="A10" s="779">
        <v>5741</v>
      </c>
      <c r="B10" s="60" t="s">
        <v>1611</v>
      </c>
      <c r="C10" s="116">
        <v>21364.2</v>
      </c>
      <c r="D10" s="13">
        <v>15982.01</v>
      </c>
      <c r="E10" s="13">
        <v>42461.2</v>
      </c>
      <c r="F10" s="13"/>
      <c r="G10" s="13"/>
      <c r="H10" s="13"/>
      <c r="I10" s="13"/>
      <c r="J10" s="13"/>
      <c r="K10" s="14"/>
      <c r="L10" s="13"/>
      <c r="M10" s="14"/>
      <c r="N10" s="13"/>
      <c r="O10" s="14"/>
      <c r="P10" s="13"/>
      <c r="Q10" s="14"/>
      <c r="R10" s="14"/>
      <c r="S10" s="14"/>
    </row>
    <row r="11" spans="1:22" hidden="1" x14ac:dyDescent="0.2">
      <c r="A11" s="779">
        <v>5742</v>
      </c>
      <c r="B11" s="60" t="s">
        <v>1612</v>
      </c>
      <c r="C11" s="116">
        <v>17605.150000000001</v>
      </c>
      <c r="D11" s="13">
        <v>18724.45</v>
      </c>
      <c r="E11" s="13">
        <v>20577.13</v>
      </c>
      <c r="F11" s="13"/>
      <c r="G11" s="13"/>
      <c r="H11" s="13"/>
      <c r="I11" s="13"/>
      <c r="J11" s="13"/>
      <c r="K11" s="14"/>
      <c r="L11" s="13"/>
      <c r="M11" s="14"/>
      <c r="N11" s="13"/>
      <c r="O11" s="14"/>
      <c r="P11" s="13"/>
      <c r="Q11" s="14"/>
      <c r="R11" s="14"/>
      <c r="S11" s="14"/>
    </row>
    <row r="12" spans="1:22" hidden="1" x14ac:dyDescent="0.2">
      <c r="A12" s="779">
        <v>5743</v>
      </c>
      <c r="B12" s="60" t="s">
        <v>1613</v>
      </c>
      <c r="C12" s="116">
        <v>1000.35</v>
      </c>
      <c r="D12" s="13">
        <v>1005.96</v>
      </c>
      <c r="E12" s="13">
        <v>1030.95</v>
      </c>
      <c r="F12" s="13"/>
      <c r="G12" s="13"/>
      <c r="H12" s="13"/>
      <c r="I12" s="13"/>
      <c r="J12" s="13"/>
      <c r="K12" s="14"/>
      <c r="L12" s="13"/>
      <c r="M12" s="14"/>
      <c r="N12" s="13"/>
      <c r="O12" s="14"/>
      <c r="P12" s="13"/>
      <c r="Q12" s="14"/>
      <c r="R12" s="14"/>
      <c r="S12" s="14"/>
    </row>
    <row r="13" spans="1:22" hidden="1" x14ac:dyDescent="0.2">
      <c r="A13" s="779">
        <v>5744</v>
      </c>
      <c r="B13" s="60" t="s">
        <v>1614</v>
      </c>
      <c r="C13" s="116"/>
      <c r="D13" s="13">
        <v>12333.31</v>
      </c>
      <c r="E13" s="13"/>
      <c r="F13" s="13"/>
      <c r="G13" s="13"/>
      <c r="H13" s="13"/>
      <c r="I13" s="13"/>
      <c r="J13" s="13"/>
      <c r="K13" s="14"/>
      <c r="L13" s="13"/>
      <c r="M13" s="14"/>
      <c r="N13" s="13"/>
      <c r="O13" s="14"/>
      <c r="P13" s="13"/>
      <c r="Q13" s="14"/>
      <c r="R13" s="14"/>
      <c r="S13" s="14"/>
    </row>
    <row r="14" spans="1:22" hidden="1" x14ac:dyDescent="0.2">
      <c r="A14" s="779">
        <v>5745</v>
      </c>
      <c r="B14" s="60" t="s">
        <v>1615</v>
      </c>
      <c r="C14" s="116">
        <v>10976.55</v>
      </c>
      <c r="D14" s="13">
        <v>15601.73</v>
      </c>
      <c r="E14" s="13">
        <v>9612.56</v>
      </c>
      <c r="F14" s="13"/>
      <c r="G14" s="13"/>
      <c r="H14" s="13"/>
      <c r="I14" s="13"/>
      <c r="J14" s="13"/>
      <c r="K14" s="14"/>
      <c r="L14" s="13"/>
      <c r="M14" s="14"/>
      <c r="N14" s="13"/>
      <c r="O14" s="14"/>
      <c r="P14" s="13"/>
      <c r="Q14" s="14"/>
      <c r="R14" s="14"/>
      <c r="S14" s="14"/>
    </row>
    <row r="15" spans="1:22" hidden="1" x14ac:dyDescent="0.2">
      <c r="A15" s="779">
        <v>5746</v>
      </c>
      <c r="B15" s="60" t="s">
        <v>1616</v>
      </c>
      <c r="C15" s="116">
        <v>10922.15</v>
      </c>
      <c r="D15" s="13">
        <v>10661.36</v>
      </c>
      <c r="E15" s="13">
        <v>13409.88</v>
      </c>
      <c r="F15" s="13"/>
      <c r="G15" s="13"/>
      <c r="H15" s="13"/>
      <c r="I15" s="13"/>
      <c r="J15" s="13"/>
      <c r="K15" s="14"/>
      <c r="L15" s="13"/>
      <c r="M15" s="14"/>
      <c r="N15" s="13"/>
      <c r="O15" s="14"/>
      <c r="P15" s="13"/>
      <c r="Q15" s="14"/>
      <c r="R15" s="14"/>
      <c r="S15" s="14"/>
    </row>
    <row r="16" spans="1:22" hidden="1" x14ac:dyDescent="0.2">
      <c r="A16" s="779">
        <v>5747</v>
      </c>
      <c r="B16" s="60" t="s">
        <v>1617</v>
      </c>
      <c r="C16" s="116">
        <v>1718.45</v>
      </c>
      <c r="D16" s="35">
        <v>1651.46</v>
      </c>
      <c r="E16" s="35">
        <v>1930</v>
      </c>
      <c r="F16" s="35"/>
      <c r="G16" s="35"/>
      <c r="H16" s="35"/>
      <c r="I16" s="35"/>
      <c r="J16" s="35"/>
      <c r="K16" s="36"/>
      <c r="L16" s="35"/>
      <c r="M16" s="36"/>
      <c r="N16" s="35"/>
      <c r="O16" s="36"/>
      <c r="P16" s="35"/>
      <c r="Q16" s="36"/>
      <c r="R16" s="36"/>
      <c r="S16" s="36"/>
    </row>
    <row r="17" spans="1:22" hidden="1" x14ac:dyDescent="0.2">
      <c r="A17" s="779">
        <v>5748</v>
      </c>
      <c r="B17" s="60" t="s">
        <v>1618</v>
      </c>
      <c r="C17" s="116"/>
      <c r="D17" s="35"/>
      <c r="E17" s="35"/>
      <c r="F17" s="35"/>
      <c r="G17" s="35"/>
      <c r="H17" s="35"/>
      <c r="I17" s="35"/>
      <c r="J17" s="35"/>
      <c r="K17" s="36"/>
      <c r="L17" s="35"/>
      <c r="M17" s="36"/>
      <c r="N17" s="35"/>
      <c r="O17" s="36"/>
      <c r="P17" s="35"/>
      <c r="Q17" s="36"/>
      <c r="R17" s="36"/>
      <c r="S17" s="36"/>
    </row>
    <row r="18" spans="1:22" hidden="1" x14ac:dyDescent="0.2">
      <c r="A18" s="779">
        <v>5749</v>
      </c>
      <c r="B18" s="60" t="s">
        <v>1619</v>
      </c>
      <c r="C18" s="116"/>
      <c r="D18" s="35">
        <v>5954.75</v>
      </c>
      <c r="E18" s="35">
        <v>5329.71</v>
      </c>
      <c r="F18" s="35"/>
      <c r="G18" s="35"/>
      <c r="H18" s="35"/>
      <c r="I18" s="35"/>
      <c r="J18" s="35"/>
      <c r="K18" s="36"/>
      <c r="L18" s="35"/>
      <c r="M18" s="36"/>
      <c r="N18" s="35"/>
      <c r="O18" s="36"/>
      <c r="P18" s="35"/>
      <c r="Q18" s="36"/>
      <c r="R18" s="36"/>
      <c r="S18" s="36"/>
    </row>
    <row r="19" spans="1:22" x14ac:dyDescent="0.2">
      <c r="A19" s="779"/>
      <c r="B19" s="12" t="s">
        <v>2279</v>
      </c>
      <c r="C19" s="591"/>
      <c r="D19" s="35"/>
      <c r="E19" s="35"/>
      <c r="F19" s="35"/>
      <c r="G19" s="35"/>
      <c r="H19" s="35"/>
      <c r="I19" s="35"/>
      <c r="J19" s="35"/>
      <c r="K19" s="36"/>
      <c r="L19" s="35"/>
      <c r="M19" s="36"/>
      <c r="N19" s="35"/>
      <c r="O19" s="36"/>
      <c r="P19" s="35"/>
      <c r="Q19" s="36">
        <v>1000</v>
      </c>
      <c r="R19" s="36"/>
      <c r="S19" s="36"/>
    </row>
    <row r="20" spans="1:22" ht="13.5" thickBot="1" x14ac:dyDescent="0.25">
      <c r="A20" s="805"/>
      <c r="B20" s="17"/>
      <c r="C20" s="37"/>
      <c r="D20" s="15"/>
      <c r="E20" s="15"/>
      <c r="F20" s="15"/>
      <c r="G20" s="15"/>
      <c r="H20" s="15"/>
      <c r="I20" s="15"/>
      <c r="J20" s="15"/>
      <c r="K20" s="16"/>
      <c r="L20" s="15"/>
      <c r="M20" s="16"/>
      <c r="N20" s="15"/>
      <c r="O20" s="16"/>
      <c r="P20" s="15"/>
      <c r="Q20" s="16"/>
      <c r="R20" s="16"/>
      <c r="S20" s="16"/>
    </row>
    <row r="21" spans="1:22" x14ac:dyDescent="0.2">
      <c r="A21" s="779"/>
      <c r="B21" s="17" t="s">
        <v>838</v>
      </c>
      <c r="C21" s="18">
        <f t="shared" ref="C21:Q21" si="0">SUM(C9:C20)</f>
        <v>63586.85</v>
      </c>
      <c r="D21" s="18">
        <f t="shared" si="0"/>
        <v>81915.03</v>
      </c>
      <c r="E21" s="18">
        <f t="shared" si="0"/>
        <v>90801.61</v>
      </c>
      <c r="F21" s="18">
        <f>SUM(F9:F20)</f>
        <v>84898.93</v>
      </c>
      <c r="G21" s="18">
        <f>SUM(G9:G20)</f>
        <v>87959.99</v>
      </c>
      <c r="H21" s="18">
        <f>SUM(H9:H20)</f>
        <v>95065.72</v>
      </c>
      <c r="I21" s="18">
        <f t="shared" si="0"/>
        <v>85911.72</v>
      </c>
      <c r="J21" s="18">
        <f t="shared" ref="J21" si="1">SUM(J9:J20)</f>
        <v>92318.19</v>
      </c>
      <c r="K21" s="34">
        <f t="shared" ref="K21:O21" si="2">SUM(K9:K20)</f>
        <v>96000</v>
      </c>
      <c r="L21" s="18">
        <f t="shared" si="2"/>
        <v>108176.48</v>
      </c>
      <c r="M21" s="34">
        <f t="shared" si="2"/>
        <v>115000</v>
      </c>
      <c r="N21" s="18">
        <f t="shared" ref="N21" si="3">SUM(N9:N20)</f>
        <v>104258.71</v>
      </c>
      <c r="O21" s="34">
        <f t="shared" si="2"/>
        <v>119600</v>
      </c>
      <c r="P21" s="18">
        <f t="shared" si="0"/>
        <v>94977</v>
      </c>
      <c r="Q21" s="34">
        <f t="shared" si="0"/>
        <v>120600</v>
      </c>
      <c r="R21" s="34">
        <f>+Q21</f>
        <v>120600</v>
      </c>
      <c r="S21" s="34">
        <f>+Q21</f>
        <v>120600</v>
      </c>
    </row>
    <row r="22" spans="1:22" x14ac:dyDescent="0.2">
      <c r="A22" s="779"/>
      <c r="B22" s="12"/>
      <c r="C22" s="13"/>
      <c r="D22" s="13"/>
      <c r="E22" s="13"/>
      <c r="F22" s="13"/>
      <c r="G22" s="13"/>
      <c r="H22" s="13"/>
      <c r="I22" s="13"/>
      <c r="J22" s="13"/>
      <c r="K22" s="14"/>
      <c r="L22" s="13"/>
      <c r="M22" s="14"/>
      <c r="N22" s="13"/>
      <c r="O22" s="14"/>
      <c r="P22" s="13"/>
      <c r="Q22" s="14"/>
      <c r="R22" s="14"/>
      <c r="S22" s="14"/>
    </row>
    <row r="23" spans="1:22" ht="13.5" thickBot="1" x14ac:dyDescent="0.25">
      <c r="A23" s="780"/>
      <c r="B23" s="20" t="s">
        <v>1620</v>
      </c>
      <c r="C23" s="21">
        <f t="shared" ref="C23:Q23" si="4">+C21</f>
        <v>63586.85</v>
      </c>
      <c r="D23" s="21">
        <f t="shared" si="4"/>
        <v>81915.03</v>
      </c>
      <c r="E23" s="21">
        <f>+E21</f>
        <v>90801.61</v>
      </c>
      <c r="F23" s="21">
        <f>+F21</f>
        <v>84898.93</v>
      </c>
      <c r="G23" s="21">
        <f>+G21</f>
        <v>87959.99</v>
      </c>
      <c r="H23" s="21">
        <f>+H21</f>
        <v>95065.72</v>
      </c>
      <c r="I23" s="21">
        <f t="shared" si="4"/>
        <v>85911.72</v>
      </c>
      <c r="J23" s="21">
        <f t="shared" ref="J23" si="5">+J21</f>
        <v>92318.19</v>
      </c>
      <c r="K23" s="22">
        <f t="shared" ref="K23:O23" si="6">+K21</f>
        <v>96000</v>
      </c>
      <c r="L23" s="21">
        <f t="shared" si="6"/>
        <v>108176.48</v>
      </c>
      <c r="M23" s="22">
        <f t="shared" si="6"/>
        <v>115000</v>
      </c>
      <c r="N23" s="21">
        <f t="shared" ref="N23" si="7">+N21</f>
        <v>104258.71</v>
      </c>
      <c r="O23" s="22">
        <f t="shared" si="6"/>
        <v>119600</v>
      </c>
      <c r="P23" s="21">
        <f t="shared" si="4"/>
        <v>94977</v>
      </c>
      <c r="Q23" s="22">
        <f t="shared" si="4"/>
        <v>120600</v>
      </c>
      <c r="R23" s="22">
        <f>+Q23</f>
        <v>120600</v>
      </c>
      <c r="S23" s="22">
        <f>+Q23</f>
        <v>120600</v>
      </c>
    </row>
    <row r="24" spans="1:22" ht="13.5" thickTop="1" x14ac:dyDescent="0.2">
      <c r="A24" s="774"/>
      <c r="B24" s="4"/>
      <c r="C24" s="24"/>
      <c r="D24" s="24"/>
      <c r="E24" s="24"/>
      <c r="F24" s="24"/>
      <c r="G24" s="24"/>
      <c r="H24" s="24"/>
      <c r="I24" s="24"/>
      <c r="J24" s="24"/>
      <c r="K24" s="24"/>
      <c r="L24" s="24"/>
      <c r="M24" s="24"/>
      <c r="N24" s="24"/>
      <c r="O24" s="24"/>
      <c r="P24" s="199" t="s">
        <v>843</v>
      </c>
      <c r="Q24" s="1116">
        <f>+Q23-O23</f>
        <v>1000</v>
      </c>
      <c r="R24" s="1117">
        <f>ROUND((+Q24/O23),4)</f>
        <v>8.3999999999999995E-3</v>
      </c>
      <c r="S24" s="25"/>
      <c r="U24" s="25"/>
      <c r="V24" s="25"/>
    </row>
    <row r="25" spans="1:22" x14ac:dyDescent="0.2">
      <c r="A25" s="54">
        <v>44207</v>
      </c>
      <c r="B25" s="4"/>
      <c r="C25" s="23"/>
      <c r="D25" s="23"/>
      <c r="E25" s="23"/>
      <c r="F25" s="23"/>
      <c r="G25" s="23"/>
      <c r="H25" s="23"/>
      <c r="I25" s="23"/>
      <c r="J25" s="23"/>
      <c r="K25" s="23"/>
      <c r="L25" s="23"/>
      <c r="M25" s="23"/>
      <c r="N25" s="23"/>
      <c r="O25" s="23"/>
      <c r="P25" s="25"/>
      <c r="Q25" s="23"/>
      <c r="R25" s="23"/>
      <c r="S25" s="25"/>
      <c r="T25" s="25"/>
      <c r="U25" s="25"/>
      <c r="V25" s="25"/>
    </row>
    <row r="26" spans="1:22" x14ac:dyDescent="0.2">
      <c r="A26" s="54">
        <v>44259</v>
      </c>
      <c r="B26" s="4"/>
      <c r="C26" s="23"/>
      <c r="D26" s="23"/>
      <c r="E26" s="23"/>
      <c r="F26" s="23"/>
      <c r="G26" s="23"/>
      <c r="H26" s="23"/>
      <c r="I26" s="23"/>
      <c r="J26" s="23"/>
      <c r="K26" s="23"/>
      <c r="L26" s="23"/>
      <c r="M26" s="23"/>
      <c r="N26" s="23"/>
      <c r="O26" s="23"/>
      <c r="P26" s="25"/>
      <c r="Q26" s="23"/>
      <c r="R26" s="23"/>
      <c r="S26" s="25"/>
      <c r="T26" s="25"/>
      <c r="U26" s="25"/>
      <c r="V26" s="25"/>
    </row>
    <row r="27" spans="1:22" ht="13.5" thickBot="1" x14ac:dyDescent="0.25">
      <c r="A27" s="774"/>
      <c r="B27" s="4"/>
      <c r="C27" s="24"/>
      <c r="D27" s="24"/>
      <c r="E27" s="24"/>
      <c r="F27" s="24"/>
      <c r="G27" s="24"/>
      <c r="H27" s="24"/>
      <c r="I27" s="24"/>
      <c r="J27" s="24"/>
      <c r="K27" s="24"/>
      <c r="L27" s="24"/>
      <c r="M27" s="24"/>
      <c r="N27" s="24"/>
      <c r="O27" s="24"/>
      <c r="P27" s="25"/>
      <c r="Q27" s="24"/>
      <c r="R27" s="24"/>
      <c r="S27" s="24"/>
      <c r="T27" s="25"/>
      <c r="U27" s="25"/>
      <c r="V27" s="25"/>
    </row>
    <row r="28" spans="1:22" ht="13.5" thickTop="1" x14ac:dyDescent="0.2">
      <c r="A28" s="789"/>
      <c r="B28" s="367"/>
      <c r="C28" s="368" t="s">
        <v>280</v>
      </c>
      <c r="D28" s="369" t="s">
        <v>280</v>
      </c>
      <c r="E28" s="369" t="s">
        <v>280</v>
      </c>
      <c r="F28" s="212"/>
      <c r="G28" s="212"/>
      <c r="H28" s="212"/>
      <c r="I28" s="212"/>
      <c r="J28" s="370" t="s">
        <v>279</v>
      </c>
      <c r="K28" s="212"/>
      <c r="L28" s="212"/>
      <c r="M28" s="371" t="s">
        <v>826</v>
      </c>
      <c r="N28" s="371" t="s">
        <v>826</v>
      </c>
      <c r="O28" s="372" t="s">
        <v>840</v>
      </c>
      <c r="P28" s="371" t="s">
        <v>841</v>
      </c>
      <c r="Q28" s="373"/>
      <c r="R28" s="569"/>
      <c r="S28" s="372"/>
      <c r="T28" s="25"/>
      <c r="U28" s="25"/>
      <c r="V28" s="25"/>
    </row>
    <row r="29" spans="1:22" ht="13.5" thickBot="1" x14ac:dyDescent="0.25">
      <c r="A29" s="790" t="s">
        <v>825</v>
      </c>
      <c r="B29" s="374"/>
      <c r="C29" s="421" t="s">
        <v>267</v>
      </c>
      <c r="D29" s="421" t="s">
        <v>268</v>
      </c>
      <c r="E29" s="377" t="s">
        <v>269</v>
      </c>
      <c r="F29" s="212"/>
      <c r="G29" s="212"/>
      <c r="H29" s="212"/>
      <c r="I29" s="212"/>
      <c r="J29" s="377" t="s">
        <v>276</v>
      </c>
      <c r="K29" s="212"/>
      <c r="L29" s="212"/>
      <c r="M29" s="377" t="s">
        <v>277</v>
      </c>
      <c r="N29" s="377" t="s">
        <v>571</v>
      </c>
      <c r="O29" s="378" t="s">
        <v>843</v>
      </c>
      <c r="P29" s="378" t="s">
        <v>843</v>
      </c>
      <c r="Q29" s="379" t="s">
        <v>844</v>
      </c>
      <c r="R29" s="570"/>
      <c r="S29" s="377"/>
      <c r="T29" s="25"/>
      <c r="U29" s="25"/>
      <c r="V29" s="25"/>
    </row>
    <row r="30" spans="1:22" ht="13.5" thickTop="1" x14ac:dyDescent="0.2">
      <c r="A30" s="797"/>
      <c r="B30" s="394"/>
      <c r="C30" s="383"/>
      <c r="D30" s="383"/>
      <c r="E30" s="383"/>
      <c r="F30" s="212"/>
      <c r="G30" s="212"/>
      <c r="H30" s="212"/>
      <c r="I30" s="212"/>
      <c r="J30" s="383"/>
      <c r="K30" s="212"/>
      <c r="L30" s="212"/>
      <c r="M30" s="383"/>
      <c r="N30" s="384"/>
      <c r="O30" s="384"/>
      <c r="P30" s="383"/>
      <c r="Q30" s="413"/>
      <c r="R30" s="413"/>
      <c r="S30" s="413"/>
      <c r="T30" s="25"/>
      <c r="U30" s="25"/>
      <c r="V30" s="25"/>
    </row>
    <row r="31" spans="1:22" x14ac:dyDescent="0.2">
      <c r="A31" s="797">
        <v>5740</v>
      </c>
      <c r="B31" s="394" t="s">
        <v>1610</v>
      </c>
      <c r="C31" s="383"/>
      <c r="D31" s="383">
        <v>0</v>
      </c>
      <c r="E31" s="383">
        <v>-3549.82</v>
      </c>
      <c r="F31" s="212"/>
      <c r="G31" s="212"/>
      <c r="H31" s="212"/>
      <c r="I31" s="212"/>
      <c r="J31" s="618">
        <f>+O9</f>
        <v>119600</v>
      </c>
      <c r="K31" s="212"/>
      <c r="L31" s="212"/>
      <c r="M31" s="410">
        <f>+Q9</f>
        <v>119600</v>
      </c>
      <c r="N31" s="384">
        <f>+Q9</f>
        <v>119600</v>
      </c>
      <c r="O31" s="414">
        <f>+N31-M31</f>
        <v>0</v>
      </c>
      <c r="P31" s="392" t="str">
        <f>IF(M31+N31&lt;&gt;0,IF(M31&lt;&gt;0,IF(O31&lt;&gt;0,ROUND((+O31/M31),4),""),1),"")</f>
        <v/>
      </c>
      <c r="Q31" s="385"/>
      <c r="R31" s="572"/>
      <c r="S31" s="386"/>
      <c r="T31" s="25"/>
      <c r="U31" s="25"/>
      <c r="V31" s="25"/>
    </row>
    <row r="32" spans="1:22" x14ac:dyDescent="0.2">
      <c r="A32" s="774"/>
      <c r="B32" s="12" t="s">
        <v>2279</v>
      </c>
      <c r="C32" s="383"/>
      <c r="D32" s="383">
        <v>0</v>
      </c>
      <c r="E32" s="383">
        <v>-3549.82</v>
      </c>
      <c r="F32" s="212"/>
      <c r="G32" s="212"/>
      <c r="H32" s="212"/>
      <c r="I32" s="212"/>
      <c r="J32" s="618">
        <f>+O10</f>
        <v>0</v>
      </c>
      <c r="K32" s="212"/>
      <c r="L32" s="212"/>
      <c r="M32" s="410">
        <f>+O10</f>
        <v>0</v>
      </c>
      <c r="N32" s="384">
        <f>+Q19</f>
        <v>1000</v>
      </c>
      <c r="O32" s="414">
        <f>+N32-M32</f>
        <v>1000</v>
      </c>
      <c r="P32" s="392">
        <f>IF(M32+N32&lt;&gt;0,IF(M32&lt;&gt;0,IF(O32&lt;&gt;0,ROUND((+O32/M32),4),""),1),"")</f>
        <v>1</v>
      </c>
      <c r="Q32" s="397" t="s">
        <v>2280</v>
      </c>
      <c r="R32" s="1018"/>
      <c r="S32" s="414"/>
      <c r="T32" s="25"/>
      <c r="U32" s="25"/>
      <c r="V32" s="25"/>
    </row>
    <row r="33" spans="1:22" x14ac:dyDescent="0.2">
      <c r="A33" s="774"/>
      <c r="B33" s="4" t="s">
        <v>846</v>
      </c>
      <c r="C33" s="23"/>
      <c r="D33" s="23"/>
      <c r="E33" s="23"/>
      <c r="F33" s="23"/>
      <c r="G33" s="23"/>
      <c r="H33" s="212"/>
      <c r="I33" s="212"/>
      <c r="J33" s="616">
        <f>SUM(J31:J32)</f>
        <v>119600</v>
      </c>
      <c r="K33" s="212"/>
      <c r="L33" s="212"/>
      <c r="M33" s="616">
        <f>SUM(M31:M32)</f>
        <v>119600</v>
      </c>
      <c r="N33" s="616">
        <f>SUM(N31:N32)</f>
        <v>120600</v>
      </c>
      <c r="O33" s="25"/>
      <c r="P33" s="617" t="str">
        <f>IF(M33+N33&lt;&gt;0,IF(M33&lt;&gt;0,IF(O33&lt;&gt;0,ROUND((+O33/M33),4),""),1),"")</f>
        <v/>
      </c>
      <c r="Q33" s="25"/>
      <c r="R33" s="25"/>
      <c r="S33" s="25"/>
      <c r="T33" s="25"/>
      <c r="U33" s="25"/>
      <c r="V33" s="25"/>
    </row>
    <row r="34" spans="1:22" x14ac:dyDescent="0.2">
      <c r="A34" s="774"/>
      <c r="B34" s="4"/>
      <c r="C34" s="23"/>
      <c r="D34" s="23"/>
      <c r="E34" s="23"/>
      <c r="F34" s="23"/>
      <c r="G34" s="24"/>
      <c r="H34" s="24"/>
      <c r="I34" s="25"/>
      <c r="J34" s="25"/>
      <c r="K34" s="25"/>
      <c r="L34" s="25"/>
      <c r="M34" s="25"/>
      <c r="N34" s="25"/>
      <c r="O34" s="25"/>
      <c r="P34" s="360"/>
      <c r="Q34" s="25"/>
      <c r="R34" s="25"/>
      <c r="S34" s="25"/>
      <c r="T34" s="25"/>
      <c r="U34" s="25"/>
      <c r="V34" s="25"/>
    </row>
    <row r="35" spans="1:22" x14ac:dyDescent="0.2">
      <c r="A35" s="774"/>
      <c r="B35" s="4"/>
      <c r="C35" s="23"/>
      <c r="D35" s="23"/>
      <c r="E35" s="23"/>
      <c r="F35" s="23"/>
      <c r="G35" s="24"/>
      <c r="H35" s="24"/>
      <c r="I35" s="24"/>
      <c r="J35" s="24"/>
      <c r="K35" s="24"/>
      <c r="L35" s="24"/>
      <c r="M35" s="24"/>
      <c r="N35" s="24"/>
      <c r="O35" s="24"/>
      <c r="P35" s="25"/>
      <c r="Q35" s="24"/>
      <c r="R35" s="24"/>
      <c r="S35" s="24"/>
      <c r="T35" s="25"/>
      <c r="U35" s="25"/>
      <c r="V35" s="25"/>
    </row>
    <row r="36" spans="1:22" x14ac:dyDescent="0.2">
      <c r="A36" s="774"/>
      <c r="B36" s="4"/>
      <c r="C36" s="23"/>
      <c r="D36" s="23"/>
      <c r="E36" s="23"/>
      <c r="F36" s="23"/>
      <c r="G36" s="23"/>
      <c r="H36" s="23"/>
      <c r="I36" s="23"/>
      <c r="J36" s="23"/>
      <c r="K36" s="23"/>
      <c r="L36" s="23"/>
      <c r="M36" s="23"/>
      <c r="N36" s="23"/>
      <c r="O36" s="23"/>
      <c r="P36" s="25"/>
      <c r="Q36" s="23"/>
      <c r="R36" s="23"/>
      <c r="S36" s="23"/>
      <c r="T36" s="25"/>
      <c r="U36" s="25"/>
      <c r="V36" s="25"/>
    </row>
    <row r="37" spans="1:22" x14ac:dyDescent="0.2">
      <c r="A37" s="774"/>
      <c r="B37" s="4"/>
      <c r="C37" s="23"/>
      <c r="D37" s="23"/>
      <c r="E37" s="23"/>
      <c r="F37" s="23"/>
      <c r="G37" s="23"/>
      <c r="H37" s="23"/>
      <c r="I37" s="23"/>
      <c r="J37" s="23"/>
      <c r="K37" s="23"/>
      <c r="L37" s="23"/>
      <c r="M37" s="23"/>
      <c r="N37" s="23"/>
      <c r="O37" s="23"/>
      <c r="P37" s="25"/>
      <c r="Q37" s="23"/>
      <c r="R37" s="23"/>
      <c r="S37" s="23"/>
      <c r="T37" s="25"/>
      <c r="U37" s="25"/>
      <c r="V37" s="25"/>
    </row>
    <row r="38" spans="1:22" x14ac:dyDescent="0.2">
      <c r="A38" s="774"/>
      <c r="B38" s="4"/>
      <c r="C38" s="23"/>
      <c r="D38" s="23"/>
      <c r="E38" s="23"/>
      <c r="F38" s="23"/>
      <c r="G38" s="23"/>
      <c r="H38" s="23"/>
      <c r="I38" s="23"/>
      <c r="J38" s="23"/>
      <c r="K38" s="23"/>
      <c r="L38" s="23"/>
      <c r="M38" s="23"/>
      <c r="N38" s="23"/>
      <c r="O38" s="23"/>
      <c r="P38" s="25"/>
      <c r="Q38" s="23"/>
      <c r="R38" s="23"/>
      <c r="S38" s="23"/>
      <c r="T38" s="25"/>
      <c r="U38" s="25"/>
      <c r="V38" s="25"/>
    </row>
    <row r="39" spans="1:22" x14ac:dyDescent="0.2">
      <c r="A39" s="774"/>
      <c r="B39" s="4"/>
      <c r="C39" s="23"/>
      <c r="D39" s="23"/>
      <c r="E39" s="23"/>
      <c r="F39" s="23"/>
      <c r="G39" s="23"/>
      <c r="H39" s="23"/>
      <c r="I39" s="23"/>
      <c r="J39" s="23"/>
      <c r="K39" s="23"/>
      <c r="L39" s="23"/>
      <c r="M39" s="23"/>
      <c r="N39" s="23"/>
      <c r="O39" s="23"/>
      <c r="P39" s="25"/>
      <c r="Q39" s="23"/>
      <c r="R39" s="23"/>
      <c r="S39" s="23"/>
      <c r="T39" s="25"/>
      <c r="U39" s="25"/>
      <c r="V39" s="25"/>
    </row>
    <row r="40" spans="1:22" x14ac:dyDescent="0.2">
      <c r="A40" s="774"/>
      <c r="B40" s="4"/>
      <c r="C40" s="23"/>
      <c r="D40" s="23"/>
      <c r="E40" s="23"/>
      <c r="F40" s="23"/>
      <c r="G40" s="23"/>
      <c r="H40" s="23"/>
      <c r="I40" s="23"/>
      <c r="J40" s="23"/>
      <c r="K40" s="23"/>
      <c r="L40" s="23"/>
      <c r="M40" s="23"/>
      <c r="N40" s="23"/>
      <c r="O40" s="23"/>
      <c r="P40" s="25"/>
      <c r="Q40" s="23"/>
      <c r="R40" s="23"/>
      <c r="S40" s="23"/>
      <c r="T40" s="25"/>
      <c r="U40" s="25"/>
      <c r="V40" s="25"/>
    </row>
    <row r="41" spans="1:22" x14ac:dyDescent="0.2">
      <c r="A41" s="774"/>
      <c r="B41" s="4"/>
      <c r="C41" s="23"/>
      <c r="D41" s="23"/>
      <c r="E41" s="23"/>
      <c r="F41" s="23"/>
      <c r="G41" s="23"/>
      <c r="H41" s="23"/>
      <c r="I41" s="23"/>
      <c r="J41" s="23"/>
      <c r="K41" s="23"/>
      <c r="L41" s="23"/>
      <c r="M41" s="23"/>
      <c r="N41" s="23"/>
      <c r="O41" s="23"/>
      <c r="P41" s="25"/>
      <c r="Q41" s="23"/>
      <c r="R41" s="23"/>
      <c r="S41" s="23"/>
      <c r="T41" s="25"/>
      <c r="U41" s="25"/>
      <c r="V41" s="25"/>
    </row>
    <row r="42" spans="1:22" x14ac:dyDescent="0.2">
      <c r="A42" s="774"/>
      <c r="B42" s="4"/>
      <c r="C42" s="23"/>
      <c r="D42" s="23"/>
      <c r="E42" s="23"/>
      <c r="F42" s="23"/>
      <c r="G42" s="23"/>
      <c r="H42" s="23"/>
      <c r="I42" s="23"/>
      <c r="J42" s="23"/>
      <c r="K42" s="23"/>
      <c r="L42" s="23"/>
      <c r="M42" s="23"/>
      <c r="N42" s="23"/>
      <c r="O42" s="23"/>
      <c r="P42" s="25"/>
      <c r="Q42" s="23"/>
      <c r="R42" s="23"/>
      <c r="S42" s="23"/>
      <c r="T42" s="25"/>
      <c r="U42" s="25"/>
      <c r="V42" s="25"/>
    </row>
    <row r="43" spans="1:22" x14ac:dyDescent="0.2">
      <c r="A43" s="774"/>
      <c r="B43" s="4"/>
      <c r="C43" s="23"/>
      <c r="D43" s="23"/>
      <c r="E43" s="23"/>
      <c r="F43" s="23"/>
      <c r="G43" s="23"/>
      <c r="H43" s="23"/>
      <c r="I43" s="23"/>
      <c r="J43" s="23"/>
      <c r="K43" s="23"/>
      <c r="L43" s="23"/>
      <c r="M43" s="23"/>
      <c r="N43" s="23"/>
      <c r="O43" s="23"/>
      <c r="P43" s="25"/>
      <c r="Q43" s="23"/>
      <c r="R43" s="23"/>
      <c r="S43" s="23"/>
      <c r="T43" s="25"/>
      <c r="U43" s="25"/>
      <c r="V43" s="25"/>
    </row>
    <row r="44" spans="1:22" x14ac:dyDescent="0.2">
      <c r="A44" s="774"/>
      <c r="B44" s="4"/>
      <c r="C44" s="23"/>
      <c r="D44" s="23"/>
      <c r="E44" s="23"/>
      <c r="F44" s="23"/>
      <c r="G44" s="23"/>
      <c r="H44" s="23"/>
      <c r="I44" s="23"/>
      <c r="J44" s="23"/>
      <c r="K44" s="23"/>
      <c r="L44" s="23"/>
      <c r="M44" s="23"/>
      <c r="N44" s="23"/>
      <c r="O44" s="23"/>
      <c r="P44" s="25"/>
      <c r="Q44" s="23"/>
      <c r="R44" s="23"/>
      <c r="S44" s="23"/>
      <c r="T44" s="25"/>
      <c r="U44" s="25"/>
      <c r="V44" s="25"/>
    </row>
    <row r="45" spans="1:22" x14ac:dyDescent="0.2">
      <c r="A45" s="774"/>
      <c r="B45" s="4"/>
      <c r="C45" s="23"/>
      <c r="D45" s="23"/>
      <c r="E45" s="23"/>
      <c r="F45" s="23"/>
      <c r="G45" s="23"/>
      <c r="H45" s="23"/>
      <c r="I45" s="23"/>
      <c r="J45" s="23"/>
      <c r="K45" s="23"/>
      <c r="L45" s="23"/>
      <c r="M45" s="23"/>
      <c r="N45" s="23"/>
      <c r="O45" s="23"/>
      <c r="P45" s="25"/>
      <c r="Q45" s="23"/>
      <c r="R45" s="23"/>
      <c r="S45" s="23"/>
      <c r="T45" s="25"/>
      <c r="U45" s="25"/>
      <c r="V45" s="25"/>
    </row>
    <row r="46" spans="1:22" x14ac:dyDescent="0.2">
      <c r="A46" s="774"/>
      <c r="B46" s="4"/>
      <c r="C46" s="23"/>
      <c r="D46" s="23"/>
      <c r="E46" s="23"/>
      <c r="F46" s="23"/>
      <c r="G46" s="23"/>
      <c r="H46" s="23"/>
      <c r="I46" s="23"/>
      <c r="J46" s="23"/>
      <c r="K46" s="23"/>
      <c r="L46" s="23"/>
      <c r="M46" s="23"/>
      <c r="N46" s="23"/>
      <c r="O46" s="23"/>
      <c r="P46" s="25"/>
      <c r="Q46" s="23"/>
      <c r="R46" s="23"/>
      <c r="S46" s="23"/>
      <c r="T46" s="25"/>
      <c r="U46" s="25"/>
      <c r="V46" s="25"/>
    </row>
    <row r="47" spans="1:22" x14ac:dyDescent="0.2">
      <c r="A47" s="774"/>
      <c r="B47" s="4"/>
      <c r="C47" s="23"/>
      <c r="D47" s="23"/>
      <c r="E47" s="23"/>
      <c r="F47" s="23"/>
      <c r="G47" s="23"/>
      <c r="H47" s="23"/>
      <c r="I47" s="23"/>
      <c r="J47" s="23"/>
      <c r="K47" s="23"/>
      <c r="L47" s="23"/>
      <c r="M47" s="23"/>
      <c r="N47" s="23"/>
      <c r="O47" s="23"/>
      <c r="P47" s="25"/>
      <c r="Q47" s="23"/>
      <c r="R47" s="23"/>
      <c r="S47" s="23"/>
      <c r="T47" s="25"/>
      <c r="U47" s="25"/>
      <c r="V47" s="25"/>
    </row>
    <row r="48" spans="1:22" x14ac:dyDescent="0.2">
      <c r="A48" s="774"/>
      <c r="B48" s="4"/>
      <c r="C48" s="23"/>
      <c r="D48" s="23"/>
      <c r="E48" s="23"/>
      <c r="F48" s="23"/>
      <c r="G48" s="23"/>
      <c r="H48" s="23"/>
      <c r="I48" s="23"/>
      <c r="J48" s="23"/>
      <c r="K48" s="23"/>
      <c r="L48" s="23"/>
      <c r="M48" s="23"/>
      <c r="N48" s="23"/>
      <c r="O48" s="23"/>
      <c r="P48" s="25"/>
      <c r="Q48" s="23"/>
      <c r="R48" s="23"/>
      <c r="S48" s="23"/>
      <c r="T48" s="25"/>
      <c r="U48" s="25"/>
      <c r="V48" s="25"/>
    </row>
    <row r="49" spans="1:22" x14ac:dyDescent="0.2">
      <c r="A49" s="774"/>
      <c r="B49" s="4"/>
      <c r="C49" s="23"/>
      <c r="D49" s="23"/>
      <c r="E49" s="23"/>
      <c r="F49" s="23"/>
      <c r="G49" s="23"/>
      <c r="H49" s="23"/>
      <c r="I49" s="23"/>
      <c r="J49" s="23"/>
      <c r="K49" s="23"/>
      <c r="L49" s="23"/>
      <c r="M49" s="23"/>
      <c r="N49" s="23"/>
      <c r="O49" s="23"/>
      <c r="P49" s="25"/>
      <c r="Q49" s="23"/>
      <c r="R49" s="23"/>
      <c r="S49" s="23"/>
      <c r="T49" s="25"/>
      <c r="U49" s="25"/>
      <c r="V49" s="25"/>
    </row>
    <row r="50" spans="1:22" x14ac:dyDescent="0.2">
      <c r="A50" s="774"/>
      <c r="B50" s="4"/>
      <c r="C50" s="23"/>
      <c r="D50" s="23"/>
      <c r="E50" s="23"/>
      <c r="F50" s="23"/>
      <c r="G50" s="23"/>
      <c r="H50" s="23"/>
      <c r="I50" s="23"/>
      <c r="J50" s="23"/>
      <c r="K50" s="23"/>
      <c r="L50" s="23"/>
      <c r="M50" s="23"/>
      <c r="N50" s="23"/>
      <c r="O50" s="23"/>
      <c r="P50" s="25"/>
      <c r="Q50" s="23"/>
      <c r="R50" s="23"/>
      <c r="S50" s="23"/>
      <c r="T50" s="25"/>
      <c r="U50" s="25"/>
      <c r="V50" s="25"/>
    </row>
    <row r="51" spans="1:22" x14ac:dyDescent="0.2">
      <c r="A51" s="774"/>
      <c r="B51" s="4"/>
      <c r="C51" s="23"/>
      <c r="D51" s="23"/>
      <c r="E51" s="23"/>
      <c r="F51" s="23"/>
      <c r="G51" s="23"/>
      <c r="H51" s="23"/>
      <c r="I51" s="23"/>
      <c r="J51" s="23"/>
      <c r="K51" s="23"/>
      <c r="L51" s="23"/>
      <c r="M51" s="23"/>
      <c r="N51" s="23"/>
      <c r="O51" s="23"/>
      <c r="P51" s="25"/>
      <c r="Q51" s="23"/>
      <c r="R51" s="23"/>
      <c r="S51" s="23"/>
      <c r="T51" s="25"/>
      <c r="U51" s="25"/>
      <c r="V51" s="25"/>
    </row>
    <row r="52" spans="1:22" x14ac:dyDescent="0.2">
      <c r="A52" s="774"/>
      <c r="B52" s="4"/>
      <c r="C52" s="23"/>
      <c r="D52" s="23"/>
      <c r="E52" s="23"/>
      <c r="F52" s="23"/>
      <c r="G52" s="23"/>
      <c r="H52" s="23"/>
      <c r="I52" s="23"/>
      <c r="J52" s="23"/>
      <c r="K52" s="23"/>
      <c r="L52" s="23"/>
      <c r="M52" s="23"/>
      <c r="N52" s="23"/>
      <c r="O52" s="23"/>
      <c r="P52" s="25"/>
      <c r="Q52" s="23"/>
      <c r="R52" s="23"/>
      <c r="S52" s="23"/>
      <c r="T52" s="25"/>
      <c r="U52" s="25"/>
      <c r="V52" s="25"/>
    </row>
    <row r="53" spans="1:22" x14ac:dyDescent="0.2">
      <c r="A53" s="774"/>
      <c r="B53" s="4"/>
      <c r="C53" s="23"/>
      <c r="D53" s="23"/>
      <c r="E53" s="23"/>
      <c r="F53" s="23"/>
      <c r="G53" s="23"/>
      <c r="H53" s="23"/>
      <c r="I53" s="23"/>
      <c r="J53" s="23"/>
      <c r="K53" s="23"/>
      <c r="L53" s="23"/>
      <c r="M53" s="23"/>
      <c r="N53" s="23"/>
      <c r="O53" s="23"/>
      <c r="P53" s="25"/>
      <c r="Q53" s="23"/>
      <c r="R53" s="23"/>
      <c r="S53" s="23"/>
      <c r="T53" s="25"/>
      <c r="U53" s="25"/>
      <c r="V53" s="25"/>
    </row>
    <row r="54" spans="1:22" x14ac:dyDescent="0.2">
      <c r="A54" s="774"/>
      <c r="B54" s="4"/>
      <c r="C54" s="23"/>
      <c r="D54" s="23"/>
      <c r="E54" s="23"/>
      <c r="F54" s="23"/>
      <c r="G54" s="23"/>
      <c r="H54" s="23"/>
      <c r="I54" s="23"/>
      <c r="J54" s="23"/>
      <c r="K54" s="23"/>
      <c r="L54" s="23"/>
      <c r="M54" s="23"/>
      <c r="N54" s="23"/>
      <c r="O54" s="23"/>
      <c r="P54" s="25"/>
      <c r="Q54" s="23"/>
      <c r="R54" s="23"/>
      <c r="S54" s="23"/>
      <c r="T54" s="25"/>
      <c r="U54" s="25"/>
      <c r="V54" s="25"/>
    </row>
    <row r="55" spans="1:22" x14ac:dyDescent="0.2">
      <c r="A55" s="774"/>
      <c r="B55" s="4"/>
      <c r="C55" s="23"/>
      <c r="D55" s="23"/>
      <c r="E55" s="23"/>
      <c r="F55" s="23"/>
      <c r="G55" s="23"/>
      <c r="H55" s="23"/>
      <c r="I55" s="23"/>
      <c r="J55" s="23"/>
      <c r="K55" s="23"/>
      <c r="L55" s="23"/>
      <c r="M55" s="23"/>
      <c r="N55" s="23"/>
      <c r="O55" s="23"/>
      <c r="P55" s="25"/>
      <c r="Q55" s="23"/>
      <c r="R55" s="23"/>
      <c r="S55" s="23"/>
      <c r="T55" s="25"/>
      <c r="U55" s="25"/>
      <c r="V55" s="25"/>
    </row>
    <row r="56" spans="1:22" x14ac:dyDescent="0.2">
      <c r="A56" s="774"/>
      <c r="B56" s="4"/>
      <c r="C56" s="23"/>
      <c r="D56" s="23"/>
      <c r="E56" s="23"/>
      <c r="F56" s="23"/>
      <c r="G56" s="23"/>
      <c r="H56" s="23"/>
      <c r="I56" s="23"/>
      <c r="J56" s="23"/>
      <c r="K56" s="23"/>
      <c r="L56" s="23"/>
      <c r="M56" s="23"/>
      <c r="N56" s="23"/>
      <c r="O56" s="23"/>
      <c r="P56" s="25"/>
      <c r="Q56" s="23"/>
      <c r="R56" s="23"/>
      <c r="S56" s="23"/>
      <c r="T56" s="25"/>
      <c r="U56" s="25"/>
      <c r="V56" s="25"/>
    </row>
    <row r="57" spans="1:22" x14ac:dyDescent="0.2">
      <c r="A57" s="774"/>
      <c r="B57" s="4"/>
      <c r="C57" s="23"/>
      <c r="D57" s="23"/>
      <c r="E57" s="23"/>
      <c r="F57" s="23"/>
      <c r="G57" s="23"/>
      <c r="H57" s="23"/>
      <c r="I57" s="23"/>
      <c r="J57" s="23"/>
      <c r="K57" s="23"/>
      <c r="L57" s="23"/>
      <c r="M57" s="23"/>
      <c r="N57" s="23"/>
      <c r="O57" s="23"/>
      <c r="P57" s="25"/>
      <c r="Q57" s="23"/>
      <c r="R57" s="23"/>
      <c r="S57" s="23"/>
      <c r="T57" s="25"/>
      <c r="U57" s="25"/>
      <c r="V57" s="25"/>
    </row>
    <row r="58" spans="1:22" x14ac:dyDescent="0.2">
      <c r="A58" s="774"/>
      <c r="B58" s="4"/>
      <c r="C58" s="23"/>
      <c r="D58" s="23"/>
      <c r="E58" s="23"/>
      <c r="F58" s="23"/>
      <c r="G58" s="23"/>
      <c r="H58" s="23"/>
      <c r="I58" s="23"/>
      <c r="J58" s="23"/>
      <c r="K58" s="23"/>
      <c r="L58" s="23"/>
      <c r="M58" s="23"/>
      <c r="N58" s="23"/>
      <c r="O58" s="23"/>
      <c r="P58" s="25"/>
      <c r="Q58" s="23"/>
      <c r="R58" s="23"/>
      <c r="S58" s="23"/>
      <c r="T58" s="25"/>
      <c r="U58" s="25"/>
      <c r="V58" s="25"/>
    </row>
    <row r="59" spans="1:22" x14ac:dyDescent="0.2">
      <c r="A59" s="774"/>
      <c r="B59" s="4"/>
      <c r="C59" s="23"/>
      <c r="D59" s="23"/>
      <c r="E59" s="23"/>
      <c r="F59" s="23"/>
      <c r="G59" s="23"/>
      <c r="H59" s="23"/>
      <c r="I59" s="23"/>
      <c r="J59" s="23"/>
      <c r="K59" s="23"/>
      <c r="L59" s="23"/>
      <c r="M59" s="23"/>
      <c r="N59" s="23"/>
      <c r="O59" s="23"/>
      <c r="P59" s="25"/>
      <c r="Q59" s="23"/>
      <c r="R59" s="23"/>
      <c r="S59" s="23"/>
      <c r="T59" s="25"/>
      <c r="U59" s="25"/>
      <c r="V59" s="25"/>
    </row>
    <row r="60" spans="1:22" x14ac:dyDescent="0.2">
      <c r="A60" s="774"/>
      <c r="B60" s="4"/>
      <c r="C60" s="23"/>
      <c r="D60" s="23"/>
      <c r="E60" s="23"/>
      <c r="F60" s="23"/>
      <c r="G60" s="23"/>
      <c r="H60" s="23"/>
      <c r="I60" s="23"/>
      <c r="J60" s="23"/>
      <c r="K60" s="23"/>
      <c r="L60" s="23"/>
      <c r="M60" s="23"/>
      <c r="N60" s="23"/>
      <c r="O60" s="23"/>
      <c r="P60" s="25"/>
      <c r="Q60" s="23"/>
      <c r="R60" s="23"/>
      <c r="S60" s="23"/>
      <c r="T60" s="25"/>
      <c r="U60" s="25"/>
      <c r="V60" s="25"/>
    </row>
    <row r="61" spans="1:22" x14ac:dyDescent="0.2">
      <c r="A61" s="774"/>
      <c r="B61" s="4"/>
      <c r="C61" s="23"/>
      <c r="D61" s="23"/>
      <c r="E61" s="23"/>
      <c r="F61" s="23"/>
      <c r="G61" s="23"/>
      <c r="H61" s="23"/>
      <c r="I61" s="23"/>
      <c r="J61" s="23"/>
      <c r="K61" s="23"/>
      <c r="L61" s="23"/>
      <c r="M61" s="23"/>
      <c r="N61" s="23"/>
      <c r="O61" s="23"/>
      <c r="P61" s="25"/>
      <c r="Q61" s="23"/>
      <c r="R61" s="23"/>
      <c r="S61" s="23"/>
      <c r="T61" s="25"/>
      <c r="U61" s="25"/>
      <c r="V61" s="25"/>
    </row>
    <row r="62" spans="1:22" x14ac:dyDescent="0.2">
      <c r="A62" s="774"/>
      <c r="B62" s="4"/>
      <c r="C62" s="23"/>
      <c r="D62" s="23"/>
      <c r="E62" s="23"/>
      <c r="F62" s="23"/>
      <c r="G62" s="23"/>
      <c r="H62" s="23"/>
      <c r="I62" s="23"/>
      <c r="J62" s="23"/>
      <c r="K62" s="23"/>
      <c r="L62" s="23"/>
      <c r="M62" s="23"/>
      <c r="N62" s="23"/>
      <c r="O62" s="23"/>
      <c r="P62" s="25"/>
      <c r="Q62" s="23"/>
      <c r="R62" s="23"/>
      <c r="S62" s="23"/>
      <c r="T62" s="25"/>
      <c r="U62" s="25"/>
      <c r="V62" s="25"/>
    </row>
    <row r="63" spans="1:22" x14ac:dyDescent="0.2">
      <c r="A63" s="774"/>
      <c r="B63" s="4"/>
      <c r="C63" s="23"/>
      <c r="D63" s="23"/>
      <c r="E63" s="23"/>
      <c r="F63" s="23"/>
      <c r="G63" s="23"/>
      <c r="H63" s="23"/>
      <c r="I63" s="23"/>
      <c r="J63" s="23"/>
      <c r="K63" s="23"/>
      <c r="L63" s="23"/>
      <c r="M63" s="23"/>
      <c r="N63" s="23"/>
      <c r="O63" s="23"/>
      <c r="P63" s="25"/>
      <c r="Q63" s="23"/>
      <c r="R63" s="23"/>
      <c r="S63" s="23"/>
      <c r="T63" s="25"/>
      <c r="U63" s="25"/>
      <c r="V63" s="25"/>
    </row>
    <row r="64" spans="1:22" x14ac:dyDescent="0.2">
      <c r="A64" s="774"/>
      <c r="B64" s="4"/>
      <c r="C64" s="23"/>
      <c r="D64" s="23"/>
      <c r="E64" s="23"/>
      <c r="F64" s="23"/>
      <c r="G64" s="23"/>
      <c r="H64" s="23"/>
      <c r="I64" s="23"/>
      <c r="J64" s="23"/>
      <c r="K64" s="23"/>
      <c r="L64" s="23"/>
      <c r="M64" s="23"/>
      <c r="N64" s="23"/>
      <c r="O64" s="23"/>
      <c r="P64" s="25"/>
      <c r="Q64" s="23"/>
      <c r="R64" s="23"/>
      <c r="S64" s="23"/>
      <c r="T64" s="25"/>
      <c r="U64" s="25"/>
      <c r="V64" s="25"/>
    </row>
    <row r="65" spans="1:22" x14ac:dyDescent="0.2">
      <c r="A65" s="774"/>
      <c r="B65" s="4"/>
      <c r="C65" s="23"/>
      <c r="D65" s="23"/>
      <c r="E65" s="23"/>
      <c r="F65" s="23"/>
      <c r="G65" s="23"/>
      <c r="H65" s="23"/>
      <c r="I65" s="23"/>
      <c r="J65" s="23"/>
      <c r="K65" s="23"/>
      <c r="L65" s="23"/>
      <c r="M65" s="23"/>
      <c r="N65" s="23"/>
      <c r="O65" s="23"/>
      <c r="P65" s="25"/>
      <c r="Q65" s="23"/>
      <c r="R65" s="23"/>
      <c r="S65" s="23"/>
      <c r="T65" s="25"/>
      <c r="U65" s="25"/>
      <c r="V65" s="25"/>
    </row>
    <row r="66" spans="1:22" x14ac:dyDescent="0.2">
      <c r="A66" s="774"/>
      <c r="B66" s="4"/>
      <c r="C66" s="23"/>
      <c r="D66" s="23"/>
      <c r="E66" s="23"/>
      <c r="F66" s="23"/>
      <c r="G66" s="23"/>
      <c r="H66" s="23"/>
      <c r="I66" s="23"/>
      <c r="J66" s="23"/>
      <c r="K66" s="23"/>
      <c r="L66" s="23"/>
      <c r="M66" s="23"/>
      <c r="N66" s="23"/>
      <c r="O66" s="23"/>
      <c r="P66" s="25"/>
      <c r="Q66" s="23"/>
      <c r="R66" s="23"/>
      <c r="S66" s="23"/>
      <c r="T66" s="25"/>
      <c r="U66" s="25"/>
      <c r="V66" s="25"/>
    </row>
    <row r="67" spans="1:22" x14ac:dyDescent="0.2">
      <c r="A67" s="774"/>
      <c r="B67" s="4"/>
      <c r="C67" s="23"/>
      <c r="D67" s="23"/>
      <c r="E67" s="23"/>
      <c r="F67" s="23"/>
      <c r="G67" s="23"/>
      <c r="H67" s="23"/>
      <c r="I67" s="23"/>
      <c r="J67" s="23"/>
      <c r="K67" s="23"/>
      <c r="L67" s="23"/>
      <c r="M67" s="23"/>
      <c r="N67" s="23"/>
      <c r="O67" s="23"/>
      <c r="P67" s="25"/>
      <c r="Q67" s="23"/>
      <c r="R67" s="23"/>
      <c r="S67" s="23"/>
      <c r="T67" s="25"/>
      <c r="U67" s="25"/>
      <c r="V67" s="25"/>
    </row>
    <row r="68" spans="1:22" x14ac:dyDescent="0.2">
      <c r="A68" s="774"/>
      <c r="B68" s="4"/>
      <c r="C68" s="23"/>
      <c r="D68" s="23"/>
      <c r="E68" s="23"/>
      <c r="F68" s="23"/>
      <c r="G68" s="23"/>
      <c r="H68" s="23"/>
      <c r="I68" s="23"/>
      <c r="J68" s="23"/>
      <c r="K68" s="23"/>
      <c r="L68" s="23"/>
      <c r="M68" s="23"/>
      <c r="N68" s="23"/>
      <c r="O68" s="23"/>
      <c r="P68" s="25"/>
      <c r="Q68" s="23"/>
      <c r="R68" s="23"/>
      <c r="S68" s="23"/>
      <c r="T68" s="25"/>
      <c r="U68" s="25"/>
      <c r="V68" s="25"/>
    </row>
    <row r="69" spans="1:22" x14ac:dyDescent="0.2">
      <c r="A69" s="774"/>
      <c r="B69" s="4"/>
      <c r="C69" s="23"/>
      <c r="D69" s="23"/>
      <c r="E69" s="23"/>
      <c r="F69" s="23"/>
      <c r="G69" s="23"/>
      <c r="H69" s="23"/>
      <c r="I69" s="23"/>
      <c r="J69" s="23"/>
      <c r="K69" s="23"/>
      <c r="L69" s="23"/>
      <c r="M69" s="23"/>
      <c r="N69" s="23"/>
      <c r="O69" s="23"/>
      <c r="P69" s="25"/>
      <c r="Q69" s="23"/>
      <c r="R69" s="23"/>
      <c r="S69" s="23"/>
      <c r="T69" s="25"/>
      <c r="U69" s="25"/>
      <c r="V69" s="25"/>
    </row>
    <row r="70" spans="1:22" x14ac:dyDescent="0.2">
      <c r="A70" s="774"/>
      <c r="B70" s="4"/>
      <c r="C70" s="23"/>
      <c r="D70" s="23"/>
      <c r="E70" s="23"/>
      <c r="F70" s="23"/>
      <c r="G70" s="23"/>
      <c r="H70" s="23"/>
      <c r="I70" s="23"/>
      <c r="J70" s="23"/>
      <c r="K70" s="23"/>
      <c r="L70" s="23"/>
      <c r="M70" s="23"/>
      <c r="N70" s="23"/>
      <c r="O70" s="23"/>
      <c r="P70" s="25"/>
      <c r="Q70" s="23"/>
      <c r="R70" s="23"/>
      <c r="S70" s="23"/>
      <c r="T70" s="25"/>
      <c r="U70" s="25"/>
      <c r="V70" s="25"/>
    </row>
    <row r="71" spans="1:22" x14ac:dyDescent="0.2">
      <c r="A71" s="774"/>
      <c r="B71" s="4"/>
      <c r="C71" s="23"/>
      <c r="D71" s="23"/>
      <c r="E71" s="23"/>
      <c r="F71" s="23"/>
      <c r="G71" s="23"/>
      <c r="H71" s="23"/>
      <c r="I71" s="23"/>
      <c r="J71" s="23"/>
      <c r="K71" s="23"/>
      <c r="L71" s="23"/>
      <c r="M71" s="23"/>
      <c r="N71" s="23"/>
      <c r="O71" s="23"/>
      <c r="P71" s="25"/>
      <c r="Q71" s="23"/>
      <c r="R71" s="23"/>
      <c r="S71" s="23"/>
      <c r="T71" s="25"/>
      <c r="U71" s="25"/>
      <c r="V71" s="25"/>
    </row>
    <row r="72" spans="1:22" x14ac:dyDescent="0.2">
      <c r="A72" s="774"/>
      <c r="B72" s="4"/>
      <c r="C72" s="23"/>
      <c r="D72" s="23"/>
      <c r="E72" s="23"/>
      <c r="F72" s="23"/>
      <c r="G72" s="23"/>
      <c r="H72" s="23"/>
      <c r="I72" s="23"/>
      <c r="J72" s="23"/>
      <c r="K72" s="23"/>
      <c r="L72" s="23"/>
      <c r="M72" s="23"/>
      <c r="N72" s="23"/>
      <c r="O72" s="23"/>
      <c r="P72" s="25"/>
      <c r="Q72" s="23"/>
      <c r="R72" s="23"/>
      <c r="S72" s="23"/>
      <c r="T72" s="25"/>
      <c r="U72" s="25"/>
      <c r="V72" s="25"/>
    </row>
    <row r="73" spans="1:22" x14ac:dyDescent="0.2">
      <c r="A73" s="774"/>
      <c r="B73" s="4"/>
      <c r="C73" s="23"/>
      <c r="D73" s="23"/>
      <c r="E73" s="23"/>
      <c r="F73" s="23"/>
      <c r="G73" s="23"/>
      <c r="H73" s="23"/>
      <c r="I73" s="23"/>
      <c r="J73" s="23"/>
      <c r="K73" s="23"/>
      <c r="L73" s="23"/>
      <c r="M73" s="23"/>
      <c r="N73" s="23"/>
      <c r="O73" s="23"/>
      <c r="P73" s="25"/>
      <c r="Q73" s="23"/>
      <c r="R73" s="23"/>
      <c r="S73" s="23"/>
      <c r="T73" s="25"/>
      <c r="U73" s="25"/>
      <c r="V73" s="25"/>
    </row>
    <row r="74" spans="1:22" x14ac:dyDescent="0.2">
      <c r="A74" s="774"/>
      <c r="B74" s="4"/>
      <c r="C74" s="23"/>
      <c r="D74" s="23"/>
      <c r="E74" s="23"/>
      <c r="F74" s="23"/>
      <c r="G74" s="23"/>
      <c r="H74" s="23"/>
      <c r="I74" s="23"/>
      <c r="J74" s="23"/>
      <c r="K74" s="23"/>
      <c r="L74" s="23"/>
      <c r="M74" s="23"/>
      <c r="N74" s="23"/>
      <c r="O74" s="23"/>
      <c r="P74" s="25"/>
      <c r="Q74" s="23"/>
      <c r="R74" s="23"/>
      <c r="S74" s="23"/>
      <c r="T74" s="25"/>
      <c r="U74" s="25"/>
      <c r="V74" s="25"/>
    </row>
    <row r="75" spans="1:22" x14ac:dyDescent="0.2">
      <c r="A75" s="774"/>
      <c r="B75" s="4"/>
      <c r="C75" s="23"/>
      <c r="D75" s="23"/>
      <c r="E75" s="23"/>
      <c r="F75" s="23"/>
      <c r="G75" s="23"/>
      <c r="H75" s="23"/>
      <c r="I75" s="23"/>
      <c r="J75" s="23"/>
      <c r="K75" s="23"/>
      <c r="L75" s="23"/>
      <c r="M75" s="23"/>
      <c r="N75" s="23"/>
      <c r="O75" s="23"/>
      <c r="P75" s="25"/>
      <c r="Q75" s="23"/>
      <c r="R75" s="23"/>
      <c r="S75" s="23"/>
      <c r="T75" s="25"/>
      <c r="U75" s="25"/>
      <c r="V75" s="25"/>
    </row>
    <row r="76" spans="1:22" x14ac:dyDescent="0.2">
      <c r="A76" s="774"/>
      <c r="B76" s="4"/>
      <c r="C76" s="23"/>
      <c r="D76" s="23"/>
      <c r="E76" s="23"/>
      <c r="F76" s="23"/>
      <c r="G76" s="23"/>
      <c r="H76" s="23"/>
      <c r="I76" s="23"/>
      <c r="J76" s="23"/>
      <c r="K76" s="23"/>
      <c r="L76" s="23"/>
      <c r="M76" s="23"/>
      <c r="N76" s="23"/>
      <c r="O76" s="23"/>
      <c r="P76" s="4"/>
      <c r="Q76" s="23"/>
      <c r="R76" s="23"/>
      <c r="S76" s="23"/>
      <c r="T76" s="4"/>
      <c r="U76" s="4"/>
      <c r="V76" s="4"/>
    </row>
    <row r="77" spans="1:22" x14ac:dyDescent="0.2">
      <c r="A77" s="774"/>
      <c r="B77" s="4"/>
      <c r="C77" s="23"/>
      <c r="D77" s="23"/>
      <c r="E77" s="23"/>
      <c r="F77" s="23"/>
      <c r="G77" s="23"/>
      <c r="H77" s="23"/>
      <c r="I77" s="23"/>
      <c r="J77" s="23"/>
      <c r="K77" s="23"/>
      <c r="L77" s="23"/>
      <c r="M77" s="23"/>
      <c r="N77" s="23"/>
      <c r="O77" s="23"/>
      <c r="P77" s="4"/>
      <c r="Q77" s="23"/>
      <c r="R77" s="23"/>
      <c r="S77" s="23"/>
      <c r="T77" s="4"/>
      <c r="U77" s="4"/>
      <c r="V77" s="4"/>
    </row>
    <row r="78" spans="1:22" x14ac:dyDescent="0.2">
      <c r="A78" s="774"/>
      <c r="B78" s="4"/>
      <c r="C78" s="23"/>
      <c r="D78" s="23"/>
      <c r="E78" s="23"/>
      <c r="F78" s="23"/>
      <c r="G78" s="23"/>
      <c r="H78" s="23"/>
      <c r="I78" s="23"/>
      <c r="J78" s="23"/>
      <c r="K78" s="23"/>
      <c r="L78" s="23"/>
      <c r="M78" s="23"/>
      <c r="N78" s="23"/>
      <c r="O78" s="23"/>
      <c r="P78" s="4"/>
      <c r="Q78" s="23"/>
      <c r="R78" s="23"/>
      <c r="S78" s="23"/>
      <c r="T78" s="4"/>
      <c r="U78" s="4"/>
      <c r="V78" s="4"/>
    </row>
    <row r="79" spans="1:22" x14ac:dyDescent="0.2">
      <c r="A79" s="774"/>
      <c r="B79" s="4"/>
      <c r="C79" s="23"/>
      <c r="D79" s="23"/>
      <c r="E79" s="23"/>
      <c r="F79" s="23"/>
      <c r="G79" s="23"/>
      <c r="H79" s="23"/>
      <c r="I79" s="23"/>
      <c r="J79" s="23"/>
      <c r="K79" s="23"/>
      <c r="L79" s="23"/>
      <c r="M79" s="23"/>
      <c r="N79" s="23"/>
      <c r="O79" s="23"/>
      <c r="P79" s="4"/>
      <c r="Q79" s="23"/>
      <c r="R79" s="23"/>
      <c r="S79" s="23"/>
      <c r="T79" s="4"/>
      <c r="U79" s="4"/>
      <c r="V79" s="4"/>
    </row>
    <row r="80" spans="1:22" x14ac:dyDescent="0.2">
      <c r="A80" s="774"/>
      <c r="B80" s="4"/>
      <c r="C80" s="23"/>
      <c r="D80" s="23"/>
      <c r="E80" s="23"/>
      <c r="F80" s="23"/>
      <c r="G80" s="23"/>
      <c r="H80" s="23"/>
      <c r="I80" s="23"/>
      <c r="J80" s="23"/>
      <c r="K80" s="23"/>
      <c r="L80" s="23"/>
      <c r="M80" s="23"/>
      <c r="N80" s="23"/>
      <c r="O80" s="23"/>
      <c r="P80" s="4"/>
      <c r="Q80" s="23"/>
      <c r="R80" s="23"/>
      <c r="S80" s="23"/>
      <c r="T80" s="4"/>
      <c r="U80" s="4"/>
      <c r="V80" s="4"/>
    </row>
    <row r="81" spans="1:22" x14ac:dyDescent="0.2">
      <c r="A81" s="774"/>
      <c r="B81" s="4"/>
      <c r="C81" s="23"/>
      <c r="D81" s="23"/>
      <c r="E81" s="23"/>
      <c r="F81" s="23"/>
      <c r="G81" s="23"/>
      <c r="H81" s="23"/>
      <c r="I81" s="23"/>
      <c r="J81" s="23"/>
      <c r="K81" s="23"/>
      <c r="L81" s="23"/>
      <c r="M81" s="23"/>
      <c r="N81" s="23"/>
      <c r="O81" s="23"/>
      <c r="P81" s="4"/>
      <c r="Q81" s="23"/>
      <c r="R81" s="23"/>
      <c r="S81" s="23"/>
      <c r="T81" s="4"/>
      <c r="U81" s="4"/>
      <c r="V81" s="4"/>
    </row>
    <row r="82" spans="1:22" x14ac:dyDescent="0.2">
      <c r="A82" s="774"/>
      <c r="B82" s="4"/>
      <c r="C82" s="23"/>
      <c r="D82" s="23"/>
      <c r="E82" s="23"/>
      <c r="F82" s="23"/>
      <c r="G82" s="23"/>
      <c r="H82" s="23"/>
      <c r="I82" s="23"/>
      <c r="J82" s="23"/>
      <c r="K82" s="23"/>
      <c r="L82" s="23"/>
      <c r="M82" s="23"/>
      <c r="N82" s="23"/>
      <c r="O82" s="23"/>
      <c r="P82" s="4"/>
      <c r="Q82" s="23"/>
      <c r="R82" s="23"/>
      <c r="S82" s="23"/>
      <c r="T82" s="4"/>
      <c r="U82" s="4"/>
      <c r="V82" s="4"/>
    </row>
    <row r="83" spans="1:22" x14ac:dyDescent="0.2">
      <c r="A83" s="774"/>
      <c r="B83" s="4"/>
      <c r="C83" s="23"/>
      <c r="D83" s="23"/>
      <c r="E83" s="23"/>
      <c r="F83" s="23"/>
      <c r="G83" s="23"/>
      <c r="H83" s="23"/>
      <c r="I83" s="23"/>
      <c r="J83" s="23"/>
      <c r="K83" s="23"/>
      <c r="L83" s="23"/>
      <c r="M83" s="23"/>
      <c r="N83" s="23"/>
      <c r="O83" s="23"/>
      <c r="P83" s="4"/>
      <c r="Q83" s="23"/>
      <c r="R83" s="23"/>
      <c r="S83" s="23"/>
      <c r="T83" s="4"/>
      <c r="U83" s="4"/>
      <c r="V83" s="4"/>
    </row>
    <row r="84" spans="1:22" x14ac:dyDescent="0.2">
      <c r="A84" s="774"/>
      <c r="B84" s="4"/>
      <c r="C84" s="23"/>
      <c r="D84" s="23"/>
      <c r="E84" s="23"/>
      <c r="F84" s="23"/>
      <c r="G84" s="23"/>
      <c r="H84" s="23"/>
      <c r="I84" s="23"/>
      <c r="J84" s="23"/>
      <c r="K84" s="23"/>
      <c r="L84" s="23"/>
      <c r="M84" s="23"/>
      <c r="N84" s="23"/>
      <c r="O84" s="23"/>
      <c r="P84" s="4"/>
      <c r="Q84" s="23"/>
      <c r="R84" s="23"/>
      <c r="S84" s="23"/>
      <c r="T84" s="4"/>
      <c r="U84" s="4"/>
      <c r="V84" s="4"/>
    </row>
    <row r="85" spans="1:22" x14ac:dyDescent="0.2">
      <c r="A85" s="774"/>
      <c r="B85" s="4"/>
      <c r="C85" s="23"/>
      <c r="D85" s="23"/>
      <c r="E85" s="23"/>
      <c r="F85" s="23"/>
      <c r="G85" s="23"/>
      <c r="H85" s="23"/>
      <c r="I85" s="23"/>
      <c r="J85" s="23"/>
      <c r="K85" s="23"/>
      <c r="L85" s="23"/>
      <c r="M85" s="23"/>
      <c r="N85" s="23"/>
      <c r="O85" s="23"/>
      <c r="P85" s="4"/>
      <c r="Q85" s="23"/>
      <c r="R85" s="23"/>
      <c r="S85" s="23"/>
      <c r="T85" s="4"/>
      <c r="U85" s="4"/>
      <c r="V85" s="4"/>
    </row>
    <row r="86" spans="1:22" x14ac:dyDescent="0.2">
      <c r="A86" s="774"/>
      <c r="B86" s="4"/>
      <c r="C86" s="23"/>
      <c r="D86" s="23"/>
      <c r="E86" s="23"/>
      <c r="F86" s="23"/>
      <c r="G86" s="23"/>
      <c r="H86" s="23"/>
      <c r="I86" s="23"/>
      <c r="J86" s="23"/>
      <c r="K86" s="23"/>
      <c r="L86" s="23"/>
      <c r="M86" s="23"/>
      <c r="N86" s="23"/>
      <c r="O86" s="23"/>
      <c r="P86" s="4"/>
      <c r="Q86" s="23"/>
      <c r="R86" s="23"/>
      <c r="S86" s="23"/>
      <c r="T86" s="4"/>
      <c r="U86" s="4"/>
      <c r="V86" s="4"/>
    </row>
    <row r="87" spans="1:22" x14ac:dyDescent="0.2">
      <c r="A87" s="774"/>
      <c r="B87" s="4"/>
      <c r="C87" s="23"/>
      <c r="D87" s="23"/>
      <c r="E87" s="23"/>
      <c r="F87" s="23"/>
      <c r="G87" s="23"/>
      <c r="H87" s="23"/>
      <c r="I87" s="23"/>
      <c r="J87" s="23"/>
      <c r="K87" s="23"/>
      <c r="L87" s="23"/>
      <c r="M87" s="23"/>
      <c r="N87" s="23"/>
      <c r="O87" s="23"/>
      <c r="P87" s="4"/>
      <c r="Q87" s="23"/>
      <c r="R87" s="23"/>
      <c r="S87" s="23"/>
      <c r="T87" s="4"/>
      <c r="U87" s="4"/>
      <c r="V87" s="4"/>
    </row>
    <row r="88" spans="1:22" x14ac:dyDescent="0.2">
      <c r="A88" s="774"/>
      <c r="B88" s="4"/>
      <c r="C88" s="23"/>
      <c r="D88" s="23"/>
      <c r="E88" s="23"/>
      <c r="F88" s="23"/>
      <c r="G88" s="23"/>
      <c r="H88" s="23"/>
      <c r="I88" s="23"/>
      <c r="J88" s="23"/>
      <c r="K88" s="23"/>
      <c r="L88" s="23"/>
      <c r="M88" s="23"/>
      <c r="N88" s="23"/>
      <c r="O88" s="23"/>
      <c r="P88" s="4"/>
      <c r="Q88" s="23"/>
      <c r="R88" s="23"/>
      <c r="S88" s="23"/>
      <c r="T88" s="4"/>
      <c r="U88" s="4"/>
      <c r="V88" s="4"/>
    </row>
    <row r="89" spans="1:22" x14ac:dyDescent="0.2">
      <c r="A89" s="774"/>
      <c r="B89" s="4"/>
      <c r="C89" s="23"/>
      <c r="D89" s="23"/>
      <c r="E89" s="23"/>
      <c r="F89" s="23"/>
      <c r="G89" s="23"/>
      <c r="H89" s="23"/>
      <c r="I89" s="23"/>
      <c r="J89" s="23"/>
      <c r="K89" s="23"/>
      <c r="L89" s="23"/>
      <c r="M89" s="23"/>
      <c r="N89" s="23"/>
      <c r="O89" s="23"/>
      <c r="P89" s="4"/>
      <c r="Q89" s="23"/>
      <c r="R89" s="23"/>
      <c r="S89" s="23"/>
      <c r="T89" s="4"/>
      <c r="U89" s="4"/>
      <c r="V89" s="4"/>
    </row>
    <row r="90" spans="1:22" x14ac:dyDescent="0.2">
      <c r="A90" s="774"/>
      <c r="B90" s="4"/>
      <c r="C90" s="23"/>
      <c r="D90" s="23"/>
      <c r="E90" s="23"/>
      <c r="F90" s="23"/>
      <c r="G90" s="23"/>
      <c r="H90" s="23"/>
      <c r="I90" s="23"/>
      <c r="J90" s="23"/>
      <c r="K90" s="23"/>
      <c r="L90" s="23"/>
      <c r="M90" s="23"/>
      <c r="N90" s="23"/>
      <c r="O90" s="23"/>
      <c r="P90" s="4"/>
      <c r="Q90" s="23"/>
      <c r="R90" s="23"/>
      <c r="S90" s="23"/>
      <c r="T90" s="4"/>
      <c r="U90" s="4"/>
      <c r="V90" s="4"/>
    </row>
    <row r="91" spans="1:22" x14ac:dyDescent="0.2">
      <c r="A91" s="774"/>
      <c r="B91" s="4"/>
      <c r="C91" s="23"/>
      <c r="D91" s="23"/>
      <c r="E91" s="23"/>
      <c r="F91" s="23"/>
      <c r="G91" s="23"/>
      <c r="H91" s="23"/>
      <c r="I91" s="23"/>
      <c r="J91" s="23"/>
      <c r="K91" s="23"/>
      <c r="L91" s="23"/>
      <c r="M91" s="23"/>
      <c r="N91" s="23"/>
      <c r="O91" s="23"/>
      <c r="P91" s="4"/>
      <c r="Q91" s="23"/>
      <c r="R91" s="23"/>
      <c r="S91" s="23"/>
      <c r="T91" s="4"/>
      <c r="U91" s="4"/>
      <c r="V91" s="4"/>
    </row>
    <row r="92" spans="1:22" x14ac:dyDescent="0.2">
      <c r="A92" s="774"/>
      <c r="B92" s="4"/>
      <c r="C92" s="23"/>
      <c r="D92" s="23"/>
      <c r="E92" s="23"/>
      <c r="F92" s="23"/>
      <c r="G92" s="23"/>
      <c r="H92" s="23"/>
      <c r="I92" s="23"/>
      <c r="J92" s="23"/>
      <c r="K92" s="23"/>
      <c r="L92" s="23"/>
      <c r="M92" s="23"/>
      <c r="N92" s="23"/>
      <c r="O92" s="23"/>
      <c r="P92" s="4"/>
      <c r="Q92" s="23"/>
      <c r="R92" s="23"/>
      <c r="S92" s="23"/>
      <c r="T92" s="4"/>
      <c r="U92" s="4"/>
      <c r="V92" s="4"/>
    </row>
    <row r="93" spans="1:22" x14ac:dyDescent="0.2">
      <c r="A93" s="774"/>
      <c r="B93" s="4"/>
      <c r="C93" s="23"/>
      <c r="D93" s="23"/>
      <c r="E93" s="23"/>
      <c r="F93" s="23"/>
      <c r="G93" s="23"/>
      <c r="H93" s="23"/>
      <c r="I93" s="23"/>
      <c r="J93" s="23"/>
      <c r="K93" s="23"/>
      <c r="L93" s="23"/>
      <c r="M93" s="23"/>
      <c r="N93" s="23"/>
      <c r="O93" s="23"/>
      <c r="P93" s="4"/>
      <c r="Q93" s="23"/>
      <c r="R93" s="23"/>
      <c r="S93" s="23"/>
      <c r="T93" s="4"/>
      <c r="U93" s="4"/>
      <c r="V93" s="4"/>
    </row>
    <row r="94" spans="1:22" x14ac:dyDescent="0.2">
      <c r="A94" s="774"/>
      <c r="B94" s="4"/>
      <c r="C94" s="23"/>
      <c r="D94" s="23"/>
      <c r="E94" s="23"/>
      <c r="F94" s="23"/>
      <c r="G94" s="23"/>
      <c r="H94" s="23"/>
      <c r="I94" s="23"/>
      <c r="J94" s="23"/>
      <c r="K94" s="23"/>
      <c r="L94" s="23"/>
      <c r="M94" s="23"/>
      <c r="N94" s="23"/>
      <c r="O94" s="23"/>
      <c r="P94" s="4"/>
      <c r="Q94" s="23"/>
      <c r="R94" s="23"/>
      <c r="S94" s="23"/>
      <c r="T94" s="4"/>
      <c r="U94" s="4"/>
      <c r="V94" s="4"/>
    </row>
    <row r="95" spans="1:22" x14ac:dyDescent="0.2">
      <c r="A95" s="774"/>
      <c r="B95" s="4"/>
      <c r="C95" s="23"/>
      <c r="D95" s="23"/>
      <c r="E95" s="23"/>
      <c r="F95" s="23"/>
      <c r="G95" s="23"/>
      <c r="H95" s="23"/>
      <c r="I95" s="23"/>
      <c r="J95" s="23"/>
      <c r="K95" s="23"/>
      <c r="L95" s="23"/>
      <c r="M95" s="23"/>
      <c r="N95" s="23"/>
      <c r="O95" s="23"/>
      <c r="P95" s="4"/>
      <c r="Q95" s="23"/>
      <c r="R95" s="23"/>
      <c r="S95" s="23"/>
      <c r="T95" s="4"/>
      <c r="U95" s="4"/>
      <c r="V95" s="4"/>
    </row>
    <row r="96" spans="1:22" x14ac:dyDescent="0.2">
      <c r="A96" s="774"/>
      <c r="B96" s="4"/>
      <c r="C96" s="23"/>
      <c r="D96" s="23"/>
      <c r="E96" s="23"/>
      <c r="F96" s="23"/>
      <c r="G96" s="23"/>
      <c r="H96" s="23"/>
      <c r="I96" s="23"/>
      <c r="J96" s="23"/>
      <c r="K96" s="23"/>
      <c r="L96" s="23"/>
      <c r="M96" s="23"/>
      <c r="N96" s="23"/>
      <c r="O96" s="23"/>
      <c r="P96" s="4"/>
      <c r="Q96" s="23"/>
      <c r="R96" s="23"/>
      <c r="S96" s="23"/>
      <c r="T96" s="4"/>
      <c r="U96" s="4"/>
      <c r="V96" s="4"/>
    </row>
    <row r="97" spans="1:22" x14ac:dyDescent="0.2">
      <c r="A97" s="774"/>
      <c r="B97" s="4"/>
      <c r="C97" s="23"/>
      <c r="D97" s="23"/>
      <c r="E97" s="23"/>
      <c r="F97" s="23"/>
      <c r="G97" s="23"/>
      <c r="H97" s="23"/>
      <c r="I97" s="23"/>
      <c r="J97" s="23"/>
      <c r="K97" s="23"/>
      <c r="L97" s="23"/>
      <c r="M97" s="23"/>
      <c r="N97" s="23"/>
      <c r="O97" s="23"/>
      <c r="P97" s="4"/>
      <c r="Q97" s="23"/>
      <c r="R97" s="23"/>
      <c r="S97" s="23"/>
      <c r="T97" s="4"/>
      <c r="U97" s="4"/>
      <c r="V97" s="4"/>
    </row>
    <row r="98" spans="1:22" x14ac:dyDescent="0.2">
      <c r="A98" s="774"/>
      <c r="B98" s="4"/>
      <c r="C98" s="23"/>
      <c r="D98" s="23"/>
      <c r="E98" s="23"/>
      <c r="F98" s="23"/>
      <c r="G98" s="23"/>
      <c r="H98" s="23"/>
      <c r="I98" s="23"/>
      <c r="J98" s="23"/>
      <c r="K98" s="23"/>
      <c r="L98" s="23"/>
      <c r="M98" s="23"/>
      <c r="N98" s="23"/>
      <c r="O98" s="23"/>
      <c r="P98" s="4"/>
      <c r="Q98" s="23"/>
      <c r="R98" s="23"/>
      <c r="S98" s="23"/>
      <c r="T98" s="4"/>
      <c r="U98" s="4"/>
      <c r="V98" s="4"/>
    </row>
    <row r="99" spans="1:22" x14ac:dyDescent="0.2">
      <c r="A99" s="774"/>
      <c r="B99" s="4"/>
      <c r="C99" s="23"/>
      <c r="D99" s="23"/>
      <c r="E99" s="23"/>
      <c r="F99" s="23"/>
      <c r="G99" s="23"/>
      <c r="H99" s="23"/>
      <c r="I99" s="23"/>
      <c r="J99" s="23"/>
      <c r="K99" s="23"/>
      <c r="L99" s="23"/>
      <c r="M99" s="23"/>
      <c r="N99" s="23"/>
      <c r="O99" s="23"/>
      <c r="P99" s="4"/>
      <c r="Q99" s="23"/>
      <c r="R99" s="23"/>
      <c r="S99" s="23"/>
      <c r="T99" s="4"/>
      <c r="U99" s="4"/>
      <c r="V99" s="4"/>
    </row>
    <row r="100" spans="1:22" x14ac:dyDescent="0.2">
      <c r="A100" s="774"/>
      <c r="B100" s="4"/>
      <c r="C100" s="23"/>
      <c r="D100" s="23"/>
      <c r="E100" s="23"/>
      <c r="F100" s="23"/>
      <c r="G100" s="23"/>
      <c r="H100" s="23"/>
      <c r="I100" s="23"/>
      <c r="J100" s="23"/>
      <c r="K100" s="23"/>
      <c r="L100" s="23"/>
      <c r="M100" s="23"/>
      <c r="N100" s="23"/>
      <c r="O100" s="23"/>
      <c r="P100" s="4"/>
      <c r="Q100" s="23"/>
      <c r="R100" s="23"/>
      <c r="S100" s="23"/>
      <c r="T100" s="4"/>
      <c r="U100" s="4"/>
      <c r="V100" s="4"/>
    </row>
    <row r="101" spans="1:22" x14ac:dyDescent="0.2">
      <c r="A101" s="774"/>
      <c r="B101" s="4"/>
      <c r="C101" s="23"/>
      <c r="D101" s="23"/>
      <c r="E101" s="23"/>
      <c r="F101" s="23"/>
      <c r="G101" s="23"/>
      <c r="H101" s="23"/>
      <c r="I101" s="23"/>
      <c r="J101" s="23"/>
      <c r="K101" s="23"/>
      <c r="L101" s="23"/>
      <c r="M101" s="23"/>
      <c r="N101" s="23"/>
      <c r="O101" s="23"/>
      <c r="P101" s="4"/>
      <c r="Q101" s="23"/>
      <c r="R101" s="23"/>
      <c r="S101" s="23"/>
      <c r="T101" s="4"/>
      <c r="U101" s="4"/>
      <c r="V101" s="4"/>
    </row>
    <row r="102" spans="1:22" x14ac:dyDescent="0.2">
      <c r="A102" s="774"/>
      <c r="B102" s="4"/>
      <c r="C102" s="23"/>
      <c r="D102" s="23"/>
      <c r="E102" s="23"/>
      <c r="F102" s="23"/>
      <c r="G102" s="23"/>
      <c r="H102" s="23"/>
      <c r="I102" s="23"/>
      <c r="J102" s="23"/>
      <c r="K102" s="23"/>
      <c r="L102" s="23"/>
      <c r="M102" s="23"/>
      <c r="N102" s="23"/>
      <c r="O102" s="23"/>
      <c r="P102" s="4"/>
      <c r="Q102" s="23"/>
      <c r="R102" s="23"/>
      <c r="S102" s="23"/>
      <c r="T102" s="4"/>
      <c r="U102" s="4"/>
      <c r="V102" s="4"/>
    </row>
    <row r="103" spans="1:22" x14ac:dyDescent="0.2">
      <c r="A103" s="774"/>
      <c r="B103" s="4"/>
      <c r="C103" s="23"/>
      <c r="D103" s="23"/>
      <c r="E103" s="23"/>
      <c r="F103" s="23"/>
      <c r="G103" s="23"/>
      <c r="H103" s="23"/>
      <c r="I103" s="23"/>
      <c r="J103" s="23"/>
      <c r="K103" s="23"/>
      <c r="L103" s="23"/>
      <c r="M103" s="23"/>
      <c r="N103" s="23"/>
      <c r="O103" s="23"/>
      <c r="P103" s="4"/>
      <c r="Q103" s="23"/>
      <c r="R103" s="23"/>
      <c r="S103" s="23"/>
      <c r="T103" s="4"/>
      <c r="U103" s="4"/>
      <c r="V103" s="4"/>
    </row>
    <row r="104" spans="1:22" x14ac:dyDescent="0.2">
      <c r="A104" s="774"/>
      <c r="B104" s="4"/>
      <c r="C104" s="23"/>
      <c r="D104" s="23"/>
      <c r="E104" s="23"/>
      <c r="F104" s="23"/>
      <c r="G104" s="23"/>
      <c r="H104" s="23"/>
      <c r="I104" s="23"/>
      <c r="J104" s="23"/>
      <c r="K104" s="23"/>
      <c r="L104" s="23"/>
      <c r="M104" s="23"/>
      <c r="N104" s="23"/>
      <c r="O104" s="23"/>
      <c r="P104" s="4"/>
      <c r="Q104" s="23"/>
      <c r="R104" s="23"/>
      <c r="S104" s="23"/>
      <c r="T104" s="4"/>
      <c r="U104" s="4"/>
      <c r="V104" s="4"/>
    </row>
    <row r="105" spans="1:22" x14ac:dyDescent="0.2">
      <c r="A105" s="774"/>
      <c r="B105" s="4"/>
      <c r="C105" s="23"/>
      <c r="D105" s="23"/>
      <c r="E105" s="23"/>
      <c r="F105" s="23"/>
      <c r="G105" s="23"/>
      <c r="H105" s="23"/>
      <c r="I105" s="23"/>
      <c r="J105" s="23"/>
      <c r="K105" s="23"/>
      <c r="L105" s="23"/>
      <c r="M105" s="23"/>
      <c r="N105" s="23"/>
      <c r="O105" s="23"/>
      <c r="P105" s="4"/>
      <c r="Q105" s="23"/>
      <c r="R105" s="23"/>
      <c r="S105" s="23"/>
      <c r="T105" s="4"/>
      <c r="U105" s="4"/>
      <c r="V105" s="4"/>
    </row>
    <row r="106" spans="1:22" x14ac:dyDescent="0.2">
      <c r="A106" s="774"/>
      <c r="B106" s="4"/>
      <c r="C106" s="23"/>
      <c r="D106" s="23"/>
      <c r="E106" s="23"/>
      <c r="F106" s="23"/>
      <c r="G106" s="23"/>
      <c r="H106" s="23"/>
      <c r="I106" s="23"/>
      <c r="J106" s="23"/>
      <c r="K106" s="23"/>
      <c r="L106" s="23"/>
      <c r="M106" s="23"/>
      <c r="N106" s="23"/>
      <c r="O106" s="23"/>
      <c r="P106" s="4"/>
      <c r="Q106" s="23"/>
      <c r="R106" s="23"/>
      <c r="S106" s="23"/>
      <c r="T106" s="4"/>
      <c r="U106" s="4"/>
      <c r="V106" s="4"/>
    </row>
    <row r="107" spans="1:22" x14ac:dyDescent="0.2">
      <c r="A107" s="774"/>
      <c r="B107" s="4"/>
      <c r="C107" s="23"/>
      <c r="D107" s="23"/>
      <c r="E107" s="23"/>
      <c r="F107" s="23"/>
      <c r="G107" s="23"/>
      <c r="H107" s="23"/>
      <c r="I107" s="23"/>
      <c r="J107" s="23"/>
      <c r="K107" s="23"/>
      <c r="L107" s="23"/>
      <c r="M107" s="23"/>
      <c r="N107" s="23"/>
      <c r="O107" s="23"/>
      <c r="P107" s="4"/>
      <c r="Q107" s="23"/>
      <c r="R107" s="23"/>
      <c r="S107" s="23"/>
      <c r="T107" s="4"/>
      <c r="U107" s="4"/>
      <c r="V107" s="4"/>
    </row>
    <row r="108" spans="1:22" x14ac:dyDescent="0.2">
      <c r="A108" s="774"/>
      <c r="B108" s="4"/>
      <c r="C108" s="23"/>
      <c r="D108" s="23"/>
      <c r="E108" s="23"/>
      <c r="F108" s="23"/>
      <c r="G108" s="23"/>
      <c r="H108" s="23"/>
      <c r="I108" s="23"/>
      <c r="J108" s="23"/>
      <c r="K108" s="23"/>
      <c r="L108" s="23"/>
      <c r="M108" s="23"/>
      <c r="N108" s="23"/>
      <c r="O108" s="23"/>
      <c r="P108" s="4"/>
      <c r="Q108" s="23"/>
      <c r="R108" s="23"/>
      <c r="S108" s="23"/>
      <c r="T108" s="4"/>
      <c r="U108" s="4"/>
      <c r="V108" s="4"/>
    </row>
    <row r="109" spans="1:22" x14ac:dyDescent="0.2">
      <c r="A109" s="774"/>
      <c r="B109" s="4"/>
      <c r="C109" s="23"/>
      <c r="D109" s="23"/>
      <c r="E109" s="23"/>
      <c r="F109" s="23"/>
      <c r="G109" s="23"/>
      <c r="H109" s="23"/>
      <c r="I109" s="23"/>
      <c r="J109" s="23"/>
      <c r="K109" s="23"/>
      <c r="L109" s="23"/>
      <c r="M109" s="23"/>
      <c r="N109" s="23"/>
      <c r="O109" s="23"/>
      <c r="P109" s="4"/>
      <c r="Q109" s="23"/>
      <c r="R109" s="23"/>
      <c r="S109" s="23"/>
      <c r="T109" s="4"/>
      <c r="U109" s="4"/>
      <c r="V109" s="4"/>
    </row>
    <row r="110" spans="1:22" x14ac:dyDescent="0.2">
      <c r="A110" s="774"/>
      <c r="B110" s="4"/>
      <c r="C110" s="23"/>
      <c r="D110" s="23"/>
      <c r="E110" s="23"/>
      <c r="F110" s="23"/>
      <c r="G110" s="23"/>
      <c r="H110" s="23"/>
      <c r="I110" s="23"/>
      <c r="J110" s="23"/>
      <c r="K110" s="23"/>
      <c r="L110" s="23"/>
      <c r="M110" s="23"/>
      <c r="N110" s="23"/>
      <c r="O110" s="23"/>
      <c r="P110" s="4"/>
      <c r="Q110" s="23"/>
      <c r="R110" s="23"/>
      <c r="S110" s="23"/>
      <c r="T110" s="4"/>
      <c r="U110" s="4"/>
      <c r="V110" s="4"/>
    </row>
    <row r="111" spans="1:22" x14ac:dyDescent="0.2">
      <c r="A111" s="774"/>
      <c r="B111" s="4"/>
      <c r="C111" s="23"/>
      <c r="D111" s="23"/>
      <c r="E111" s="23"/>
      <c r="F111" s="23"/>
      <c r="G111" s="23"/>
      <c r="H111" s="23"/>
      <c r="I111" s="23"/>
      <c r="J111" s="23"/>
      <c r="K111" s="23"/>
      <c r="L111" s="23"/>
      <c r="M111" s="23"/>
      <c r="N111" s="23"/>
      <c r="O111" s="23"/>
      <c r="P111" s="4"/>
      <c r="Q111" s="23"/>
      <c r="R111" s="23"/>
      <c r="S111" s="23"/>
      <c r="T111" s="4"/>
      <c r="U111" s="4"/>
      <c r="V111" s="4"/>
    </row>
    <row r="112" spans="1:22" x14ac:dyDescent="0.2">
      <c r="A112" s="774"/>
      <c r="B112" s="4"/>
      <c r="C112" s="23"/>
      <c r="D112" s="23"/>
      <c r="E112" s="23"/>
      <c r="F112" s="23"/>
      <c r="G112" s="23"/>
      <c r="H112" s="23"/>
      <c r="I112" s="23"/>
      <c r="J112" s="23"/>
      <c r="K112" s="23"/>
      <c r="L112" s="23"/>
      <c r="M112" s="23"/>
      <c r="N112" s="23"/>
      <c r="O112" s="23"/>
      <c r="P112" s="4"/>
      <c r="Q112" s="23"/>
      <c r="R112" s="23"/>
      <c r="S112" s="23"/>
      <c r="T112" s="4"/>
      <c r="U112" s="4"/>
      <c r="V112" s="4"/>
    </row>
    <row r="113" spans="1:22" x14ac:dyDescent="0.2">
      <c r="A113" s="774"/>
      <c r="B113" s="4"/>
      <c r="C113" s="23"/>
      <c r="D113" s="23"/>
      <c r="E113" s="23"/>
      <c r="F113" s="23"/>
      <c r="G113" s="23"/>
      <c r="H113" s="23"/>
      <c r="I113" s="23"/>
      <c r="J113" s="23"/>
      <c r="K113" s="23"/>
      <c r="L113" s="23"/>
      <c r="M113" s="23"/>
      <c r="N113" s="23"/>
      <c r="O113" s="23"/>
      <c r="P113" s="4"/>
      <c r="Q113" s="23"/>
      <c r="R113" s="23"/>
      <c r="S113" s="23"/>
      <c r="T113" s="4"/>
      <c r="U113" s="4"/>
      <c r="V113" s="4"/>
    </row>
    <row r="114" spans="1:22" x14ac:dyDescent="0.2">
      <c r="A114" s="774"/>
      <c r="B114" s="4"/>
      <c r="C114" s="23"/>
      <c r="D114" s="23"/>
      <c r="E114" s="23"/>
      <c r="F114" s="23"/>
      <c r="G114" s="23"/>
      <c r="H114" s="23"/>
      <c r="I114" s="23"/>
      <c r="J114" s="23"/>
      <c r="K114" s="23"/>
      <c r="L114" s="23"/>
      <c r="M114" s="23"/>
      <c r="N114" s="23"/>
      <c r="O114" s="23"/>
      <c r="P114" s="4"/>
      <c r="Q114" s="23"/>
      <c r="R114" s="23"/>
      <c r="S114" s="23"/>
      <c r="T114" s="4"/>
      <c r="U114" s="4"/>
      <c r="V114" s="4"/>
    </row>
    <row r="115" spans="1:22" x14ac:dyDescent="0.2">
      <c r="A115" s="774"/>
      <c r="B115" s="4"/>
      <c r="C115" s="23"/>
      <c r="D115" s="23"/>
      <c r="E115" s="23"/>
      <c r="F115" s="23"/>
      <c r="G115" s="23"/>
      <c r="H115" s="23"/>
      <c r="I115" s="23"/>
      <c r="J115" s="23"/>
      <c r="K115" s="23"/>
      <c r="L115" s="23"/>
      <c r="M115" s="23"/>
      <c r="N115" s="23"/>
      <c r="O115" s="23"/>
      <c r="P115" s="4"/>
      <c r="Q115" s="23"/>
      <c r="R115" s="23"/>
      <c r="S115" s="23"/>
      <c r="T115" s="4"/>
      <c r="U115" s="4"/>
      <c r="V115" s="4"/>
    </row>
    <row r="116" spans="1:22" x14ac:dyDescent="0.2">
      <c r="A116" s="774"/>
      <c r="B116" s="4"/>
      <c r="C116" s="23"/>
      <c r="D116" s="23"/>
      <c r="E116" s="23"/>
      <c r="F116" s="23"/>
      <c r="G116" s="23"/>
      <c r="H116" s="23"/>
      <c r="I116" s="23"/>
      <c r="J116" s="23"/>
      <c r="K116" s="23"/>
      <c r="L116" s="23"/>
      <c r="M116" s="23"/>
      <c r="N116" s="23"/>
      <c r="O116" s="23"/>
      <c r="P116" s="4"/>
      <c r="Q116" s="23"/>
      <c r="R116" s="23"/>
      <c r="S116" s="23"/>
      <c r="T116" s="4"/>
      <c r="U116" s="4"/>
      <c r="V116" s="4"/>
    </row>
    <row r="117" spans="1:22" x14ac:dyDescent="0.2">
      <c r="A117" s="774"/>
      <c r="B117" s="4"/>
      <c r="C117" s="23"/>
      <c r="D117" s="23"/>
      <c r="E117" s="23"/>
      <c r="F117" s="23"/>
      <c r="G117" s="23"/>
      <c r="H117" s="23"/>
      <c r="I117" s="23"/>
      <c r="J117" s="23"/>
      <c r="K117" s="23"/>
      <c r="L117" s="23"/>
      <c r="M117" s="23"/>
      <c r="N117" s="23"/>
      <c r="O117" s="23"/>
      <c r="P117" s="4"/>
      <c r="Q117" s="23"/>
      <c r="R117" s="23"/>
      <c r="S117" s="23"/>
      <c r="T117" s="4"/>
      <c r="U117" s="4"/>
      <c r="V117" s="4"/>
    </row>
    <row r="118" spans="1:22" x14ac:dyDescent="0.2">
      <c r="A118" s="774"/>
      <c r="B118" s="4"/>
      <c r="C118" s="23"/>
      <c r="D118" s="23"/>
      <c r="E118" s="23"/>
      <c r="F118" s="23"/>
      <c r="G118" s="23"/>
      <c r="H118" s="23"/>
      <c r="I118" s="23"/>
      <c r="J118" s="23"/>
      <c r="K118" s="23"/>
      <c r="L118" s="23"/>
      <c r="M118" s="23"/>
      <c r="N118" s="23"/>
      <c r="O118" s="23"/>
      <c r="P118" s="4"/>
      <c r="Q118" s="23"/>
      <c r="R118" s="23"/>
      <c r="S118" s="23"/>
      <c r="T118" s="4"/>
      <c r="U118" s="4"/>
      <c r="V118" s="4"/>
    </row>
    <row r="119" spans="1:22" x14ac:dyDescent="0.2">
      <c r="A119" s="774"/>
      <c r="B119" s="4"/>
      <c r="C119" s="23"/>
      <c r="D119" s="23"/>
      <c r="E119" s="23"/>
      <c r="F119" s="23"/>
      <c r="G119" s="23"/>
      <c r="H119" s="23"/>
      <c r="I119" s="23"/>
      <c r="J119" s="23"/>
      <c r="K119" s="23"/>
      <c r="L119" s="23"/>
      <c r="M119" s="23"/>
      <c r="N119" s="23"/>
      <c r="O119" s="23"/>
      <c r="P119" s="4"/>
      <c r="Q119" s="23"/>
      <c r="R119" s="23"/>
      <c r="S119" s="23"/>
      <c r="T119" s="4"/>
      <c r="U119" s="4"/>
      <c r="V119" s="4"/>
    </row>
    <row r="120" spans="1:22" x14ac:dyDescent="0.2">
      <c r="A120" s="774"/>
      <c r="B120" s="4"/>
      <c r="C120" s="23"/>
      <c r="D120" s="23"/>
      <c r="E120" s="23"/>
      <c r="F120" s="23"/>
      <c r="G120" s="23"/>
      <c r="H120" s="23"/>
      <c r="I120" s="23"/>
      <c r="J120" s="23"/>
      <c r="K120" s="23"/>
      <c r="L120" s="23"/>
      <c r="M120" s="23"/>
      <c r="N120" s="23"/>
      <c r="O120" s="23"/>
      <c r="P120" s="4"/>
      <c r="Q120" s="23"/>
      <c r="R120" s="23"/>
      <c r="S120" s="23"/>
      <c r="T120" s="4"/>
      <c r="U120" s="4"/>
      <c r="V120" s="4"/>
    </row>
    <row r="121" spans="1:22" x14ac:dyDescent="0.2">
      <c r="A121" s="774"/>
      <c r="B121" s="4"/>
      <c r="C121" s="23"/>
      <c r="D121" s="23"/>
      <c r="E121" s="23"/>
      <c r="F121" s="23"/>
      <c r="G121" s="23"/>
      <c r="H121" s="23"/>
      <c r="I121" s="23"/>
      <c r="J121" s="23"/>
      <c r="K121" s="23"/>
      <c r="L121" s="23"/>
      <c r="M121" s="23"/>
      <c r="N121" s="23"/>
      <c r="O121" s="23"/>
      <c r="P121" s="4"/>
      <c r="Q121" s="23"/>
      <c r="R121" s="23"/>
      <c r="S121" s="23"/>
      <c r="T121" s="4"/>
      <c r="U121" s="4"/>
      <c r="V121" s="4"/>
    </row>
    <row r="122" spans="1:22" x14ac:dyDescent="0.2">
      <c r="A122" s="774"/>
      <c r="B122" s="4"/>
      <c r="C122" s="23"/>
      <c r="D122" s="23"/>
      <c r="E122" s="23"/>
      <c r="F122" s="23"/>
      <c r="G122" s="23"/>
      <c r="H122" s="23"/>
      <c r="I122" s="23"/>
      <c r="J122" s="23"/>
      <c r="K122" s="23"/>
      <c r="L122" s="23"/>
      <c r="M122" s="23"/>
      <c r="N122" s="23"/>
      <c r="O122" s="23"/>
      <c r="P122" s="4"/>
      <c r="Q122" s="23"/>
      <c r="R122" s="23"/>
      <c r="S122" s="23"/>
      <c r="T122" s="4"/>
      <c r="U122" s="4"/>
      <c r="V122" s="4"/>
    </row>
    <row r="123" spans="1:22" x14ac:dyDescent="0.2">
      <c r="A123" s="774"/>
      <c r="B123" s="4"/>
      <c r="C123" s="23"/>
      <c r="D123" s="23"/>
      <c r="E123" s="23"/>
      <c r="F123" s="23"/>
      <c r="G123" s="23"/>
      <c r="H123" s="23"/>
      <c r="I123" s="23"/>
      <c r="J123" s="23"/>
      <c r="K123" s="23"/>
      <c r="L123" s="23"/>
      <c r="M123" s="23"/>
      <c r="N123" s="23"/>
      <c r="O123" s="23"/>
      <c r="P123" s="4"/>
      <c r="Q123" s="23"/>
      <c r="R123" s="23"/>
      <c r="S123" s="23"/>
      <c r="T123" s="4"/>
      <c r="U123" s="4"/>
      <c r="V123" s="4"/>
    </row>
    <row r="124" spans="1:22" x14ac:dyDescent="0.2">
      <c r="A124" s="774"/>
      <c r="B124" s="4"/>
      <c r="C124" s="23"/>
      <c r="D124" s="23"/>
      <c r="E124" s="23"/>
      <c r="F124" s="23"/>
      <c r="G124" s="23"/>
      <c r="H124" s="23"/>
      <c r="I124" s="23"/>
      <c r="J124" s="23"/>
      <c r="K124" s="23"/>
      <c r="L124" s="23"/>
      <c r="M124" s="23"/>
      <c r="N124" s="23"/>
      <c r="O124" s="23"/>
      <c r="P124" s="4"/>
      <c r="Q124" s="23"/>
      <c r="R124" s="23"/>
      <c r="S124" s="23"/>
      <c r="T124" s="4"/>
      <c r="U124" s="4"/>
      <c r="V124" s="4"/>
    </row>
    <row r="125" spans="1:22" x14ac:dyDescent="0.2">
      <c r="A125" s="774"/>
      <c r="B125" s="4"/>
      <c r="C125" s="23"/>
      <c r="D125" s="23"/>
      <c r="E125" s="23"/>
      <c r="F125" s="23"/>
      <c r="G125" s="23"/>
      <c r="H125" s="23"/>
      <c r="I125" s="23"/>
      <c r="J125" s="23"/>
      <c r="K125" s="23"/>
      <c r="L125" s="23"/>
      <c r="M125" s="23"/>
      <c r="N125" s="23"/>
      <c r="O125" s="23"/>
      <c r="P125" s="4"/>
      <c r="Q125" s="23"/>
      <c r="R125" s="23"/>
      <c r="S125" s="23"/>
      <c r="T125" s="4"/>
      <c r="U125" s="4"/>
      <c r="V125" s="4"/>
    </row>
    <row r="126" spans="1:22" x14ac:dyDescent="0.2">
      <c r="A126" s="774"/>
      <c r="B126" s="4"/>
      <c r="C126" s="23"/>
      <c r="D126" s="23"/>
      <c r="E126" s="23"/>
      <c r="F126" s="23"/>
      <c r="G126" s="23"/>
      <c r="H126" s="23"/>
      <c r="I126" s="23"/>
      <c r="J126" s="23"/>
      <c r="K126" s="23"/>
      <c r="L126" s="23"/>
      <c r="M126" s="23"/>
      <c r="N126" s="23"/>
      <c r="O126" s="23"/>
      <c r="P126" s="4"/>
      <c r="Q126" s="23"/>
      <c r="R126" s="23"/>
      <c r="S126" s="23"/>
      <c r="T126" s="4"/>
      <c r="U126" s="4"/>
      <c r="V126" s="4"/>
    </row>
    <row r="127" spans="1:22" x14ac:dyDescent="0.2">
      <c r="A127" s="774"/>
      <c r="B127" s="4"/>
      <c r="C127" s="23"/>
      <c r="D127" s="23"/>
      <c r="E127" s="23"/>
      <c r="F127" s="23"/>
      <c r="G127" s="23"/>
      <c r="H127" s="23"/>
      <c r="I127" s="23"/>
      <c r="J127" s="23"/>
      <c r="K127" s="23"/>
      <c r="L127" s="23"/>
      <c r="M127" s="23"/>
      <c r="N127" s="23"/>
      <c r="O127" s="23"/>
      <c r="P127" s="4"/>
      <c r="Q127" s="23"/>
      <c r="R127" s="23"/>
      <c r="S127" s="23"/>
      <c r="T127" s="4"/>
      <c r="U127" s="4"/>
      <c r="V127" s="4"/>
    </row>
    <row r="128" spans="1:22" x14ac:dyDescent="0.2">
      <c r="A128" s="774"/>
      <c r="B128" s="4"/>
      <c r="C128" s="23"/>
      <c r="D128" s="23"/>
      <c r="E128" s="23"/>
      <c r="F128" s="23"/>
      <c r="G128" s="23"/>
      <c r="H128" s="23"/>
      <c r="I128" s="23"/>
      <c r="J128" s="23"/>
      <c r="K128" s="23"/>
      <c r="L128" s="23"/>
      <c r="M128" s="23"/>
      <c r="N128" s="23"/>
      <c r="O128" s="23"/>
      <c r="P128" s="4"/>
      <c r="Q128" s="23"/>
      <c r="R128" s="23"/>
      <c r="S128" s="23"/>
      <c r="T128" s="4"/>
      <c r="U128" s="4"/>
      <c r="V128" s="4"/>
    </row>
    <row r="129" spans="1:22" x14ac:dyDescent="0.2">
      <c r="A129" s="774"/>
      <c r="B129" s="4"/>
      <c r="C129" s="23"/>
      <c r="D129" s="23"/>
      <c r="E129" s="23"/>
      <c r="F129" s="23"/>
      <c r="G129" s="23"/>
      <c r="H129" s="23"/>
      <c r="I129" s="23"/>
      <c r="J129" s="23"/>
      <c r="K129" s="23"/>
      <c r="L129" s="23"/>
      <c r="M129" s="23"/>
      <c r="N129" s="23"/>
      <c r="O129" s="23"/>
      <c r="P129" s="4"/>
      <c r="Q129" s="23"/>
      <c r="R129" s="23"/>
      <c r="S129" s="23"/>
      <c r="T129" s="4"/>
      <c r="U129" s="4"/>
      <c r="V129" s="4"/>
    </row>
    <row r="130" spans="1:22" x14ac:dyDescent="0.2">
      <c r="A130" s="774"/>
      <c r="B130" s="4"/>
      <c r="C130" s="23"/>
      <c r="D130" s="23"/>
      <c r="E130" s="23"/>
      <c r="F130" s="23"/>
      <c r="G130" s="23"/>
      <c r="H130" s="23"/>
      <c r="I130" s="23"/>
      <c r="J130" s="23"/>
      <c r="K130" s="23"/>
      <c r="L130" s="23"/>
      <c r="M130" s="23"/>
      <c r="N130" s="23"/>
      <c r="O130" s="23"/>
      <c r="P130" s="4"/>
      <c r="Q130" s="23"/>
      <c r="R130" s="23"/>
      <c r="S130" s="23"/>
      <c r="T130" s="4"/>
      <c r="U130" s="4"/>
      <c r="V130" s="4"/>
    </row>
    <row r="131" spans="1:22" x14ac:dyDescent="0.2">
      <c r="A131" s="774"/>
      <c r="B131" s="4"/>
      <c r="C131" s="23"/>
      <c r="D131" s="23"/>
      <c r="E131" s="23"/>
      <c r="F131" s="23"/>
      <c r="G131" s="23"/>
      <c r="H131" s="23"/>
      <c r="I131" s="23"/>
      <c r="J131" s="23"/>
      <c r="K131" s="23"/>
      <c r="L131" s="23"/>
      <c r="M131" s="23"/>
      <c r="N131" s="23"/>
      <c r="O131" s="23"/>
      <c r="P131" s="4"/>
      <c r="Q131" s="23"/>
      <c r="R131" s="23"/>
      <c r="S131" s="23"/>
      <c r="T131" s="4"/>
      <c r="U131" s="4"/>
      <c r="V131" s="4"/>
    </row>
    <row r="132" spans="1:22" x14ac:dyDescent="0.2">
      <c r="A132" s="774"/>
      <c r="B132" s="4"/>
      <c r="C132" s="23"/>
      <c r="D132" s="23"/>
      <c r="E132" s="23"/>
      <c r="F132" s="23"/>
      <c r="G132" s="23"/>
      <c r="H132" s="23"/>
      <c r="I132" s="23"/>
      <c r="J132" s="23"/>
      <c r="K132" s="23"/>
      <c r="L132" s="23"/>
      <c r="M132" s="23"/>
      <c r="N132" s="23"/>
      <c r="O132" s="23"/>
      <c r="P132" s="4"/>
      <c r="Q132" s="23"/>
      <c r="R132" s="23"/>
      <c r="S132" s="23"/>
      <c r="T132" s="4"/>
      <c r="U132" s="4"/>
      <c r="V132" s="4"/>
    </row>
    <row r="133" spans="1:22" x14ac:dyDescent="0.2">
      <c r="A133" s="774"/>
      <c r="B133" s="4"/>
      <c r="C133" s="23"/>
      <c r="D133" s="23"/>
      <c r="E133" s="23"/>
      <c r="F133" s="23"/>
      <c r="G133" s="23"/>
      <c r="H133" s="23"/>
      <c r="I133" s="23"/>
      <c r="J133" s="23"/>
      <c r="K133" s="23"/>
      <c r="L133" s="23"/>
      <c r="M133" s="23"/>
      <c r="N133" s="23"/>
      <c r="O133" s="23"/>
      <c r="P133" s="4"/>
      <c r="Q133" s="23"/>
      <c r="R133" s="23"/>
      <c r="S133" s="23"/>
      <c r="T133" s="4"/>
      <c r="U133" s="4"/>
      <c r="V133" s="4"/>
    </row>
    <row r="134" spans="1:22" x14ac:dyDescent="0.2">
      <c r="A134" s="774"/>
      <c r="B134" s="4"/>
      <c r="C134" s="23"/>
      <c r="D134" s="23"/>
      <c r="E134" s="23"/>
      <c r="F134" s="23"/>
      <c r="G134" s="23"/>
      <c r="H134" s="23"/>
      <c r="I134" s="23"/>
      <c r="J134" s="23"/>
      <c r="K134" s="23"/>
      <c r="L134" s="23"/>
      <c r="M134" s="23"/>
      <c r="N134" s="23"/>
      <c r="O134" s="23"/>
      <c r="P134" s="4"/>
      <c r="Q134" s="23"/>
      <c r="R134" s="23"/>
      <c r="S134" s="23"/>
      <c r="T134" s="4"/>
      <c r="U134" s="4"/>
      <c r="V134" s="4"/>
    </row>
    <row r="135" spans="1:22" x14ac:dyDescent="0.2">
      <c r="A135" s="774"/>
      <c r="B135" s="4"/>
      <c r="C135" s="23"/>
      <c r="D135" s="23"/>
      <c r="E135" s="23"/>
      <c r="F135" s="23"/>
      <c r="G135" s="23"/>
      <c r="H135" s="23"/>
      <c r="I135" s="23"/>
      <c r="J135" s="23"/>
      <c r="K135" s="23"/>
      <c r="L135" s="23"/>
      <c r="M135" s="23"/>
      <c r="N135" s="23"/>
      <c r="O135" s="23"/>
      <c r="P135" s="4"/>
      <c r="Q135" s="23"/>
      <c r="R135" s="23"/>
      <c r="S135" s="23"/>
      <c r="T135" s="4"/>
      <c r="U135" s="4"/>
      <c r="V135" s="4"/>
    </row>
    <row r="136" spans="1:22" x14ac:dyDescent="0.2">
      <c r="A136" s="774"/>
      <c r="B136" s="4"/>
      <c r="C136" s="23"/>
      <c r="D136" s="23"/>
      <c r="E136" s="23"/>
      <c r="F136" s="23"/>
      <c r="G136" s="23"/>
      <c r="H136" s="23"/>
      <c r="I136" s="23"/>
      <c r="J136" s="23"/>
      <c r="K136" s="23"/>
      <c r="L136" s="23"/>
      <c r="M136" s="23"/>
      <c r="N136" s="23"/>
      <c r="O136" s="23"/>
      <c r="P136" s="4"/>
      <c r="Q136" s="23"/>
      <c r="R136" s="23"/>
      <c r="S136" s="23"/>
      <c r="T136" s="4"/>
      <c r="U136" s="4"/>
      <c r="V136" s="4"/>
    </row>
    <row r="137" spans="1:22" x14ac:dyDescent="0.2">
      <c r="A137" s="774"/>
      <c r="B137" s="4"/>
      <c r="C137" s="23"/>
      <c r="D137" s="23"/>
      <c r="E137" s="23"/>
      <c r="F137" s="23"/>
      <c r="G137" s="23"/>
      <c r="H137" s="23"/>
      <c r="I137" s="23"/>
      <c r="J137" s="23"/>
      <c r="K137" s="23"/>
      <c r="L137" s="23"/>
      <c r="M137" s="23"/>
      <c r="N137" s="23"/>
      <c r="O137" s="23"/>
      <c r="P137" s="4"/>
      <c r="Q137" s="23"/>
      <c r="R137" s="23"/>
      <c r="S137" s="23"/>
      <c r="T137" s="4"/>
      <c r="U137" s="4"/>
      <c r="V137" s="4"/>
    </row>
    <row r="138" spans="1:22" x14ac:dyDescent="0.2">
      <c r="A138" s="774"/>
      <c r="B138" s="4"/>
      <c r="C138" s="23"/>
      <c r="D138" s="23"/>
      <c r="E138" s="23"/>
      <c r="F138" s="23"/>
      <c r="G138" s="23"/>
      <c r="H138" s="23"/>
      <c r="I138" s="23"/>
      <c r="J138" s="23"/>
      <c r="K138" s="23"/>
      <c r="L138" s="23"/>
      <c r="M138" s="23"/>
      <c r="N138" s="23"/>
      <c r="O138" s="23"/>
      <c r="P138" s="4"/>
      <c r="Q138" s="23"/>
      <c r="R138" s="23"/>
      <c r="S138" s="23"/>
      <c r="T138" s="4"/>
      <c r="U138" s="4"/>
      <c r="V138" s="4"/>
    </row>
    <row r="139" spans="1:22" x14ac:dyDescent="0.2">
      <c r="A139" s="774"/>
      <c r="B139" s="4"/>
      <c r="C139" s="23"/>
      <c r="D139" s="23"/>
      <c r="E139" s="23"/>
      <c r="F139" s="23"/>
      <c r="G139" s="23"/>
      <c r="H139" s="23"/>
      <c r="I139" s="23"/>
      <c r="J139" s="23"/>
      <c r="K139" s="23"/>
      <c r="L139" s="23"/>
      <c r="M139" s="23"/>
      <c r="N139" s="23"/>
      <c r="O139" s="23"/>
      <c r="P139" s="4"/>
      <c r="Q139" s="23"/>
      <c r="R139" s="23"/>
      <c r="S139" s="23"/>
      <c r="T139" s="4"/>
      <c r="U139" s="4"/>
      <c r="V139" s="4"/>
    </row>
    <row r="140" spans="1:22" x14ac:dyDescent="0.2">
      <c r="C140" s="212"/>
      <c r="D140" s="212"/>
      <c r="E140" s="212"/>
      <c r="F140" s="212"/>
      <c r="G140" s="212"/>
      <c r="H140" s="212"/>
      <c r="I140" s="212"/>
      <c r="J140" s="212"/>
      <c r="K140" s="212"/>
      <c r="L140" s="212"/>
      <c r="M140" s="212"/>
      <c r="N140" s="212"/>
      <c r="O140" s="212"/>
    </row>
    <row r="141" spans="1:22" x14ac:dyDescent="0.2">
      <c r="C141" s="212"/>
      <c r="D141" s="212"/>
      <c r="E141" s="212"/>
      <c r="F141" s="212"/>
      <c r="G141" s="212"/>
      <c r="H141" s="212"/>
      <c r="I141" s="212"/>
      <c r="J141" s="212"/>
      <c r="K141" s="212"/>
      <c r="L141" s="212"/>
      <c r="M141" s="212"/>
      <c r="N141" s="212"/>
      <c r="O141" s="212"/>
    </row>
    <row r="142" spans="1:22" x14ac:dyDescent="0.2">
      <c r="C142" s="212"/>
      <c r="D142" s="212"/>
      <c r="E142" s="212"/>
      <c r="F142" s="212"/>
      <c r="G142" s="212"/>
      <c r="H142" s="212"/>
      <c r="I142" s="212"/>
      <c r="J142" s="212"/>
      <c r="K142" s="212"/>
      <c r="L142" s="212"/>
      <c r="M142" s="212"/>
      <c r="N142" s="212"/>
      <c r="O142" s="212"/>
    </row>
    <row r="143" spans="1:22" x14ac:dyDescent="0.2">
      <c r="C143" s="212"/>
      <c r="D143" s="212"/>
      <c r="E143" s="212"/>
      <c r="F143" s="212"/>
      <c r="G143" s="212"/>
      <c r="H143" s="212"/>
      <c r="I143" s="212"/>
      <c r="J143" s="212"/>
      <c r="K143" s="212"/>
      <c r="L143" s="212"/>
      <c r="M143" s="212"/>
      <c r="N143" s="212"/>
      <c r="O143" s="212"/>
    </row>
    <row r="144" spans="1:22" x14ac:dyDescent="0.2">
      <c r="C144" s="212"/>
      <c r="D144" s="212"/>
      <c r="E144" s="212"/>
      <c r="F144" s="212"/>
      <c r="G144" s="212"/>
      <c r="H144" s="212"/>
      <c r="I144" s="212"/>
      <c r="J144" s="212"/>
      <c r="K144" s="212"/>
      <c r="L144" s="212"/>
      <c r="M144" s="212"/>
      <c r="N144" s="212"/>
      <c r="O144" s="212"/>
    </row>
    <row r="145" spans="3:15" x14ac:dyDescent="0.2">
      <c r="C145" s="212"/>
      <c r="D145" s="212"/>
      <c r="E145" s="212"/>
      <c r="F145" s="212"/>
      <c r="G145" s="212"/>
      <c r="H145" s="212"/>
      <c r="I145" s="212"/>
      <c r="J145" s="212"/>
      <c r="K145" s="212"/>
      <c r="L145" s="212"/>
      <c r="M145" s="212"/>
      <c r="N145" s="212"/>
      <c r="O145" s="212"/>
    </row>
    <row r="146" spans="3:15" x14ac:dyDescent="0.2">
      <c r="C146" s="212"/>
    </row>
    <row r="147" spans="3:15" x14ac:dyDescent="0.2">
      <c r="C147" s="212"/>
    </row>
    <row r="148" spans="3:15" x14ac:dyDescent="0.2">
      <c r="C148" s="212"/>
    </row>
    <row r="149" spans="3:15" x14ac:dyDescent="0.2">
      <c r="C149" s="212"/>
    </row>
    <row r="150" spans="3:15" x14ac:dyDescent="0.2">
      <c r="C150" s="212"/>
    </row>
    <row r="151" spans="3:15" x14ac:dyDescent="0.2">
      <c r="C151" s="212"/>
    </row>
    <row r="152" spans="3:15" x14ac:dyDescent="0.2">
      <c r="C152" s="212"/>
    </row>
    <row r="153" spans="3:15" x14ac:dyDescent="0.2">
      <c r="C153" s="212"/>
    </row>
    <row r="154" spans="3:15" x14ac:dyDescent="0.2">
      <c r="C154" s="212"/>
    </row>
    <row r="155" spans="3:15" x14ac:dyDescent="0.2">
      <c r="C155" s="212"/>
    </row>
    <row r="156" spans="3:15" x14ac:dyDescent="0.2">
      <c r="C156" s="212"/>
    </row>
    <row r="157" spans="3:15" x14ac:dyDescent="0.2">
      <c r="C157" s="212"/>
    </row>
    <row r="158" spans="3:15" x14ac:dyDescent="0.2">
      <c r="C158" s="212"/>
    </row>
    <row r="159" spans="3:15" x14ac:dyDescent="0.2">
      <c r="C159" s="212"/>
    </row>
    <row r="160" spans="3:15" x14ac:dyDescent="0.2">
      <c r="C160" s="212"/>
    </row>
    <row r="161" spans="3:3" x14ac:dyDescent="0.2">
      <c r="C161" s="212"/>
    </row>
    <row r="162" spans="3:3" x14ac:dyDescent="0.2">
      <c r="C162" s="212"/>
    </row>
    <row r="163" spans="3:3" x14ac:dyDescent="0.2">
      <c r="C163" s="212"/>
    </row>
    <row r="164" spans="3:3" x14ac:dyDescent="0.2">
      <c r="C164" s="212"/>
    </row>
    <row r="165" spans="3:3" x14ac:dyDescent="0.2">
      <c r="C165" s="212"/>
    </row>
    <row r="166" spans="3:3" x14ac:dyDescent="0.2">
      <c r="C166" s="212"/>
    </row>
    <row r="167" spans="3:3" x14ac:dyDescent="0.2">
      <c r="C167" s="212"/>
    </row>
    <row r="168" spans="3:3" x14ac:dyDescent="0.2">
      <c r="C168" s="212"/>
    </row>
    <row r="169" spans="3:3" x14ac:dyDescent="0.2">
      <c r="C169" s="212"/>
    </row>
    <row r="170" spans="3:3" x14ac:dyDescent="0.2">
      <c r="C170" s="212"/>
    </row>
    <row r="171" spans="3:3" x14ac:dyDescent="0.2">
      <c r="C171" s="212"/>
    </row>
    <row r="172" spans="3:3" x14ac:dyDescent="0.2">
      <c r="C172" s="212"/>
    </row>
    <row r="173" spans="3:3" x14ac:dyDescent="0.2">
      <c r="C173" s="212"/>
    </row>
    <row r="174" spans="3:3" x14ac:dyDescent="0.2">
      <c r="C174" s="212"/>
    </row>
    <row r="175" spans="3:3" x14ac:dyDescent="0.2">
      <c r="C175" s="212"/>
    </row>
    <row r="176" spans="3:3" x14ac:dyDescent="0.2">
      <c r="C176" s="212"/>
    </row>
    <row r="177" spans="3:3" x14ac:dyDescent="0.2">
      <c r="C177" s="212"/>
    </row>
    <row r="178" spans="3:3" x14ac:dyDescent="0.2">
      <c r="C178" s="212"/>
    </row>
    <row r="179" spans="3:3" x14ac:dyDescent="0.2">
      <c r="C179" s="212"/>
    </row>
    <row r="180" spans="3:3" x14ac:dyDescent="0.2">
      <c r="C180" s="212"/>
    </row>
    <row r="181" spans="3:3" x14ac:dyDescent="0.2">
      <c r="C181" s="212"/>
    </row>
    <row r="182" spans="3:3" x14ac:dyDescent="0.2">
      <c r="C182" s="212"/>
    </row>
    <row r="183" spans="3:3" x14ac:dyDescent="0.2">
      <c r="C183" s="212"/>
    </row>
    <row r="184" spans="3:3" x14ac:dyDescent="0.2">
      <c r="C184" s="212"/>
    </row>
    <row r="185" spans="3:3" x14ac:dyDescent="0.2">
      <c r="C185" s="212"/>
    </row>
    <row r="186" spans="3:3" x14ac:dyDescent="0.2">
      <c r="C186" s="212"/>
    </row>
  </sheetData>
  <phoneticPr fontId="0" type="noConversion"/>
  <hyperlinks>
    <hyperlink ref="A1" location="'Working Budget with funding det'!A1" display="Main " xr:uid="{00000000-0004-0000-3400-000000000000}"/>
    <hyperlink ref="B1" location="'Table of Contents'!A1" display="TOC" xr:uid="{00000000-0004-0000-3400-000001000000}"/>
  </hyperlinks>
  <pageMargins left="0.75" right="0.75" top="1" bottom="1" header="0.5" footer="0.5"/>
  <pageSetup scale="92" orientation="landscape" horizontalDpi="300" verticalDpi="300" r:id="rId1"/>
  <headerFooter alignWithMargins="0">
    <oddFooter>&amp;L&amp;D     &amp;T&amp;C&amp;F&amp;R&amp;A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B050"/>
  </sheetPr>
  <dimension ref="A1:W51"/>
  <sheetViews>
    <sheetView zoomScaleNormal="100" workbookViewId="0">
      <pane ySplit="7" topLeftCell="A8" activePane="bottomLeft" state="frozen"/>
      <selection activeCell="P15" sqref="P15"/>
      <selection pane="bottomLeft" activeCell="P15" sqref="P15"/>
    </sheetView>
  </sheetViews>
  <sheetFormatPr defaultRowHeight="12.75" x14ac:dyDescent="0.2"/>
  <cols>
    <col min="1" max="1" width="8.83203125" style="783"/>
    <col min="2" max="2" width="36.5" customWidth="1"/>
    <col min="3" max="3" width="14.33203125" style="1" hidden="1" customWidth="1"/>
    <col min="4" max="8" width="14.33203125" style="106" hidden="1" customWidth="1"/>
    <col min="9" max="12" width="14.33203125" style="76" hidden="1" customWidth="1"/>
    <col min="13" max="15" width="14.33203125" style="76" customWidth="1"/>
    <col min="16" max="20" width="14.33203125" customWidth="1"/>
    <col min="21" max="23" width="0" hidden="1" customWidth="1"/>
  </cols>
  <sheetData>
    <row r="1" spans="1:23" x14ac:dyDescent="0.2">
      <c r="A1" s="772" t="s">
        <v>847</v>
      </c>
      <c r="B1" s="308" t="s">
        <v>197</v>
      </c>
      <c r="D1" s="212"/>
      <c r="E1" s="212"/>
      <c r="F1" s="212"/>
      <c r="G1" s="212"/>
      <c r="H1" s="212"/>
      <c r="I1" s="212"/>
      <c r="J1" s="212"/>
      <c r="K1" s="212"/>
      <c r="L1" s="212"/>
      <c r="M1" s="212"/>
      <c r="N1" s="212"/>
      <c r="O1" s="212"/>
      <c r="Q1" s="1"/>
      <c r="R1" s="1"/>
    </row>
    <row r="2" spans="1:23" ht="15" x14ac:dyDescent="0.25">
      <c r="A2" s="773" t="s">
        <v>1073</v>
      </c>
      <c r="B2" s="43"/>
      <c r="D2" s="212"/>
      <c r="E2" s="126"/>
      <c r="F2" s="212"/>
      <c r="G2" s="212"/>
      <c r="H2" s="212"/>
      <c r="I2" s="126" t="s">
        <v>816</v>
      </c>
      <c r="J2" s="126"/>
      <c r="K2" s="126"/>
      <c r="L2" s="126"/>
      <c r="M2" s="126"/>
      <c r="N2" s="126"/>
      <c r="O2" s="126"/>
      <c r="P2" s="58" t="s">
        <v>1621</v>
      </c>
      <c r="Q2" s="1"/>
      <c r="R2" s="1"/>
      <c r="S2" s="44" t="s">
        <v>1622</v>
      </c>
    </row>
    <row r="3" spans="1:23" ht="13.5" thickBot="1" x14ac:dyDescent="0.25">
      <c r="A3" s="774"/>
      <c r="B3" s="4"/>
      <c r="C3" s="23"/>
      <c r="D3" s="23"/>
      <c r="E3" s="23"/>
      <c r="F3" s="23"/>
      <c r="G3" s="23"/>
      <c r="H3" s="23"/>
      <c r="I3" s="23"/>
      <c r="J3" s="23"/>
      <c r="K3" s="23"/>
      <c r="L3" s="23"/>
      <c r="M3" s="23"/>
      <c r="N3" s="23"/>
      <c r="O3" s="23"/>
      <c r="P3" s="4"/>
      <c r="Q3" s="23"/>
      <c r="R3" s="23"/>
      <c r="S3" s="4"/>
    </row>
    <row r="4" spans="1:23"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c r="U4" s="7"/>
      <c r="V4" s="7"/>
      <c r="W4" s="7"/>
    </row>
    <row r="5" spans="1:23" x14ac:dyDescent="0.2">
      <c r="A5" s="776"/>
      <c r="B5" s="202"/>
      <c r="C5" s="113"/>
      <c r="D5" s="82"/>
      <c r="E5" s="105"/>
      <c r="F5" s="82"/>
      <c r="G5" s="82"/>
      <c r="H5" s="105"/>
      <c r="I5" s="247"/>
      <c r="J5" s="247"/>
      <c r="K5" s="247"/>
      <c r="L5" s="247"/>
      <c r="M5" s="247"/>
      <c r="N5" s="247"/>
      <c r="O5" s="247"/>
      <c r="P5" s="105" t="s">
        <v>819</v>
      </c>
      <c r="Q5" s="83" t="s">
        <v>820</v>
      </c>
      <c r="R5" s="83" t="s">
        <v>821</v>
      </c>
      <c r="S5" s="196" t="s">
        <v>822</v>
      </c>
      <c r="U5" s="45" t="s">
        <v>275</v>
      </c>
      <c r="V5" s="45" t="s">
        <v>276</v>
      </c>
      <c r="W5" s="45" t="s">
        <v>277</v>
      </c>
    </row>
    <row r="6" spans="1:23" x14ac:dyDescent="0.2">
      <c r="A6" s="776"/>
      <c r="B6" s="202"/>
      <c r="C6" s="103"/>
      <c r="D6" s="82"/>
      <c r="E6" s="105"/>
      <c r="F6" s="105"/>
      <c r="G6" s="105"/>
      <c r="H6" s="105"/>
      <c r="I6" s="247"/>
      <c r="J6" s="247"/>
      <c r="K6" s="247"/>
      <c r="L6" s="247"/>
      <c r="M6" s="247"/>
      <c r="N6" s="247"/>
      <c r="O6" s="247"/>
      <c r="P6" s="105"/>
      <c r="Q6" s="83" t="s">
        <v>823</v>
      </c>
      <c r="R6" s="83" t="s">
        <v>585</v>
      </c>
      <c r="S6" s="45" t="s">
        <v>824</v>
      </c>
      <c r="U6" s="45"/>
      <c r="V6" s="45"/>
      <c r="W6" s="45"/>
    </row>
    <row r="7" spans="1:23" ht="13.5" thickBot="1" x14ac:dyDescent="0.25">
      <c r="A7" s="777" t="s">
        <v>825</v>
      </c>
      <c r="B7" s="78"/>
      <c r="C7" s="261" t="s">
        <v>267</v>
      </c>
      <c r="D7" s="261" t="s">
        <v>268</v>
      </c>
      <c r="E7" s="77" t="s">
        <v>269</v>
      </c>
      <c r="F7" s="77" t="s">
        <v>566</v>
      </c>
      <c r="G7" s="77" t="s">
        <v>567</v>
      </c>
      <c r="H7" s="77" t="s">
        <v>272</v>
      </c>
      <c r="I7" s="77" t="s">
        <v>273</v>
      </c>
      <c r="J7" s="77" t="s">
        <v>570</v>
      </c>
      <c r="K7" s="77" t="s">
        <v>275</v>
      </c>
      <c r="L7" s="77" t="s">
        <v>275</v>
      </c>
      <c r="M7" s="77" t="s">
        <v>276</v>
      </c>
      <c r="N7" s="77" t="s">
        <v>276</v>
      </c>
      <c r="O7" s="77" t="s">
        <v>277</v>
      </c>
      <c r="P7" s="122">
        <v>44926</v>
      </c>
      <c r="Q7" s="77" t="s">
        <v>826</v>
      </c>
      <c r="R7" s="77"/>
      <c r="S7" s="9" t="s">
        <v>585</v>
      </c>
      <c r="U7" s="9"/>
      <c r="V7" s="9"/>
      <c r="W7" s="9"/>
    </row>
    <row r="8" spans="1:23" ht="13.5" thickTop="1" x14ac:dyDescent="0.2">
      <c r="A8" s="778"/>
      <c r="B8" s="157"/>
      <c r="C8" s="115"/>
      <c r="D8" s="262"/>
      <c r="E8" s="262"/>
      <c r="F8" s="262"/>
      <c r="G8" s="262"/>
      <c r="H8" s="262"/>
      <c r="I8" s="144"/>
      <c r="J8" s="144"/>
      <c r="K8" s="144"/>
      <c r="L8" s="144"/>
      <c r="M8" s="144"/>
      <c r="N8" s="144"/>
      <c r="O8" s="144"/>
      <c r="P8" s="115"/>
      <c r="Q8" s="88"/>
      <c r="R8" s="88"/>
      <c r="S8" s="88"/>
    </row>
    <row r="9" spans="1:23" x14ac:dyDescent="0.2">
      <c r="A9" s="779"/>
      <c r="B9" s="60"/>
      <c r="C9" s="118"/>
      <c r="D9" s="118"/>
      <c r="E9" s="118"/>
      <c r="F9" s="118"/>
      <c r="G9" s="118"/>
      <c r="H9" s="118"/>
      <c r="I9" s="87"/>
      <c r="J9" s="87"/>
      <c r="K9" s="87"/>
      <c r="L9" s="87"/>
      <c r="M9" s="87"/>
      <c r="N9" s="87"/>
      <c r="O9" s="87"/>
      <c r="P9" s="118"/>
      <c r="Q9" s="87"/>
      <c r="R9" s="87"/>
      <c r="S9" s="87"/>
      <c r="T9" s="220" t="s">
        <v>1623</v>
      </c>
    </row>
    <row r="10" spans="1:23" x14ac:dyDescent="0.2">
      <c r="A10" s="779">
        <v>5211</v>
      </c>
      <c r="B10" s="60" t="s">
        <v>1410</v>
      </c>
      <c r="C10" s="118">
        <v>11553.22</v>
      </c>
      <c r="D10" s="18">
        <v>9846.44</v>
      </c>
      <c r="E10" s="18">
        <v>11587.74</v>
      </c>
      <c r="F10" s="18">
        <v>9530.26</v>
      </c>
      <c r="G10" s="18">
        <v>7728.8</v>
      </c>
      <c r="H10" s="18">
        <v>8895.5</v>
      </c>
      <c r="I10" s="112">
        <v>10074.92</v>
      </c>
      <c r="J10" s="112">
        <v>8385.32</v>
      </c>
      <c r="K10" s="19">
        <v>12000</v>
      </c>
      <c r="L10" s="330">
        <v>7757.95</v>
      </c>
      <c r="M10" s="19">
        <v>12000</v>
      </c>
      <c r="N10" s="330">
        <v>2479.36</v>
      </c>
      <c r="O10" s="19"/>
      <c r="P10" s="118"/>
      <c r="Q10" s="19"/>
      <c r="R10" s="19"/>
      <c r="S10" s="19"/>
      <c r="T10" s="272">
        <v>494.34</v>
      </c>
      <c r="U10" s="19"/>
      <c r="V10" s="19"/>
      <c r="W10" s="19"/>
    </row>
    <row r="11" spans="1:23" x14ac:dyDescent="0.2">
      <c r="A11" s="779">
        <v>5214</v>
      </c>
      <c r="B11" s="60" t="s">
        <v>1443</v>
      </c>
      <c r="C11" s="118">
        <v>2192.92</v>
      </c>
      <c r="D11" s="18">
        <v>81.84</v>
      </c>
      <c r="E11" s="18">
        <v>150.22</v>
      </c>
      <c r="F11" s="18">
        <v>157.93</v>
      </c>
      <c r="G11" s="18">
        <v>100.14</v>
      </c>
      <c r="H11" s="18">
        <v>359.33</v>
      </c>
      <c r="I11" s="112">
        <v>117.41</v>
      </c>
      <c r="J11" s="112">
        <v>150.12</v>
      </c>
      <c r="K11" s="19">
        <v>1000</v>
      </c>
      <c r="L11" s="330">
        <v>159.63</v>
      </c>
      <c r="M11" s="19">
        <v>1000</v>
      </c>
      <c r="N11" s="330">
        <v>21.87</v>
      </c>
      <c r="O11" s="19"/>
      <c r="P11" s="118"/>
      <c r="Q11" s="19"/>
      <c r="R11" s="19"/>
      <c r="S11" s="19"/>
      <c r="U11" s="19"/>
      <c r="V11" s="19"/>
      <c r="W11" s="19"/>
    </row>
    <row r="12" spans="1:23" x14ac:dyDescent="0.2">
      <c r="A12" s="779">
        <v>5231</v>
      </c>
      <c r="B12" s="60" t="s">
        <v>1444</v>
      </c>
      <c r="C12" s="118">
        <v>546</v>
      </c>
      <c r="D12" s="18">
        <v>591</v>
      </c>
      <c r="E12" s="18">
        <v>482</v>
      </c>
      <c r="F12" s="18">
        <v>582</v>
      </c>
      <c r="G12" s="18">
        <v>627</v>
      </c>
      <c r="H12" s="18">
        <v>627</v>
      </c>
      <c r="I12" s="112">
        <v>631</v>
      </c>
      <c r="J12" s="112">
        <v>634</v>
      </c>
      <c r="K12" s="19">
        <v>1000</v>
      </c>
      <c r="L12" s="330">
        <v>559</v>
      </c>
      <c r="M12" s="19">
        <v>1000</v>
      </c>
      <c r="N12" s="330">
        <v>276</v>
      </c>
      <c r="O12" s="19">
        <v>1000</v>
      </c>
      <c r="P12" s="118"/>
      <c r="Q12" s="19">
        <v>1000</v>
      </c>
      <c r="R12" s="19"/>
      <c r="S12" s="19"/>
      <c r="U12" s="19"/>
      <c r="V12" s="19"/>
      <c r="W12" s="19"/>
    </row>
    <row r="13" spans="1:23" x14ac:dyDescent="0.2">
      <c r="A13" s="779">
        <v>5232</v>
      </c>
      <c r="B13" s="60" t="s">
        <v>581</v>
      </c>
      <c r="C13" s="118">
        <v>360</v>
      </c>
      <c r="D13" s="18">
        <v>373.2</v>
      </c>
      <c r="E13" s="18">
        <v>373.2</v>
      </c>
      <c r="F13" s="18">
        <v>410.4</v>
      </c>
      <c r="G13" s="18">
        <v>480</v>
      </c>
      <c r="H13" s="18">
        <v>496.8</v>
      </c>
      <c r="I13" s="112">
        <v>848.98</v>
      </c>
      <c r="J13" s="112">
        <v>1143.2</v>
      </c>
      <c r="K13" s="19">
        <v>1200</v>
      </c>
      <c r="L13" s="330">
        <v>582.4</v>
      </c>
      <c r="M13" s="19">
        <v>1500</v>
      </c>
      <c r="N13" s="330">
        <v>607.6</v>
      </c>
      <c r="O13" s="19">
        <v>1500</v>
      </c>
      <c r="P13" s="118">
        <v>508.2</v>
      </c>
      <c r="Q13" s="19">
        <v>1000</v>
      </c>
      <c r="R13" s="19"/>
      <c r="S13" s="19"/>
      <c r="U13" s="19"/>
      <c r="V13" s="19"/>
      <c r="W13" s="19"/>
    </row>
    <row r="14" spans="1:23" x14ac:dyDescent="0.2">
      <c r="A14" s="779">
        <v>5242</v>
      </c>
      <c r="B14" s="60" t="s">
        <v>1157</v>
      </c>
      <c r="C14" s="118">
        <v>3491.97</v>
      </c>
      <c r="D14" s="18">
        <v>21296.12</v>
      </c>
      <c r="E14" s="18">
        <v>20156.25</v>
      </c>
      <c r="F14" s="18">
        <v>6313.23</v>
      </c>
      <c r="G14" s="18">
        <v>19858.14</v>
      </c>
      <c r="H14" s="18">
        <v>20316.09</v>
      </c>
      <c r="I14" s="112">
        <v>30018.05</v>
      </c>
      <c r="J14" s="112">
        <v>9484.08</v>
      </c>
      <c r="K14" s="19">
        <v>30000</v>
      </c>
      <c r="L14" s="330">
        <v>19128.78</v>
      </c>
      <c r="M14" s="19">
        <v>30000</v>
      </c>
      <c r="N14" s="330">
        <v>11967.48</v>
      </c>
      <c r="O14" s="19">
        <v>30000</v>
      </c>
      <c r="P14" s="118">
        <v>3687.28</v>
      </c>
      <c r="Q14" s="19">
        <v>40000</v>
      </c>
      <c r="R14" s="19"/>
      <c r="S14" s="19"/>
      <c r="U14" s="19"/>
      <c r="V14" s="19"/>
      <c r="W14" s="19"/>
    </row>
    <row r="15" spans="1:23" x14ac:dyDescent="0.2">
      <c r="A15" s="779">
        <v>5279</v>
      </c>
      <c r="B15" s="60" t="s">
        <v>829</v>
      </c>
      <c r="C15" s="118">
        <v>11000</v>
      </c>
      <c r="D15" s="18">
        <v>14000</v>
      </c>
      <c r="E15" s="18">
        <v>13000</v>
      </c>
      <c r="F15" s="18">
        <v>13250</v>
      </c>
      <c r="G15" s="18">
        <v>13000</v>
      </c>
      <c r="H15" s="18">
        <v>13000</v>
      </c>
      <c r="I15" s="112">
        <v>12000</v>
      </c>
      <c r="J15" s="112"/>
      <c r="K15" s="19"/>
      <c r="L15" s="330"/>
      <c r="M15" s="19"/>
      <c r="N15" s="330">
        <v>2016</v>
      </c>
      <c r="O15" s="19"/>
      <c r="P15" s="118"/>
      <c r="Q15" s="19"/>
      <c r="R15" s="19"/>
      <c r="S15" s="19"/>
      <c r="U15" s="19"/>
      <c r="V15" s="19"/>
      <c r="W15" s="19"/>
    </row>
    <row r="16" spans="1:23" x14ac:dyDescent="0.2">
      <c r="A16" s="779">
        <v>5315</v>
      </c>
      <c r="B16" s="60" t="s">
        <v>947</v>
      </c>
      <c r="C16" s="118">
        <v>2095.8000000000002</v>
      </c>
      <c r="D16" s="18">
        <v>5730.83</v>
      </c>
      <c r="E16" s="18">
        <v>3042.64</v>
      </c>
      <c r="F16" s="18">
        <v>6426.3</v>
      </c>
      <c r="G16" s="18">
        <v>649</v>
      </c>
      <c r="H16" s="18">
        <v>7721.46</v>
      </c>
      <c r="I16" s="112">
        <v>383</v>
      </c>
      <c r="J16" s="112">
        <v>1804.5</v>
      </c>
      <c r="K16" s="19">
        <v>6000</v>
      </c>
      <c r="L16" s="330">
        <v>3252.04</v>
      </c>
      <c r="M16" s="19">
        <v>6000</v>
      </c>
      <c r="N16" s="330">
        <v>689.48</v>
      </c>
      <c r="O16" s="19">
        <v>6000</v>
      </c>
      <c r="P16" s="118">
        <v>1700</v>
      </c>
      <c r="Q16" s="19">
        <v>10000</v>
      </c>
      <c r="R16" s="19"/>
      <c r="S16" s="19"/>
      <c r="U16" s="19"/>
      <c r="V16" s="19"/>
      <c r="W16" s="19"/>
    </row>
    <row r="17" spans="1:23" x14ac:dyDescent="0.2">
      <c r="A17" s="779">
        <v>5341</v>
      </c>
      <c r="B17" s="60" t="s">
        <v>862</v>
      </c>
      <c r="C17" s="118">
        <v>795.95</v>
      </c>
      <c r="D17" s="18">
        <v>1045.52</v>
      </c>
      <c r="E17" s="18">
        <v>1083.3800000000001</v>
      </c>
      <c r="F17" s="18">
        <v>1133.93</v>
      </c>
      <c r="G17" s="18">
        <v>1144.67</v>
      </c>
      <c r="H17" s="18">
        <v>606.79999999999995</v>
      </c>
      <c r="I17" s="112">
        <v>643.46</v>
      </c>
      <c r="J17" s="112">
        <v>668.35</v>
      </c>
      <c r="K17" s="19">
        <v>750</v>
      </c>
      <c r="L17" s="330">
        <v>677.13</v>
      </c>
      <c r="M17" s="19">
        <v>750</v>
      </c>
      <c r="N17" s="330"/>
      <c r="O17" s="19">
        <v>750</v>
      </c>
      <c r="P17" s="118">
        <v>290.77999999999997</v>
      </c>
      <c r="Q17" s="19">
        <v>750</v>
      </c>
      <c r="R17" s="19"/>
      <c r="S17" s="19"/>
      <c r="U17" s="19"/>
      <c r="V17" s="19"/>
      <c r="W17" s="19"/>
    </row>
    <row r="18" spans="1:23" hidden="1" x14ac:dyDescent="0.2">
      <c r="A18" s="779">
        <v>5420</v>
      </c>
      <c r="B18" s="60" t="s">
        <v>864</v>
      </c>
      <c r="C18" s="118">
        <v>41.46</v>
      </c>
      <c r="D18" s="18">
        <v>0</v>
      </c>
      <c r="E18" s="18"/>
      <c r="F18" s="18"/>
      <c r="G18" s="18"/>
      <c r="H18" s="18"/>
      <c r="I18" s="112">
        <v>0</v>
      </c>
      <c r="J18" s="112"/>
      <c r="K18" s="19"/>
      <c r="L18" s="330"/>
      <c r="M18" s="19"/>
      <c r="N18" s="330"/>
      <c r="O18" s="19"/>
      <c r="P18" s="118"/>
      <c r="Q18" s="19"/>
      <c r="R18" s="19"/>
      <c r="S18" s="19"/>
      <c r="U18" s="19"/>
      <c r="V18" s="19"/>
      <c r="W18" s="19"/>
    </row>
    <row r="19" spans="1:23" ht="13.5" thickBot="1" x14ac:dyDescent="0.25">
      <c r="A19" s="779">
        <v>5451</v>
      </c>
      <c r="B19" s="60" t="s">
        <v>1165</v>
      </c>
      <c r="C19" s="117">
        <v>749.18</v>
      </c>
      <c r="D19" s="15">
        <v>663.39</v>
      </c>
      <c r="E19" s="15">
        <v>612.65</v>
      </c>
      <c r="F19" s="15">
        <v>739.69</v>
      </c>
      <c r="G19" s="15">
        <v>600.12</v>
      </c>
      <c r="H19" s="15">
        <v>789.61</v>
      </c>
      <c r="I19" s="270">
        <v>381.68</v>
      </c>
      <c r="J19" s="270"/>
      <c r="K19" s="16">
        <v>500</v>
      </c>
      <c r="L19" s="331">
        <v>25.72</v>
      </c>
      <c r="M19" s="16">
        <v>500</v>
      </c>
      <c r="N19" s="331"/>
      <c r="O19" s="16">
        <v>500</v>
      </c>
      <c r="P19" s="117"/>
      <c r="Q19" s="16">
        <v>500</v>
      </c>
      <c r="R19" s="16"/>
      <c r="S19" s="16"/>
      <c r="U19" s="16"/>
      <c r="V19" s="16"/>
      <c r="W19" s="16"/>
    </row>
    <row r="20" spans="1:23" x14ac:dyDescent="0.2">
      <c r="A20" s="779"/>
      <c r="B20" s="17" t="s">
        <v>838</v>
      </c>
      <c r="C20" s="18">
        <f t="shared" ref="C20:P20" si="0">SUM(C10:C19)</f>
        <v>32826.5</v>
      </c>
      <c r="D20" s="18">
        <f t="shared" si="0"/>
        <v>53628.34</v>
      </c>
      <c r="E20" s="18">
        <f t="shared" si="0"/>
        <v>50488.08</v>
      </c>
      <c r="F20" s="18">
        <f>SUM(F10:F19)</f>
        <v>38543.740000000005</v>
      </c>
      <c r="G20" s="18">
        <f>SUM(G10:G19)</f>
        <v>44187.87</v>
      </c>
      <c r="H20" s="18">
        <f>SUM(H10:H19)</f>
        <v>52812.590000000004</v>
      </c>
      <c r="I20" s="112">
        <f>SUM(I10:I19)</f>
        <v>55098.5</v>
      </c>
      <c r="J20" s="112">
        <f>SUM(J10:J19)</f>
        <v>22269.57</v>
      </c>
      <c r="K20" s="19">
        <f t="shared" ref="K20:N20" si="1">SUM(K10:K19)</f>
        <v>52450</v>
      </c>
      <c r="L20" s="112">
        <f t="shared" si="1"/>
        <v>32142.65</v>
      </c>
      <c r="M20" s="19">
        <f t="shared" si="1"/>
        <v>52750</v>
      </c>
      <c r="N20" s="112">
        <f t="shared" si="1"/>
        <v>18057.789999999997</v>
      </c>
      <c r="O20" s="19">
        <f t="shared" ref="O20:Q20" si="2">SUM(O10:O19)</f>
        <v>39750</v>
      </c>
      <c r="P20" s="18">
        <f t="shared" si="0"/>
        <v>6186.26</v>
      </c>
      <c r="Q20" s="19">
        <f t="shared" si="2"/>
        <v>53250</v>
      </c>
      <c r="R20" s="19"/>
      <c r="S20" s="19">
        <f>SUM(S10:S19)</f>
        <v>0</v>
      </c>
      <c r="U20" s="19">
        <f>SUM(U10:U19)</f>
        <v>0</v>
      </c>
      <c r="V20" s="19">
        <f>SUM(V10:V19)</f>
        <v>0</v>
      </c>
      <c r="W20" s="19">
        <f>SUM(W10:W19)</f>
        <v>0</v>
      </c>
    </row>
    <row r="21" spans="1:23" x14ac:dyDescent="0.2">
      <c r="A21" s="779"/>
      <c r="B21" s="12"/>
      <c r="C21" s="18"/>
      <c r="D21" s="18"/>
      <c r="E21" s="18"/>
      <c r="F21" s="18"/>
      <c r="G21" s="18"/>
      <c r="H21" s="18"/>
      <c r="I21" s="18"/>
      <c r="J21" s="18"/>
      <c r="K21" s="34"/>
      <c r="L21" s="18"/>
      <c r="M21" s="34"/>
      <c r="N21" s="18"/>
      <c r="O21" s="34"/>
      <c r="P21" s="18"/>
      <c r="Q21" s="34"/>
      <c r="R21" s="34"/>
      <c r="S21" s="34"/>
      <c r="U21" s="34"/>
      <c r="V21" s="34"/>
      <c r="W21" s="34"/>
    </row>
    <row r="22" spans="1:23" x14ac:dyDescent="0.2">
      <c r="A22" s="779">
        <v>5710</v>
      </c>
      <c r="B22" s="12" t="s">
        <v>1534</v>
      </c>
      <c r="C22" s="18">
        <v>15000</v>
      </c>
      <c r="D22" s="18">
        <v>15000</v>
      </c>
      <c r="E22" s="18">
        <v>15000</v>
      </c>
      <c r="F22" s="18">
        <v>10000</v>
      </c>
      <c r="G22" s="18">
        <v>1000</v>
      </c>
      <c r="H22" s="18">
        <v>10000</v>
      </c>
      <c r="I22" s="112">
        <v>10000</v>
      </c>
      <c r="J22" s="112">
        <v>10000</v>
      </c>
      <c r="K22" s="227">
        <v>10000</v>
      </c>
      <c r="L22" s="112">
        <v>10000</v>
      </c>
      <c r="M22" s="227">
        <v>10000</v>
      </c>
      <c r="N22" s="112">
        <v>10000</v>
      </c>
      <c r="O22" s="227"/>
      <c r="P22" s="18"/>
      <c r="Q22" s="227">
        <f>+W22</f>
        <v>0</v>
      </c>
      <c r="R22" s="227"/>
      <c r="S22" s="227"/>
      <c r="U22" s="227">
        <v>10000</v>
      </c>
      <c r="V22" s="227">
        <v>10000</v>
      </c>
      <c r="W22" s="227"/>
    </row>
    <row r="23" spans="1:23" x14ac:dyDescent="0.2">
      <c r="A23" s="779">
        <v>5711</v>
      </c>
      <c r="B23" s="12" t="s">
        <v>1624</v>
      </c>
      <c r="C23" s="13">
        <v>15000</v>
      </c>
      <c r="D23" s="13">
        <v>15000</v>
      </c>
      <c r="E23" s="13">
        <v>15000</v>
      </c>
      <c r="F23" s="13">
        <v>15000</v>
      </c>
      <c r="G23" s="13">
        <v>15000</v>
      </c>
      <c r="H23" s="13">
        <v>15000</v>
      </c>
      <c r="I23" s="112">
        <v>15000</v>
      </c>
      <c r="J23" s="112">
        <v>15000</v>
      </c>
      <c r="K23" s="227">
        <v>15000</v>
      </c>
      <c r="L23" s="112">
        <v>15000</v>
      </c>
      <c r="M23" s="227">
        <v>15000</v>
      </c>
      <c r="N23" s="112">
        <v>15000</v>
      </c>
      <c r="O23" s="227">
        <v>10000</v>
      </c>
      <c r="P23" s="18">
        <v>10000</v>
      </c>
      <c r="Q23" s="227"/>
      <c r="R23" s="227"/>
      <c r="S23" s="40"/>
      <c r="U23" s="40">
        <v>15000</v>
      </c>
      <c r="V23" s="40">
        <v>15000</v>
      </c>
      <c r="W23" s="40">
        <v>10000</v>
      </c>
    </row>
    <row r="24" spans="1:23" x14ac:dyDescent="0.2">
      <c r="A24" s="779">
        <v>5751</v>
      </c>
      <c r="B24" s="12" t="s">
        <v>1557</v>
      </c>
      <c r="C24" s="13">
        <v>5125</v>
      </c>
      <c r="D24" s="13">
        <v>4562.5</v>
      </c>
      <c r="E24" s="13">
        <v>3962.5</v>
      </c>
      <c r="F24" s="13">
        <v>3325</v>
      </c>
      <c r="G24" s="13">
        <v>2875</v>
      </c>
      <c r="H24" s="13">
        <v>2425</v>
      </c>
      <c r="I24" s="112">
        <v>1975</v>
      </c>
      <c r="J24" s="112">
        <v>1500</v>
      </c>
      <c r="K24" s="227">
        <v>1000</v>
      </c>
      <c r="L24" s="112">
        <v>1000</v>
      </c>
      <c r="M24" s="227">
        <v>500</v>
      </c>
      <c r="N24" s="112">
        <v>500</v>
      </c>
      <c r="O24" s="227"/>
      <c r="P24" s="13"/>
      <c r="Q24" s="227"/>
      <c r="R24" s="227"/>
      <c r="S24" s="226"/>
      <c r="U24" s="226">
        <v>1000</v>
      </c>
      <c r="V24" s="226">
        <v>500</v>
      </c>
      <c r="W24" s="226"/>
    </row>
    <row r="25" spans="1:23" ht="13.5" thickBot="1" x14ac:dyDescent="0.25">
      <c r="A25" s="779">
        <v>5752</v>
      </c>
      <c r="B25" s="12" t="s">
        <v>1625</v>
      </c>
      <c r="C25" s="15">
        <v>6775</v>
      </c>
      <c r="D25" s="15">
        <f>3200+2825</f>
        <v>6025</v>
      </c>
      <c r="E25" s="15">
        <v>5275</v>
      </c>
      <c r="F25" s="15">
        <v>4525</v>
      </c>
      <c r="G25" s="15">
        <v>3775</v>
      </c>
      <c r="H25" s="15">
        <v>3100</v>
      </c>
      <c r="I25" s="270">
        <v>2500</v>
      </c>
      <c r="J25" s="270">
        <v>1900</v>
      </c>
      <c r="K25" s="361">
        <v>1300</v>
      </c>
      <c r="L25" s="270">
        <v>1300</v>
      </c>
      <c r="M25" s="361">
        <v>700</v>
      </c>
      <c r="N25" s="270">
        <v>700</v>
      </c>
      <c r="O25" s="361">
        <v>200</v>
      </c>
      <c r="P25" s="15">
        <v>200</v>
      </c>
      <c r="Q25" s="361"/>
      <c r="R25" s="361"/>
      <c r="S25" s="41"/>
      <c r="U25" s="41">
        <f>800+500</f>
        <v>1300</v>
      </c>
      <c r="V25" s="41">
        <f>500+200</f>
        <v>700</v>
      </c>
      <c r="W25" s="41">
        <v>200</v>
      </c>
    </row>
    <row r="26" spans="1:23" x14ac:dyDescent="0.2">
      <c r="A26" s="779"/>
      <c r="B26" s="17" t="s">
        <v>1574</v>
      </c>
      <c r="C26" s="18">
        <f t="shared" ref="C26:P26" si="3">SUM(C22:C25)</f>
        <v>41900</v>
      </c>
      <c r="D26" s="18">
        <f t="shared" si="3"/>
        <v>40587.5</v>
      </c>
      <c r="E26" s="18">
        <f t="shared" si="3"/>
        <v>39237.5</v>
      </c>
      <c r="F26" s="18">
        <f>SUM(F22:F25)</f>
        <v>32850</v>
      </c>
      <c r="G26" s="18">
        <f>SUM(G22:G25)</f>
        <v>22650</v>
      </c>
      <c r="H26" s="18">
        <f>SUM(H22:H25)</f>
        <v>30525</v>
      </c>
      <c r="I26" s="18">
        <f t="shared" si="3"/>
        <v>29475</v>
      </c>
      <c r="J26" s="18">
        <f t="shared" ref="J26" si="4">SUM(J22:J25)</f>
        <v>28400</v>
      </c>
      <c r="K26" s="34">
        <f t="shared" ref="K26:O26" si="5">SUM(K22:K25)</f>
        <v>27300</v>
      </c>
      <c r="L26" s="18">
        <f t="shared" si="5"/>
        <v>27300</v>
      </c>
      <c r="M26" s="34">
        <f t="shared" si="5"/>
        <v>26200</v>
      </c>
      <c r="N26" s="18">
        <f t="shared" ref="N26" si="6">SUM(N22:N25)</f>
        <v>26200</v>
      </c>
      <c r="O26" s="34">
        <f t="shared" si="5"/>
        <v>10200</v>
      </c>
      <c r="P26" s="18">
        <f t="shared" si="3"/>
        <v>10200</v>
      </c>
      <c r="Q26" s="34">
        <f t="shared" ref="Q26" si="7">SUM(Q22:Q25)</f>
        <v>0</v>
      </c>
      <c r="R26" s="34"/>
      <c r="S26" s="34">
        <f>SUM(S22:S25)</f>
        <v>0</v>
      </c>
      <c r="U26" s="34">
        <f>SUM(U22:U25)</f>
        <v>27300</v>
      </c>
      <c r="V26" s="34">
        <f>SUM(V22:V25)</f>
        <v>26200</v>
      </c>
      <c r="W26" s="34">
        <f>SUM(W22:W25)</f>
        <v>10200</v>
      </c>
    </row>
    <row r="27" spans="1:23" x14ac:dyDescent="0.2">
      <c r="A27" s="779"/>
      <c r="B27" s="17"/>
      <c r="C27" s="18"/>
      <c r="D27" s="18"/>
      <c r="E27" s="18"/>
      <c r="F27" s="18"/>
      <c r="G27" s="18"/>
      <c r="H27" s="18"/>
      <c r="I27" s="18"/>
      <c r="J27" s="18"/>
      <c r="K27" s="34"/>
      <c r="L27" s="18"/>
      <c r="M27" s="34"/>
      <c r="N27" s="18"/>
      <c r="O27" s="34"/>
      <c r="P27" s="18"/>
      <c r="Q27" s="34"/>
      <c r="R27" s="34"/>
      <c r="S27" s="34"/>
    </row>
    <row r="28" spans="1:23" x14ac:dyDescent="0.2">
      <c r="A28" s="779">
        <v>5991</v>
      </c>
      <c r="B28" s="12" t="s">
        <v>1626</v>
      </c>
      <c r="C28" s="112"/>
      <c r="D28" s="112"/>
      <c r="E28" s="112"/>
      <c r="F28" s="112"/>
      <c r="G28" s="112">
        <v>3000</v>
      </c>
      <c r="H28" s="112"/>
      <c r="I28" s="112"/>
      <c r="J28" s="112"/>
      <c r="K28" s="227"/>
      <c r="L28" s="112"/>
      <c r="M28" s="227"/>
      <c r="N28" s="112"/>
      <c r="O28" s="227"/>
      <c r="P28" s="112"/>
      <c r="Q28" s="227"/>
      <c r="R28" s="227"/>
      <c r="S28" s="227"/>
    </row>
    <row r="29" spans="1:23" x14ac:dyDescent="0.2">
      <c r="A29" s="779"/>
      <c r="B29" s="12"/>
      <c r="C29" s="13"/>
      <c r="D29" s="13"/>
      <c r="E29" s="13"/>
      <c r="F29" s="13"/>
      <c r="G29" s="13"/>
      <c r="H29" s="13"/>
      <c r="I29" s="13"/>
      <c r="J29" s="13"/>
      <c r="K29" s="40"/>
      <c r="L29" s="13"/>
      <c r="M29" s="40"/>
      <c r="N29" s="13"/>
      <c r="O29" s="40"/>
      <c r="P29" s="13"/>
      <c r="Q29" s="40"/>
      <c r="R29" s="40"/>
      <c r="S29" s="40"/>
    </row>
    <row r="30" spans="1:23" ht="13.5" thickBot="1" x14ac:dyDescent="0.25">
      <c r="A30" s="780"/>
      <c r="B30" s="20" t="s">
        <v>1627</v>
      </c>
      <c r="C30" s="21">
        <f>+C26+C20</f>
        <v>74726.5</v>
      </c>
      <c r="D30" s="21">
        <f>+D26+D20</f>
        <v>94215.84</v>
      </c>
      <c r="E30" s="21">
        <f>+E26+E20</f>
        <v>89725.58</v>
      </c>
      <c r="F30" s="21">
        <f>+F26+F20</f>
        <v>71393.740000000005</v>
      </c>
      <c r="G30" s="21">
        <f t="shared" ref="G30:Q30" si="8">+G26+G20+G28</f>
        <v>69837.87</v>
      </c>
      <c r="H30" s="21">
        <f t="shared" si="8"/>
        <v>83337.59</v>
      </c>
      <c r="I30" s="21">
        <f t="shared" si="8"/>
        <v>84573.5</v>
      </c>
      <c r="J30" s="21">
        <f t="shared" ref="J30" si="9">+J26+J20+J28</f>
        <v>50669.57</v>
      </c>
      <c r="K30" s="39">
        <f t="shared" si="8"/>
        <v>79750</v>
      </c>
      <c r="L30" s="21">
        <f t="shared" si="8"/>
        <v>59442.65</v>
      </c>
      <c r="M30" s="39">
        <f t="shared" si="8"/>
        <v>78950</v>
      </c>
      <c r="N30" s="21">
        <f t="shared" ref="N30" si="10">+N26+N20+N28</f>
        <v>44257.789999999994</v>
      </c>
      <c r="O30" s="39">
        <f t="shared" si="8"/>
        <v>49950</v>
      </c>
      <c r="P30" s="21">
        <f t="shared" si="8"/>
        <v>16386.260000000002</v>
      </c>
      <c r="Q30" s="39">
        <f t="shared" si="8"/>
        <v>53250</v>
      </c>
      <c r="R30" s="39">
        <f>+Q30</f>
        <v>53250</v>
      </c>
      <c r="S30" s="39">
        <f>+Q30</f>
        <v>53250</v>
      </c>
    </row>
    <row r="31" spans="1:23" ht="13.5" thickTop="1" x14ac:dyDescent="0.2">
      <c r="A31" s="774"/>
      <c r="B31" s="74"/>
      <c r="C31" s="24"/>
      <c r="D31" s="24"/>
      <c r="E31" s="24"/>
      <c r="F31" s="24"/>
      <c r="G31" s="24"/>
      <c r="H31" s="24"/>
      <c r="I31" s="24"/>
      <c r="J31" s="24"/>
      <c r="K31" s="24"/>
      <c r="L31" s="24"/>
      <c r="M31" s="24"/>
      <c r="N31" s="24"/>
      <c r="O31" s="24"/>
      <c r="P31" s="199" t="s">
        <v>843</v>
      </c>
      <c r="Q31" s="1116">
        <f>+Q30-O30</f>
        <v>3300</v>
      </c>
      <c r="R31" s="1117">
        <f>ROUND((+Q31/O30),4)</f>
        <v>6.6100000000000006E-2</v>
      </c>
      <c r="S31" s="23"/>
      <c r="T31" s="25"/>
    </row>
    <row r="32" spans="1:23" x14ac:dyDescent="0.2">
      <c r="A32" s="774"/>
      <c r="B32" s="4"/>
      <c r="C32" s="277"/>
      <c r="D32" s="277"/>
      <c r="E32" s="277"/>
      <c r="F32" s="277"/>
      <c r="G32" s="277"/>
      <c r="H32" s="277"/>
      <c r="I32" s="277"/>
      <c r="J32" s="24"/>
      <c r="K32" s="24"/>
      <c r="L32" s="24"/>
      <c r="M32" s="24"/>
      <c r="N32" s="24"/>
      <c r="O32" s="24"/>
      <c r="P32" s="25"/>
      <c r="Q32" s="24"/>
      <c r="R32" s="24"/>
      <c r="S32" s="25"/>
      <c r="T32" s="25"/>
    </row>
    <row r="33" spans="1:20" ht="15.75" thickBot="1" x14ac:dyDescent="0.25">
      <c r="A33" s="774"/>
      <c r="B33" s="277"/>
      <c r="C33" s="309"/>
      <c r="D33" s="309"/>
      <c r="E33" s="309"/>
      <c r="F33" s="309"/>
      <c r="G33" s="309"/>
      <c r="H33" s="309"/>
      <c r="I33" s="310"/>
      <c r="J33" s="310"/>
      <c r="K33" s="310"/>
      <c r="L33" s="310"/>
      <c r="M33" s="310"/>
      <c r="N33" s="310"/>
      <c r="O33" s="310"/>
      <c r="P33" s="309"/>
      <c r="S33" s="277"/>
      <c r="T33" s="25"/>
    </row>
    <row r="34" spans="1:20" ht="13.5" thickTop="1" x14ac:dyDescent="0.2">
      <c r="A34" s="789"/>
      <c r="B34" s="367"/>
      <c r="C34" s="368" t="s">
        <v>280</v>
      </c>
      <c r="D34" s="369" t="s">
        <v>280</v>
      </c>
      <c r="E34" s="369" t="s">
        <v>280</v>
      </c>
      <c r="F34" s="212"/>
      <c r="G34" s="212"/>
      <c r="H34" s="212"/>
      <c r="I34" s="220"/>
      <c r="J34" s="220"/>
      <c r="K34" s="220"/>
      <c r="L34" s="220"/>
      <c r="M34" s="370" t="s">
        <v>279</v>
      </c>
      <c r="N34" s="371" t="s">
        <v>826</v>
      </c>
      <c r="O34" s="372" t="s">
        <v>840</v>
      </c>
      <c r="P34" s="371" t="s">
        <v>841</v>
      </c>
      <c r="Q34" s="569"/>
      <c r="R34" s="569"/>
      <c r="S34" s="372"/>
    </row>
    <row r="35" spans="1:20" ht="13.5" thickBot="1" x14ac:dyDescent="0.25">
      <c r="A35" s="790" t="s">
        <v>825</v>
      </c>
      <c r="B35" s="374"/>
      <c r="C35" s="421" t="s">
        <v>267</v>
      </c>
      <c r="D35" s="421" t="s">
        <v>268</v>
      </c>
      <c r="E35" s="377" t="s">
        <v>269</v>
      </c>
      <c r="F35" s="212"/>
      <c r="G35" s="212"/>
      <c r="H35" s="212"/>
      <c r="I35" s="220"/>
      <c r="J35" s="220"/>
      <c r="K35" s="220"/>
      <c r="L35" s="220"/>
      <c r="M35" s="377" t="s">
        <v>277</v>
      </c>
      <c r="N35" s="377" t="s">
        <v>571</v>
      </c>
      <c r="O35" s="376" t="s">
        <v>843</v>
      </c>
      <c r="P35" s="378" t="s">
        <v>843</v>
      </c>
      <c r="Q35" s="570"/>
      <c r="R35" s="570"/>
      <c r="S35" s="377"/>
    </row>
    <row r="36" spans="1:20" ht="13.5" thickTop="1" x14ac:dyDescent="0.2">
      <c r="A36" s="795">
        <v>5211</v>
      </c>
      <c r="B36" s="415" t="s">
        <v>1410</v>
      </c>
      <c r="C36" s="426">
        <v>11553.22</v>
      </c>
      <c r="D36" s="383">
        <v>9846.44</v>
      </c>
      <c r="E36" s="383">
        <v>11587.74</v>
      </c>
      <c r="F36" s="212"/>
      <c r="G36" s="212"/>
      <c r="H36" s="212"/>
      <c r="I36" s="220"/>
      <c r="J36" s="220"/>
      <c r="K36" s="220"/>
      <c r="L36" s="220"/>
      <c r="M36" s="384">
        <f t="shared" ref="M36:M45" si="11">+O10</f>
        <v>0</v>
      </c>
      <c r="N36" s="410">
        <f t="shared" ref="N36:N45" si="12">+Q10</f>
        <v>0</v>
      </c>
      <c r="O36" s="384">
        <f t="shared" ref="O36:O49" si="13">+N36-M36</f>
        <v>0</v>
      </c>
      <c r="P36" s="392" t="str">
        <f t="shared" ref="P36:P49" si="14">IF(M36+N36&lt;&gt;0,IF(M36&lt;&gt;0,IF(O36&lt;&gt;0,ROUND((+O36/M36),4),""),1),"")</f>
        <v/>
      </c>
      <c r="Q36" s="571"/>
      <c r="R36" s="571"/>
      <c r="S36" s="423"/>
    </row>
    <row r="37" spans="1:20" x14ac:dyDescent="0.2">
      <c r="A37" s="795">
        <v>5214</v>
      </c>
      <c r="B37" s="415" t="s">
        <v>1443</v>
      </c>
      <c r="C37" s="426">
        <v>2192.92</v>
      </c>
      <c r="D37" s="383">
        <v>81.84</v>
      </c>
      <c r="E37" s="383">
        <v>150.22</v>
      </c>
      <c r="F37" s="212"/>
      <c r="G37" s="212"/>
      <c r="H37" s="212"/>
      <c r="I37" s="220"/>
      <c r="J37" s="220"/>
      <c r="K37" s="220"/>
      <c r="L37" s="220"/>
      <c r="M37" s="384">
        <f t="shared" si="11"/>
        <v>0</v>
      </c>
      <c r="N37" s="410">
        <f t="shared" si="12"/>
        <v>0</v>
      </c>
      <c r="O37" s="390">
        <f t="shared" si="13"/>
        <v>0</v>
      </c>
      <c r="P37" s="392" t="str">
        <f t="shared" si="14"/>
        <v/>
      </c>
      <c r="Q37" s="572"/>
      <c r="R37" s="572"/>
      <c r="S37" s="386"/>
    </row>
    <row r="38" spans="1:20" x14ac:dyDescent="0.2">
      <c r="A38" s="795">
        <v>5231</v>
      </c>
      <c r="B38" s="415" t="s">
        <v>1444</v>
      </c>
      <c r="C38" s="426">
        <v>546</v>
      </c>
      <c r="D38" s="383">
        <v>591</v>
      </c>
      <c r="E38" s="383">
        <v>482</v>
      </c>
      <c r="F38" s="212"/>
      <c r="G38" s="212"/>
      <c r="H38" s="212"/>
      <c r="I38" s="220"/>
      <c r="J38" s="220"/>
      <c r="K38" s="220"/>
      <c r="L38" s="220"/>
      <c r="M38" s="384">
        <f t="shared" si="11"/>
        <v>1000</v>
      </c>
      <c r="N38" s="410">
        <f t="shared" si="12"/>
        <v>1000</v>
      </c>
      <c r="O38" s="390">
        <f t="shared" si="13"/>
        <v>0</v>
      </c>
      <c r="P38" s="392" t="str">
        <f t="shared" si="14"/>
        <v/>
      </c>
      <c r="Q38" s="572"/>
      <c r="R38" s="572"/>
      <c r="S38" s="386"/>
    </row>
    <row r="39" spans="1:20" x14ac:dyDescent="0.2">
      <c r="A39" s="795">
        <v>5232</v>
      </c>
      <c r="B39" s="415" t="s">
        <v>581</v>
      </c>
      <c r="C39" s="426">
        <v>360</v>
      </c>
      <c r="D39" s="383">
        <v>373.2</v>
      </c>
      <c r="E39" s="383">
        <v>373.2</v>
      </c>
      <c r="F39" s="212"/>
      <c r="G39" s="212"/>
      <c r="H39" s="212"/>
      <c r="I39" s="220"/>
      <c r="J39" s="220"/>
      <c r="K39" s="220"/>
      <c r="L39" s="220"/>
      <c r="M39" s="384">
        <f t="shared" si="11"/>
        <v>1500</v>
      </c>
      <c r="N39" s="410">
        <f t="shared" si="12"/>
        <v>1000</v>
      </c>
      <c r="O39" s="390">
        <f t="shared" si="13"/>
        <v>-500</v>
      </c>
      <c r="P39" s="392">
        <f t="shared" si="14"/>
        <v>-0.33329999999999999</v>
      </c>
      <c r="Q39" s="572"/>
      <c r="R39" s="572"/>
      <c r="S39" s="386"/>
    </row>
    <row r="40" spans="1:20" x14ac:dyDescent="0.2">
      <c r="A40" s="795">
        <v>5242</v>
      </c>
      <c r="B40" s="415" t="s">
        <v>1157</v>
      </c>
      <c r="C40" s="426">
        <v>3491.97</v>
      </c>
      <c r="D40" s="383">
        <v>21296.12</v>
      </c>
      <c r="E40" s="383">
        <v>20156.25</v>
      </c>
      <c r="F40" s="212"/>
      <c r="G40" s="212"/>
      <c r="H40" s="212"/>
      <c r="I40" s="220"/>
      <c r="J40" s="220"/>
      <c r="K40" s="220"/>
      <c r="L40" s="220"/>
      <c r="M40" s="384">
        <f t="shared" si="11"/>
        <v>30000</v>
      </c>
      <c r="N40" s="410">
        <f t="shared" si="12"/>
        <v>40000</v>
      </c>
      <c r="O40" s="390">
        <f t="shared" si="13"/>
        <v>10000</v>
      </c>
      <c r="P40" s="392">
        <f t="shared" si="14"/>
        <v>0.33329999999999999</v>
      </c>
      <c r="Q40" s="572" t="s">
        <v>2281</v>
      </c>
      <c r="R40" s="572"/>
      <c r="S40" s="386"/>
    </row>
    <row r="41" spans="1:20" x14ac:dyDescent="0.2">
      <c r="A41" s="795">
        <v>5279</v>
      </c>
      <c r="B41" s="415" t="s">
        <v>829</v>
      </c>
      <c r="C41" s="426">
        <v>11000</v>
      </c>
      <c r="D41" s="383">
        <v>14000</v>
      </c>
      <c r="E41" s="383">
        <v>13000</v>
      </c>
      <c r="F41" s="212"/>
      <c r="G41" s="212"/>
      <c r="H41" s="212"/>
      <c r="I41" s="220"/>
      <c r="J41" s="220"/>
      <c r="K41" s="220"/>
      <c r="L41" s="220"/>
      <c r="M41" s="384">
        <f t="shared" si="11"/>
        <v>0</v>
      </c>
      <c r="N41" s="410">
        <f t="shared" si="12"/>
        <v>0</v>
      </c>
      <c r="O41" s="390">
        <f t="shared" si="13"/>
        <v>0</v>
      </c>
      <c r="P41" s="392" t="str">
        <f t="shared" si="14"/>
        <v/>
      </c>
      <c r="Q41" s="572"/>
      <c r="R41" s="572"/>
      <c r="S41" s="386"/>
    </row>
    <row r="42" spans="1:20" x14ac:dyDescent="0.2">
      <c r="A42" s="795">
        <v>5315</v>
      </c>
      <c r="B42" s="415" t="s">
        <v>947</v>
      </c>
      <c r="C42" s="426">
        <v>2095.8000000000002</v>
      </c>
      <c r="D42" s="383">
        <v>5730.83</v>
      </c>
      <c r="E42" s="383">
        <v>3042.64</v>
      </c>
      <c r="F42" s="212"/>
      <c r="G42" s="212"/>
      <c r="H42" s="212"/>
      <c r="I42" s="220"/>
      <c r="J42" s="220"/>
      <c r="K42" s="220"/>
      <c r="L42" s="220"/>
      <c r="M42" s="384">
        <f t="shared" si="11"/>
        <v>6000</v>
      </c>
      <c r="N42" s="410">
        <f t="shared" si="12"/>
        <v>10000</v>
      </c>
      <c r="O42" s="390">
        <f t="shared" si="13"/>
        <v>4000</v>
      </c>
      <c r="P42" s="392">
        <f t="shared" si="14"/>
        <v>0.66669999999999996</v>
      </c>
      <c r="Q42" s="572" t="s">
        <v>2282</v>
      </c>
      <c r="R42" s="572"/>
      <c r="S42" s="386"/>
    </row>
    <row r="43" spans="1:20" x14ac:dyDescent="0.2">
      <c r="A43" s="795">
        <v>5341</v>
      </c>
      <c r="B43" s="415" t="s">
        <v>862</v>
      </c>
      <c r="C43" s="426">
        <v>795.95</v>
      </c>
      <c r="D43" s="383">
        <v>1045.52</v>
      </c>
      <c r="E43" s="383">
        <v>1083.3800000000001</v>
      </c>
      <c r="F43" s="212"/>
      <c r="G43" s="212"/>
      <c r="H43" s="212"/>
      <c r="I43" s="220"/>
      <c r="J43" s="220"/>
      <c r="K43" s="220"/>
      <c r="L43" s="220"/>
      <c r="M43" s="384">
        <f t="shared" si="11"/>
        <v>750</v>
      </c>
      <c r="N43" s="410">
        <f t="shared" si="12"/>
        <v>750</v>
      </c>
      <c r="O43" s="390">
        <f t="shared" si="13"/>
        <v>0</v>
      </c>
      <c r="P43" s="392" t="str">
        <f t="shared" si="14"/>
        <v/>
      </c>
      <c r="Q43" s="572"/>
      <c r="R43" s="572"/>
      <c r="S43" s="386"/>
    </row>
    <row r="44" spans="1:20" x14ac:dyDescent="0.2">
      <c r="A44" s="795">
        <v>5420</v>
      </c>
      <c r="B44" s="415" t="s">
        <v>864</v>
      </c>
      <c r="C44" s="426">
        <v>41.46</v>
      </c>
      <c r="D44" s="383">
        <v>0</v>
      </c>
      <c r="E44" s="383"/>
      <c r="F44" s="212"/>
      <c r="G44" s="212"/>
      <c r="H44" s="212"/>
      <c r="I44" s="220"/>
      <c r="J44" s="220"/>
      <c r="K44" s="220"/>
      <c r="L44" s="220"/>
      <c r="M44" s="384">
        <f t="shared" si="11"/>
        <v>0</v>
      </c>
      <c r="N44" s="410">
        <f t="shared" si="12"/>
        <v>0</v>
      </c>
      <c r="O44" s="390">
        <f t="shared" si="13"/>
        <v>0</v>
      </c>
      <c r="P44" s="392" t="str">
        <f t="shared" si="14"/>
        <v/>
      </c>
      <c r="Q44" s="572"/>
      <c r="R44" s="572"/>
      <c r="S44" s="386"/>
    </row>
    <row r="45" spans="1:20" ht="13.5" thickBot="1" x14ac:dyDescent="0.25">
      <c r="A45" s="795">
        <v>5451</v>
      </c>
      <c r="B45" s="415" t="s">
        <v>1165</v>
      </c>
      <c r="C45" s="431">
        <v>749.18</v>
      </c>
      <c r="D45" s="389">
        <v>663.39</v>
      </c>
      <c r="E45" s="389">
        <v>612.65</v>
      </c>
      <c r="F45" s="212"/>
      <c r="G45" s="212"/>
      <c r="H45" s="212"/>
      <c r="I45" s="220"/>
      <c r="J45" s="220"/>
      <c r="K45" s="220"/>
      <c r="L45" s="220"/>
      <c r="M45" s="384">
        <f t="shared" si="11"/>
        <v>500</v>
      </c>
      <c r="N45" s="410">
        <f t="shared" si="12"/>
        <v>500</v>
      </c>
      <c r="O45" s="390">
        <f t="shared" si="13"/>
        <v>0</v>
      </c>
      <c r="P45" s="392" t="str">
        <f t="shared" si="14"/>
        <v/>
      </c>
      <c r="Q45" s="572"/>
      <c r="R45" s="572"/>
      <c r="S45" s="386"/>
    </row>
    <row r="46" spans="1:20" x14ac:dyDescent="0.2">
      <c r="A46" s="795">
        <v>5710</v>
      </c>
      <c r="B46" s="387" t="s">
        <v>1534</v>
      </c>
      <c r="C46" s="383">
        <v>15000</v>
      </c>
      <c r="D46" s="383">
        <v>15000</v>
      </c>
      <c r="E46" s="383">
        <v>15000</v>
      </c>
      <c r="F46" s="212"/>
      <c r="G46" s="212"/>
      <c r="H46" s="212"/>
      <c r="I46" s="220"/>
      <c r="J46" s="220"/>
      <c r="K46" s="220"/>
      <c r="L46" s="220"/>
      <c r="M46" s="411">
        <f>+O22</f>
        <v>0</v>
      </c>
      <c r="N46" s="411">
        <f>+Q22</f>
        <v>0</v>
      </c>
      <c r="O46" s="390">
        <f t="shared" si="13"/>
        <v>0</v>
      </c>
      <c r="P46" s="392" t="str">
        <f t="shared" si="14"/>
        <v/>
      </c>
      <c r="Q46" s="573" t="s">
        <v>2283</v>
      </c>
      <c r="R46" s="573"/>
      <c r="S46" s="432"/>
    </row>
    <row r="47" spans="1:20" x14ac:dyDescent="0.2">
      <c r="A47" s="795">
        <v>5711</v>
      </c>
      <c r="B47" s="387" t="s">
        <v>1624</v>
      </c>
      <c r="C47" s="391">
        <v>15000</v>
      </c>
      <c r="D47" s="391">
        <v>15000</v>
      </c>
      <c r="E47" s="391">
        <v>15000</v>
      </c>
      <c r="F47" s="212"/>
      <c r="G47" s="212"/>
      <c r="H47" s="212"/>
      <c r="I47" s="220"/>
      <c r="J47" s="220"/>
      <c r="K47" s="220"/>
      <c r="L47" s="220"/>
      <c r="M47" s="411">
        <f>+O23</f>
        <v>10000</v>
      </c>
      <c r="N47" s="411">
        <f>+Q23</f>
        <v>0</v>
      </c>
      <c r="O47" s="390">
        <f t="shared" si="13"/>
        <v>-10000</v>
      </c>
      <c r="P47" s="392">
        <f t="shared" si="14"/>
        <v>-1</v>
      </c>
      <c r="Q47" s="573" t="s">
        <v>2283</v>
      </c>
      <c r="R47" s="573"/>
      <c r="S47" s="432"/>
    </row>
    <row r="48" spans="1:20" x14ac:dyDescent="0.2">
      <c r="A48" s="795">
        <v>5751</v>
      </c>
      <c r="B48" s="387" t="s">
        <v>1557</v>
      </c>
      <c r="C48" s="391">
        <v>5125</v>
      </c>
      <c r="D48" s="391">
        <v>4562.5</v>
      </c>
      <c r="E48" s="391">
        <v>3962.5</v>
      </c>
      <c r="F48" s="212"/>
      <c r="G48" s="212"/>
      <c r="H48" s="212"/>
      <c r="I48" s="220"/>
      <c r="J48" s="220"/>
      <c r="K48" s="220"/>
      <c r="L48" s="220"/>
      <c r="M48" s="411">
        <f>+O24</f>
        <v>0</v>
      </c>
      <c r="N48" s="411">
        <f>+Q24</f>
        <v>0</v>
      </c>
      <c r="O48" s="390">
        <f t="shared" si="13"/>
        <v>0</v>
      </c>
      <c r="P48" s="392" t="str">
        <f t="shared" si="14"/>
        <v/>
      </c>
      <c r="Q48" s="573" t="s">
        <v>2283</v>
      </c>
      <c r="R48" s="573"/>
      <c r="S48" s="432"/>
    </row>
    <row r="49" spans="1:19" ht="13.5" thickBot="1" x14ac:dyDescent="0.25">
      <c r="A49" s="795">
        <v>5752</v>
      </c>
      <c r="B49" s="387" t="s">
        <v>1625</v>
      </c>
      <c r="C49" s="389">
        <v>6775</v>
      </c>
      <c r="D49" s="389">
        <f>3200+2825</f>
        <v>6025</v>
      </c>
      <c r="E49" s="389">
        <v>5275</v>
      </c>
      <c r="F49" s="212"/>
      <c r="G49" s="212"/>
      <c r="H49" s="212"/>
      <c r="I49" s="220"/>
      <c r="J49" s="220"/>
      <c r="K49" s="220"/>
      <c r="L49" s="220"/>
      <c r="M49" s="411">
        <f>+O25</f>
        <v>200</v>
      </c>
      <c r="N49" s="411">
        <f>+Q25</f>
        <v>0</v>
      </c>
      <c r="O49" s="390">
        <f t="shared" si="13"/>
        <v>-200</v>
      </c>
      <c r="P49" s="392">
        <f t="shared" si="14"/>
        <v>-1</v>
      </c>
      <c r="Q49" s="573" t="s">
        <v>2283</v>
      </c>
      <c r="R49" s="573"/>
      <c r="S49" s="432"/>
    </row>
    <row r="50" spans="1:19" x14ac:dyDescent="0.2">
      <c r="D50" s="212"/>
      <c r="E50" s="212"/>
      <c r="F50" s="212"/>
      <c r="G50" s="212"/>
      <c r="H50" s="212"/>
      <c r="I50" s="220"/>
      <c r="J50" s="220"/>
      <c r="K50" s="220"/>
      <c r="L50" s="220"/>
      <c r="M50" s="212"/>
      <c r="N50" s="220"/>
      <c r="O50" s="220"/>
    </row>
    <row r="51" spans="1:19" x14ac:dyDescent="0.2">
      <c r="B51" s="4" t="s">
        <v>846</v>
      </c>
      <c r="C51" s="23"/>
      <c r="D51" s="23"/>
      <c r="E51" s="23"/>
      <c r="F51" s="23"/>
      <c r="G51" s="23"/>
      <c r="H51" s="212"/>
      <c r="I51" s="220"/>
      <c r="J51" s="220"/>
      <c r="K51" s="220"/>
      <c r="L51" s="220"/>
      <c r="M51" s="616">
        <f>SUM(M36:M50)</f>
        <v>49950</v>
      </c>
      <c r="N51" s="616">
        <f>SUM(N36:N50)</f>
        <v>53250</v>
      </c>
      <c r="O51" s="25">
        <f>+N51-M51</f>
        <v>3300</v>
      </c>
      <c r="P51" s="617">
        <f>IF(M51+N51&lt;&gt;0,IF(M51&lt;&gt;0,IF(O51&lt;&gt;0,ROUND((+O51/M51),4),""),1),"")</f>
        <v>6.6100000000000006E-2</v>
      </c>
    </row>
  </sheetData>
  <phoneticPr fontId="0" type="noConversion"/>
  <hyperlinks>
    <hyperlink ref="A1" location="'Working Budget with funding det'!A1" display="Main " xr:uid="{00000000-0004-0000-3500-000000000000}"/>
    <hyperlink ref="B1" location="'Table of Contents'!A1" display="TOC" xr:uid="{00000000-0004-0000-3500-000001000000}"/>
  </hyperlinks>
  <pageMargins left="0.75" right="0.75" top="1" bottom="1" header="0.5" footer="0.5"/>
  <pageSetup scale="93" fitToHeight="2" orientation="landscape" horizontalDpi="1200" verticalDpi="1200" r:id="rId1"/>
  <headerFooter alignWithMargins="0">
    <oddFooter>&amp;L&amp;D  &amp;T&amp;C&amp;F&amp;R&amp;A</oddFooter>
  </headerFooter>
  <rowBreaks count="1" manualBreakCount="1">
    <brk id="33" max="16"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B050"/>
    <pageSetUpPr fitToPage="1"/>
  </sheetPr>
  <dimension ref="A1:W144"/>
  <sheetViews>
    <sheetView workbookViewId="0">
      <pane ySplit="7" topLeftCell="A55" activePane="bottomLeft" state="frozen"/>
      <selection activeCell="P15" sqref="P15"/>
      <selection pane="bottomLeft" activeCell="A71" sqref="A71"/>
    </sheetView>
  </sheetViews>
  <sheetFormatPr defaultRowHeight="12.75" x14ac:dyDescent="0.2"/>
  <cols>
    <col min="1" max="1" width="14.33203125" style="783" customWidth="1"/>
    <col min="2" max="2" width="36.6640625" customWidth="1"/>
    <col min="3" max="3" width="14.5" style="1" hidden="1" customWidth="1"/>
    <col min="4" max="12" width="14.5" style="106" hidden="1" customWidth="1"/>
    <col min="13" max="15" width="14.5" style="106" customWidth="1"/>
    <col min="16" max="16" width="14.5" customWidth="1"/>
    <col min="17" max="19" width="14.5" style="1" customWidth="1"/>
    <col min="20" max="20" width="16" customWidth="1"/>
    <col min="21" max="21" width="16" hidden="1" customWidth="1"/>
    <col min="22" max="22" width="14.5" customWidth="1"/>
    <col min="23" max="23" width="14.6640625" style="2" customWidth="1"/>
  </cols>
  <sheetData>
    <row r="1" spans="1:22" x14ac:dyDescent="0.2">
      <c r="A1" s="772" t="s">
        <v>847</v>
      </c>
      <c r="B1" s="308" t="s">
        <v>197</v>
      </c>
      <c r="D1" s="212"/>
      <c r="E1" s="212"/>
      <c r="F1" s="212"/>
      <c r="G1" s="212"/>
      <c r="H1" s="212" t="s">
        <v>1628</v>
      </c>
      <c r="I1" s="212"/>
      <c r="J1" s="212"/>
      <c r="K1" s="212"/>
      <c r="L1" s="212"/>
      <c r="M1" s="212"/>
      <c r="N1" s="212"/>
      <c r="O1" s="212"/>
      <c r="S1"/>
    </row>
    <row r="2" spans="1:22" ht="15" x14ac:dyDescent="0.25">
      <c r="A2" s="773" t="s">
        <v>1286</v>
      </c>
      <c r="B2" s="43"/>
      <c r="D2" s="212"/>
      <c r="E2" s="126"/>
      <c r="F2" s="212"/>
      <c r="G2" s="212"/>
      <c r="H2" s="212"/>
      <c r="I2" s="126" t="s">
        <v>816</v>
      </c>
      <c r="J2" s="126"/>
      <c r="K2" s="126"/>
      <c r="L2" s="126"/>
      <c r="M2" s="126"/>
      <c r="N2" s="126"/>
      <c r="O2" s="126"/>
      <c r="P2" s="58" t="s">
        <v>678</v>
      </c>
      <c r="S2" s="44" t="s">
        <v>1629</v>
      </c>
    </row>
    <row r="3" spans="1:22" ht="13.5" thickBot="1" x14ac:dyDescent="0.25">
      <c r="A3" s="774"/>
      <c r="B3" s="4"/>
      <c r="C3" s="23"/>
      <c r="D3" s="23"/>
      <c r="E3" s="23"/>
      <c r="F3" s="23"/>
      <c r="G3" s="23"/>
      <c r="H3" s="23"/>
      <c r="I3" s="23"/>
      <c r="J3" s="23"/>
      <c r="K3" s="23"/>
      <c r="L3" s="23"/>
      <c r="M3" s="23"/>
      <c r="N3" s="23"/>
      <c r="O3" s="23"/>
      <c r="P3" s="4"/>
      <c r="Q3" s="23"/>
      <c r="R3" s="23"/>
      <c r="S3" s="4"/>
      <c r="V3" s="4"/>
    </row>
    <row r="4" spans="1:22" ht="14.25" thickTop="1" thickBot="1" x14ac:dyDescent="0.25">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c r="U4" s="9" t="s">
        <v>570</v>
      </c>
    </row>
    <row r="5" spans="1:22" ht="13.5" thickTop="1" x14ac:dyDescent="0.2">
      <c r="A5" s="776"/>
      <c r="B5" s="202"/>
      <c r="C5" s="113"/>
      <c r="D5" s="82"/>
      <c r="E5" s="105"/>
      <c r="F5" s="82"/>
      <c r="G5" s="82"/>
      <c r="H5" s="105"/>
      <c r="I5" s="247"/>
      <c r="J5" s="247"/>
      <c r="K5" s="247"/>
      <c r="L5" s="247"/>
      <c r="M5" s="247" t="s">
        <v>1630</v>
      </c>
      <c r="N5" s="247"/>
      <c r="O5" s="247"/>
      <c r="P5" s="105" t="s">
        <v>819</v>
      </c>
      <c r="Q5" s="83" t="s">
        <v>820</v>
      </c>
      <c r="R5" s="83" t="s">
        <v>821</v>
      </c>
      <c r="S5" s="196" t="s">
        <v>822</v>
      </c>
      <c r="T5" s="347"/>
      <c r="U5" s="45"/>
      <c r="V5" s="348"/>
    </row>
    <row r="6" spans="1:22" x14ac:dyDescent="0.2">
      <c r="A6" s="776"/>
      <c r="B6" s="202"/>
      <c r="C6" s="113"/>
      <c r="D6" s="113"/>
      <c r="E6" s="113"/>
      <c r="F6" s="113"/>
      <c r="G6" s="113"/>
      <c r="H6" s="113"/>
      <c r="I6" s="83"/>
      <c r="J6" s="83"/>
      <c r="K6" s="83"/>
      <c r="L6" s="83"/>
      <c r="M6" s="83" t="s">
        <v>1631</v>
      </c>
      <c r="N6" s="83"/>
      <c r="O6" s="83"/>
      <c r="P6" s="113"/>
      <c r="Q6" s="83" t="s">
        <v>823</v>
      </c>
      <c r="R6" s="83" t="s">
        <v>585</v>
      </c>
      <c r="S6" s="45" t="s">
        <v>824</v>
      </c>
      <c r="T6" s="154"/>
      <c r="U6" s="45" t="s">
        <v>1632</v>
      </c>
      <c r="V6" s="349"/>
    </row>
    <row r="7" spans="1:22"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c r="T7" s="154"/>
      <c r="U7" s="9" t="s">
        <v>570</v>
      </c>
      <c r="V7" s="349"/>
    </row>
    <row r="8" spans="1:22" ht="13.5" thickTop="1" x14ac:dyDescent="0.2">
      <c r="A8" s="778"/>
      <c r="B8" s="157"/>
      <c r="C8" s="595"/>
      <c r="D8" s="209"/>
      <c r="E8" s="209"/>
      <c r="F8" s="209"/>
      <c r="G8" s="209"/>
      <c r="H8" s="209"/>
      <c r="I8" s="210"/>
      <c r="J8" s="210"/>
      <c r="K8" s="210"/>
      <c r="L8" s="210"/>
      <c r="M8" s="210"/>
      <c r="N8" s="210"/>
      <c r="O8" s="210"/>
      <c r="P8" s="96"/>
      <c r="Q8" s="72"/>
      <c r="R8" s="72"/>
      <c r="S8" s="72"/>
      <c r="T8" s="154"/>
      <c r="U8" s="210"/>
      <c r="V8" s="349"/>
    </row>
    <row r="9" spans="1:22" x14ac:dyDescent="0.2">
      <c r="A9" s="802">
        <v>5111</v>
      </c>
      <c r="B9" s="680" t="s">
        <v>2345</v>
      </c>
      <c r="C9" s="595"/>
      <c r="D9" s="209"/>
      <c r="E9" s="209"/>
      <c r="F9" s="209"/>
      <c r="G9" s="209"/>
      <c r="H9" s="209"/>
      <c r="I9" s="210"/>
      <c r="J9" s="210"/>
      <c r="K9" s="210"/>
      <c r="L9" s="209"/>
      <c r="M9" s="14">
        <v>49408</v>
      </c>
      <c r="N9" s="209">
        <v>49454.879999999997</v>
      </c>
      <c r="O9" s="14">
        <v>52689</v>
      </c>
      <c r="P9" s="209">
        <v>25159.68</v>
      </c>
      <c r="Q9" s="14">
        <f>ROUND((+P60),0)</f>
        <v>62742</v>
      </c>
      <c r="R9" s="19"/>
      <c r="S9" s="72"/>
      <c r="T9" s="154"/>
      <c r="U9" s="210"/>
      <c r="V9" s="349"/>
    </row>
    <row r="10" spans="1:22" x14ac:dyDescent="0.2">
      <c r="A10" s="779">
        <v>5111</v>
      </c>
      <c r="B10" s="680" t="s">
        <v>2344</v>
      </c>
      <c r="C10" s="116">
        <v>13810.8</v>
      </c>
      <c r="D10" s="13">
        <v>17852.68</v>
      </c>
      <c r="E10" s="13">
        <v>19441.04</v>
      </c>
      <c r="F10" s="13">
        <v>20522.490000000002</v>
      </c>
      <c r="G10" s="13">
        <v>17393.23</v>
      </c>
      <c r="H10" s="13">
        <v>19443.84</v>
      </c>
      <c r="I10" s="13">
        <v>19253.52</v>
      </c>
      <c r="J10" s="13">
        <v>12907.33</v>
      </c>
      <c r="K10" s="14">
        <v>26869</v>
      </c>
      <c r="L10" s="13">
        <v>25469.279999999999</v>
      </c>
      <c r="M10" s="1060">
        <v>15800</v>
      </c>
      <c r="N10" s="116">
        <v>18517.23</v>
      </c>
      <c r="O10" s="1113">
        <v>28585</v>
      </c>
      <c r="P10" s="13">
        <v>13155.39</v>
      </c>
      <c r="Q10" s="1060">
        <f>ROUND((+P61),0)</f>
        <v>47234</v>
      </c>
      <c r="R10" s="626"/>
      <c r="S10" s="14"/>
      <c r="T10" s="154"/>
      <c r="U10" s="13">
        <f>10810.45-U11</f>
        <v>9574.4500000000007</v>
      </c>
      <c r="V10" s="349"/>
    </row>
    <row r="11" spans="1:22" x14ac:dyDescent="0.2">
      <c r="A11" s="779">
        <v>5124</v>
      </c>
      <c r="B11" s="60" t="s">
        <v>1633</v>
      </c>
      <c r="C11" s="228"/>
      <c r="D11" s="35"/>
      <c r="E11" s="35"/>
      <c r="F11" s="35"/>
      <c r="G11" s="35"/>
      <c r="H11" s="35"/>
      <c r="I11" s="35">
        <v>2588</v>
      </c>
      <c r="J11" s="35">
        <v>2088.5</v>
      </c>
      <c r="K11" s="36">
        <v>15000</v>
      </c>
      <c r="L11" s="35">
        <v>6565.25</v>
      </c>
      <c r="M11" s="36">
        <v>17000</v>
      </c>
      <c r="N11" s="35">
        <v>19084.25</v>
      </c>
      <c r="O11" s="36">
        <v>17000</v>
      </c>
      <c r="P11" s="35">
        <v>14988.5</v>
      </c>
      <c r="Q11" s="36">
        <v>25000</v>
      </c>
      <c r="R11" s="36"/>
      <c r="S11" s="36"/>
      <c r="T11" s="154"/>
      <c r="U11" s="35">
        <v>1236</v>
      </c>
      <c r="V11" s="349"/>
    </row>
    <row r="12" spans="1:22" hidden="1" x14ac:dyDescent="0.2">
      <c r="A12" s="779">
        <v>5145</v>
      </c>
      <c r="B12" s="60" t="s">
        <v>27</v>
      </c>
      <c r="C12" s="228"/>
      <c r="D12" s="35"/>
      <c r="E12" s="35"/>
      <c r="F12" s="35"/>
      <c r="G12" s="35">
        <v>300</v>
      </c>
      <c r="H12" s="35"/>
      <c r="I12" s="35"/>
      <c r="J12" s="35"/>
      <c r="K12" s="36"/>
      <c r="L12" s="35"/>
      <c r="M12" s="36"/>
      <c r="N12" s="35"/>
      <c r="O12" s="36"/>
      <c r="P12" s="35"/>
      <c r="Q12" s="36"/>
      <c r="R12" s="36"/>
      <c r="S12" s="36"/>
      <c r="T12" s="154"/>
      <c r="U12" s="35"/>
      <c r="V12" s="349"/>
    </row>
    <row r="13" spans="1:22" x14ac:dyDescent="0.2">
      <c r="A13" s="779">
        <v>5132</v>
      </c>
      <c r="B13" s="60" t="s">
        <v>1634</v>
      </c>
      <c r="C13" s="228"/>
      <c r="D13" s="35"/>
      <c r="E13" s="35"/>
      <c r="F13" s="35"/>
      <c r="G13" s="35"/>
      <c r="H13" s="35"/>
      <c r="I13" s="35"/>
      <c r="J13" s="35"/>
      <c r="K13" s="36"/>
      <c r="L13" s="35">
        <v>144.41</v>
      </c>
      <c r="M13" s="36">
        <v>2000</v>
      </c>
      <c r="N13" s="35"/>
      <c r="O13" s="36">
        <v>2000</v>
      </c>
      <c r="P13" s="35"/>
      <c r="Q13" s="36">
        <v>2000</v>
      </c>
      <c r="R13" s="36"/>
      <c r="S13" s="36"/>
      <c r="T13" s="154"/>
      <c r="U13" s="35"/>
      <c r="V13" s="349"/>
    </row>
    <row r="14" spans="1:22" x14ac:dyDescent="0.2">
      <c r="A14" s="779">
        <v>5144</v>
      </c>
      <c r="B14" s="60" t="s">
        <v>2346</v>
      </c>
      <c r="C14" s="228"/>
      <c r="D14" s="35"/>
      <c r="E14" s="35"/>
      <c r="F14" s="35"/>
      <c r="G14" s="35"/>
      <c r="H14" s="35"/>
      <c r="I14" s="35"/>
      <c r="J14" s="35"/>
      <c r="K14" s="36"/>
      <c r="L14" s="35"/>
      <c r="M14" s="36"/>
      <c r="N14" s="35"/>
      <c r="O14" s="36"/>
      <c r="P14" s="35"/>
      <c r="Q14" s="36">
        <v>500</v>
      </c>
      <c r="R14" s="36"/>
      <c r="S14" s="36"/>
      <c r="T14" s="154"/>
      <c r="U14" s="35"/>
      <c r="V14" s="349"/>
    </row>
    <row r="15" spans="1:22" ht="13.5" thickBot="1" x14ac:dyDescent="0.25">
      <c r="A15" s="779">
        <v>5145</v>
      </c>
      <c r="B15" s="60" t="s">
        <v>855</v>
      </c>
      <c r="C15" s="117">
        <v>300.04000000000002</v>
      </c>
      <c r="D15" s="15">
        <v>300.04000000000002</v>
      </c>
      <c r="E15" s="15">
        <v>300.04000000000002</v>
      </c>
      <c r="F15" s="15">
        <v>305.81</v>
      </c>
      <c r="G15" s="15">
        <v>236.57</v>
      </c>
      <c r="H15" s="15">
        <v>300.04000000000002</v>
      </c>
      <c r="I15" s="15">
        <v>300.04000000000002</v>
      </c>
      <c r="J15" s="15">
        <v>300.04000000000002</v>
      </c>
      <c r="K15" s="16">
        <v>300</v>
      </c>
      <c r="L15" s="15">
        <v>300.04000000000002</v>
      </c>
      <c r="M15" s="16">
        <v>600</v>
      </c>
      <c r="N15" s="15">
        <v>611.62</v>
      </c>
      <c r="O15" s="16">
        <v>600</v>
      </c>
      <c r="P15" s="15">
        <v>288.5</v>
      </c>
      <c r="Q15" s="16">
        <v>600</v>
      </c>
      <c r="R15" s="16"/>
      <c r="S15" s="16"/>
      <c r="T15" s="154"/>
      <c r="U15" s="15"/>
      <c r="V15" s="349"/>
    </row>
    <row r="16" spans="1:22" x14ac:dyDescent="0.2">
      <c r="A16" s="779"/>
      <c r="B16" s="61" t="s">
        <v>828</v>
      </c>
      <c r="C16" s="118">
        <f t="shared" ref="C16:H16" si="0">SUM(C10:C15)</f>
        <v>14110.84</v>
      </c>
      <c r="D16" s="18">
        <f t="shared" si="0"/>
        <v>18152.72</v>
      </c>
      <c r="E16" s="18">
        <f t="shared" si="0"/>
        <v>19741.080000000002</v>
      </c>
      <c r="F16" s="18">
        <f t="shared" si="0"/>
        <v>20828.300000000003</v>
      </c>
      <c r="G16" s="18">
        <f t="shared" si="0"/>
        <v>17929.8</v>
      </c>
      <c r="H16" s="18">
        <f t="shared" si="0"/>
        <v>19743.88</v>
      </c>
      <c r="I16" s="18">
        <f t="shared" ref="I16:Q16" si="1">SUM(I9:I15)</f>
        <v>22141.56</v>
      </c>
      <c r="J16" s="18">
        <f t="shared" si="1"/>
        <v>15295.87</v>
      </c>
      <c r="K16" s="34">
        <f t="shared" si="1"/>
        <v>42169</v>
      </c>
      <c r="L16" s="18">
        <f t="shared" si="1"/>
        <v>32478.98</v>
      </c>
      <c r="M16" s="34">
        <f t="shared" si="1"/>
        <v>84808</v>
      </c>
      <c r="N16" s="18">
        <f t="shared" si="1"/>
        <v>87667.98</v>
      </c>
      <c r="O16" s="34">
        <f t="shared" si="1"/>
        <v>100874</v>
      </c>
      <c r="P16" s="18">
        <f t="shared" si="1"/>
        <v>53592.07</v>
      </c>
      <c r="Q16" s="34">
        <f t="shared" si="1"/>
        <v>138076</v>
      </c>
      <c r="R16" s="34"/>
      <c r="S16" s="34">
        <f>SUM(S10:S15)</f>
        <v>0</v>
      </c>
      <c r="T16" s="154"/>
      <c r="U16" s="18">
        <f>SUM(U10:U15)</f>
        <v>10810.45</v>
      </c>
      <c r="V16" s="349"/>
    </row>
    <row r="17" spans="1:22" x14ac:dyDescent="0.2">
      <c r="A17" s="779"/>
      <c r="B17" s="60"/>
      <c r="C17" s="116"/>
      <c r="D17" s="13"/>
      <c r="E17" s="13"/>
      <c r="F17" s="13"/>
      <c r="G17" s="13"/>
      <c r="H17" s="13"/>
      <c r="I17" s="13"/>
      <c r="J17" s="13"/>
      <c r="K17" s="14"/>
      <c r="L17" s="13"/>
      <c r="M17" s="14"/>
      <c r="N17" s="13"/>
      <c r="O17" s="14"/>
      <c r="P17" s="13"/>
      <c r="Q17" s="14"/>
      <c r="R17" s="14"/>
      <c r="S17" s="14"/>
      <c r="T17" s="285"/>
      <c r="U17" s="13"/>
      <c r="V17" s="349"/>
    </row>
    <row r="18" spans="1:22" x14ac:dyDescent="0.2">
      <c r="A18" s="779">
        <v>5211</v>
      </c>
      <c r="B18" s="60" t="s">
        <v>1410</v>
      </c>
      <c r="C18" s="116">
        <v>5066.71</v>
      </c>
      <c r="D18" s="13">
        <v>6228.7</v>
      </c>
      <c r="E18" s="13">
        <v>6567.25</v>
      </c>
      <c r="F18" s="13">
        <v>7139.94</v>
      </c>
      <c r="G18" s="13">
        <v>7603.06</v>
      </c>
      <c r="H18" s="13">
        <v>6972.68</v>
      </c>
      <c r="I18" s="588">
        <v>7257.31</v>
      </c>
      <c r="J18" s="588">
        <v>4301.03</v>
      </c>
      <c r="K18" s="491">
        <v>2950</v>
      </c>
      <c r="L18" s="588">
        <v>5285.21</v>
      </c>
      <c r="M18" s="491">
        <v>12809.45</v>
      </c>
      <c r="N18" s="588">
        <v>12636.51</v>
      </c>
      <c r="O18" s="491">
        <v>10000</v>
      </c>
      <c r="P18" s="13">
        <v>5961.25</v>
      </c>
      <c r="Q18" s="491">
        <v>16000</v>
      </c>
      <c r="R18" s="491"/>
      <c r="S18" s="14"/>
      <c r="T18" s="586"/>
      <c r="U18" s="588">
        <f>2393.38+124.66+389.46+81.02+121.7</f>
        <v>3110.22</v>
      </c>
      <c r="V18" s="349"/>
    </row>
    <row r="19" spans="1:22" x14ac:dyDescent="0.2">
      <c r="A19" s="779">
        <v>5213</v>
      </c>
      <c r="B19" s="60" t="s">
        <v>1635</v>
      </c>
      <c r="C19" s="116"/>
      <c r="D19" s="13">
        <v>806.93</v>
      </c>
      <c r="E19" s="13"/>
      <c r="F19" s="13"/>
      <c r="G19" s="13"/>
      <c r="H19" s="13"/>
      <c r="I19" s="588"/>
      <c r="J19" s="588"/>
      <c r="K19" s="491"/>
      <c r="L19" s="588"/>
      <c r="M19" s="491"/>
      <c r="N19" s="588">
        <v>1234.33</v>
      </c>
      <c r="O19" s="491"/>
      <c r="P19" s="13"/>
      <c r="Q19" s="491">
        <v>2750</v>
      </c>
      <c r="R19" s="491"/>
      <c r="S19" s="14"/>
      <c r="T19" s="154"/>
      <c r="U19" s="588"/>
      <c r="V19" s="349"/>
    </row>
    <row r="20" spans="1:22" x14ac:dyDescent="0.2">
      <c r="A20" s="779">
        <v>5214</v>
      </c>
      <c r="B20" s="60" t="s">
        <v>1443</v>
      </c>
      <c r="C20" s="116">
        <v>537.37</v>
      </c>
      <c r="D20" s="13">
        <v>648.83000000000004</v>
      </c>
      <c r="E20" s="13">
        <v>618.26</v>
      </c>
      <c r="F20" s="13">
        <v>369.77</v>
      </c>
      <c r="G20" s="13">
        <v>451.1</v>
      </c>
      <c r="H20" s="13">
        <v>892.09</v>
      </c>
      <c r="I20" s="588">
        <v>1148.9100000000001</v>
      </c>
      <c r="J20" s="588">
        <v>295.08999999999997</v>
      </c>
      <c r="K20" s="491">
        <v>1550</v>
      </c>
      <c r="L20" s="588">
        <v>1264.94</v>
      </c>
      <c r="M20" s="491">
        <f>1550+800</f>
        <v>2350</v>
      </c>
      <c r="N20" s="588">
        <v>1805.73</v>
      </c>
      <c r="O20" s="491">
        <v>3000</v>
      </c>
      <c r="P20" s="13">
        <v>151.62</v>
      </c>
      <c r="Q20" s="491">
        <v>2250</v>
      </c>
      <c r="R20" s="491"/>
      <c r="S20" s="14"/>
      <c r="T20" s="154"/>
      <c r="U20" s="588">
        <f>336.62+17.05+4.51+42.5</f>
        <v>400.68</v>
      </c>
      <c r="V20" s="349"/>
    </row>
    <row r="21" spans="1:22" x14ac:dyDescent="0.2">
      <c r="A21" s="779">
        <v>5215</v>
      </c>
      <c r="B21" s="60" t="s">
        <v>2357</v>
      </c>
      <c r="C21" s="116"/>
      <c r="D21" s="13"/>
      <c r="E21" s="13"/>
      <c r="F21" s="13"/>
      <c r="G21" s="13"/>
      <c r="H21" s="13"/>
      <c r="I21" s="588"/>
      <c r="J21" s="588"/>
      <c r="K21" s="491"/>
      <c r="L21" s="588"/>
      <c r="M21" s="491"/>
      <c r="N21" s="588"/>
      <c r="O21" s="491"/>
      <c r="P21" s="13"/>
      <c r="Q21" s="491">
        <v>1000</v>
      </c>
      <c r="R21" s="491"/>
      <c r="S21" s="14"/>
      <c r="T21" s="154"/>
      <c r="U21" s="588"/>
      <c r="V21" s="349"/>
    </row>
    <row r="22" spans="1:22" x14ac:dyDescent="0.2">
      <c r="A22" s="779">
        <v>5231</v>
      </c>
      <c r="B22" s="60" t="s">
        <v>1444</v>
      </c>
      <c r="C22" s="116">
        <v>403.2</v>
      </c>
      <c r="D22" s="13">
        <v>146</v>
      </c>
      <c r="E22" s="13">
        <v>219.2</v>
      </c>
      <c r="F22" s="13">
        <v>862.2</v>
      </c>
      <c r="G22" s="13">
        <v>178.2</v>
      </c>
      <c r="H22" s="13">
        <v>259.2</v>
      </c>
      <c r="I22" s="588">
        <v>423.9</v>
      </c>
      <c r="J22" s="588">
        <v>108.5</v>
      </c>
      <c r="K22" s="491">
        <v>1000</v>
      </c>
      <c r="L22" s="588">
        <v>554.5</v>
      </c>
      <c r="M22" s="491">
        <v>1350</v>
      </c>
      <c r="N22" s="588">
        <v>806.83</v>
      </c>
      <c r="O22" s="491">
        <v>2000</v>
      </c>
      <c r="P22" s="13">
        <v>394.2</v>
      </c>
      <c r="Q22" s="491">
        <v>1250</v>
      </c>
      <c r="R22" s="491"/>
      <c r="S22" s="14"/>
      <c r="T22" s="154"/>
      <c r="U22" s="588">
        <v>121</v>
      </c>
      <c r="V22" s="349"/>
    </row>
    <row r="23" spans="1:22" x14ac:dyDescent="0.2">
      <c r="A23" s="779">
        <v>5241</v>
      </c>
      <c r="B23" s="12" t="s">
        <v>1636</v>
      </c>
      <c r="C23" s="13">
        <v>5585.18</v>
      </c>
      <c r="D23" s="13">
        <v>4307.68</v>
      </c>
      <c r="E23" s="13">
        <v>2060.39</v>
      </c>
      <c r="F23" s="13">
        <v>3265.74</v>
      </c>
      <c r="G23" s="13">
        <v>3262.36</v>
      </c>
      <c r="H23" s="13">
        <v>7969.93</v>
      </c>
      <c r="I23" s="588">
        <v>6357.29</v>
      </c>
      <c r="J23" s="588">
        <v>4341.49</v>
      </c>
      <c r="K23" s="491">
        <v>10500</v>
      </c>
      <c r="L23" s="588">
        <v>25184.68</v>
      </c>
      <c r="M23" s="491">
        <v>25877</v>
      </c>
      <c r="N23" s="588">
        <v>24343.85</v>
      </c>
      <c r="O23" s="491">
        <v>15000</v>
      </c>
      <c r="P23" s="13">
        <v>8449.6299999999992</v>
      </c>
      <c r="Q23" s="491">
        <v>15000</v>
      </c>
      <c r="R23" s="491"/>
      <c r="S23" s="14"/>
      <c r="U23" s="588">
        <f>309.66+90.88+8.85+392.8+261.72+91.39</f>
        <v>1155.3000000000002</v>
      </c>
      <c r="V23" s="349"/>
    </row>
    <row r="24" spans="1:22" x14ac:dyDescent="0.2">
      <c r="A24" s="779">
        <v>5244</v>
      </c>
      <c r="B24" s="12" t="s">
        <v>1159</v>
      </c>
      <c r="C24" s="13"/>
      <c r="D24" s="13"/>
      <c r="E24" s="13"/>
      <c r="F24" s="13"/>
      <c r="G24" s="13"/>
      <c r="H24" s="13"/>
      <c r="I24" s="588"/>
      <c r="J24" s="588"/>
      <c r="K24" s="491"/>
      <c r="L24" s="588"/>
      <c r="M24" s="491"/>
      <c r="N24" s="588"/>
      <c r="O24" s="491"/>
      <c r="P24" s="13">
        <v>17757.2</v>
      </c>
      <c r="Q24" s="491">
        <v>12500</v>
      </c>
      <c r="R24" s="491"/>
      <c r="S24" s="14"/>
      <c r="U24" s="588"/>
      <c r="V24" s="349"/>
    </row>
    <row r="25" spans="1:22" x14ac:dyDescent="0.2">
      <c r="A25" s="779">
        <v>5251</v>
      </c>
      <c r="B25" s="12" t="s">
        <v>1637</v>
      </c>
      <c r="C25" s="13">
        <v>740.5</v>
      </c>
      <c r="D25" s="13">
        <v>1025.08</v>
      </c>
      <c r="E25" s="13">
        <v>368.69</v>
      </c>
      <c r="F25" s="13"/>
      <c r="G25" s="13">
        <v>174.84</v>
      </c>
      <c r="H25" s="13">
        <v>553.89</v>
      </c>
      <c r="I25" s="588">
        <v>1161.04</v>
      </c>
      <c r="J25" s="588">
        <v>457.36</v>
      </c>
      <c r="K25" s="491">
        <v>3500</v>
      </c>
      <c r="L25" s="588">
        <v>6536.97</v>
      </c>
      <c r="M25" s="491">
        <f>2500+2000</f>
        <v>4500</v>
      </c>
      <c r="N25" s="588">
        <v>4858.92</v>
      </c>
      <c r="O25" s="491">
        <v>2000</v>
      </c>
      <c r="P25" s="13">
        <v>1348.9</v>
      </c>
      <c r="Q25" s="491">
        <v>3500</v>
      </c>
      <c r="R25" s="491"/>
      <c r="S25" s="14"/>
      <c r="U25" s="588"/>
      <c r="V25" s="349"/>
    </row>
    <row r="26" spans="1:22" x14ac:dyDescent="0.2">
      <c r="A26" s="779">
        <v>5275</v>
      </c>
      <c r="B26" s="12" t="s">
        <v>1638</v>
      </c>
      <c r="C26" s="13">
        <v>3574</v>
      </c>
      <c r="D26" s="13">
        <v>5884</v>
      </c>
      <c r="E26" s="13">
        <v>9987.5</v>
      </c>
      <c r="F26" s="13">
        <v>1200</v>
      </c>
      <c r="G26" s="13">
        <v>14487.5</v>
      </c>
      <c r="H26" s="13">
        <v>4654.92</v>
      </c>
      <c r="I26" s="588">
        <v>2282.0300000000002</v>
      </c>
      <c r="J26" s="588">
        <v>1290.47</v>
      </c>
      <c r="K26" s="491">
        <v>1100</v>
      </c>
      <c r="L26" s="588">
        <v>942.6</v>
      </c>
      <c r="M26" s="491">
        <f>400+1000</f>
        <v>1400</v>
      </c>
      <c r="N26" s="588">
        <v>1631.48</v>
      </c>
      <c r="O26" s="491">
        <v>1000</v>
      </c>
      <c r="P26" s="13"/>
      <c r="Q26" s="491">
        <v>2000</v>
      </c>
      <c r="R26" s="491"/>
      <c r="S26" s="14"/>
      <c r="U26" s="588"/>
      <c r="V26" s="349"/>
    </row>
    <row r="27" spans="1:22" x14ac:dyDescent="0.2">
      <c r="A27" s="779">
        <v>5302</v>
      </c>
      <c r="B27" s="12" t="s">
        <v>94</v>
      </c>
      <c r="C27" s="13">
        <v>391</v>
      </c>
      <c r="D27" s="13">
        <v>238</v>
      </c>
      <c r="E27" s="13">
        <v>17</v>
      </c>
      <c r="F27" s="13">
        <v>85</v>
      </c>
      <c r="G27" s="13"/>
      <c r="H27" s="13"/>
      <c r="I27" s="588">
        <v>140</v>
      </c>
      <c r="J27" s="588"/>
      <c r="K27" s="491">
        <v>1650</v>
      </c>
      <c r="L27" s="588">
        <v>728.77</v>
      </c>
      <c r="M27" s="491">
        <f>1650+350</f>
        <v>2000</v>
      </c>
      <c r="N27" s="588">
        <v>877.5</v>
      </c>
      <c r="O27" s="491">
        <v>0</v>
      </c>
      <c r="P27" s="13">
        <v>236.5</v>
      </c>
      <c r="Q27" s="491">
        <v>1500</v>
      </c>
      <c r="R27" s="491"/>
      <c r="S27" s="14"/>
      <c r="U27" s="588"/>
      <c r="V27" s="349"/>
    </row>
    <row r="28" spans="1:22" x14ac:dyDescent="0.2">
      <c r="A28" s="779">
        <v>5314</v>
      </c>
      <c r="B28" s="12" t="s">
        <v>1161</v>
      </c>
      <c r="C28" s="13">
        <v>189</v>
      </c>
      <c r="D28" s="13">
        <v>240</v>
      </c>
      <c r="E28" s="13"/>
      <c r="F28" s="13">
        <v>180</v>
      </c>
      <c r="G28" s="13">
        <v>300</v>
      </c>
      <c r="H28" s="13">
        <v>200</v>
      </c>
      <c r="I28" s="588">
        <v>46.79</v>
      </c>
      <c r="J28" s="588">
        <v>112.76</v>
      </c>
      <c r="K28" s="491">
        <v>2100</v>
      </c>
      <c r="L28" s="588"/>
      <c r="M28" s="491">
        <v>500</v>
      </c>
      <c r="N28" s="588">
        <v>250</v>
      </c>
      <c r="O28" s="491">
        <v>2000</v>
      </c>
      <c r="P28" s="13">
        <v>26.48</v>
      </c>
      <c r="Q28" s="491">
        <v>1500</v>
      </c>
      <c r="R28" s="491"/>
      <c r="S28" s="14"/>
      <c r="U28" s="588"/>
      <c r="V28" s="349"/>
    </row>
    <row r="29" spans="1:22" x14ac:dyDescent="0.2">
      <c r="A29" s="779">
        <v>5315</v>
      </c>
      <c r="B29" s="12" t="s">
        <v>1301</v>
      </c>
      <c r="C29" s="13">
        <v>175</v>
      </c>
      <c r="D29" s="13">
        <v>0</v>
      </c>
      <c r="E29" s="13"/>
      <c r="F29" s="13"/>
      <c r="G29" s="13">
        <v>83.79</v>
      </c>
      <c r="H29" s="13">
        <v>260</v>
      </c>
      <c r="I29" s="588">
        <v>496.29</v>
      </c>
      <c r="J29" s="588">
        <v>443.86</v>
      </c>
      <c r="K29" s="491">
        <v>1500</v>
      </c>
      <c r="L29" s="588">
        <v>1569.26</v>
      </c>
      <c r="M29" s="491">
        <v>650</v>
      </c>
      <c r="N29" s="588"/>
      <c r="O29" s="491">
        <v>1000</v>
      </c>
      <c r="P29" s="13">
        <v>2150.37</v>
      </c>
      <c r="Q29" s="491">
        <v>1500</v>
      </c>
      <c r="R29" s="491"/>
      <c r="S29" s="14"/>
      <c r="U29" s="588"/>
      <c r="V29" s="349"/>
    </row>
    <row r="30" spans="1:22" x14ac:dyDescent="0.2">
      <c r="A30" s="779">
        <v>5341</v>
      </c>
      <c r="B30" s="12" t="s">
        <v>1639</v>
      </c>
      <c r="C30" s="13">
        <v>824.55</v>
      </c>
      <c r="D30" s="13">
        <v>813.4</v>
      </c>
      <c r="E30" s="13">
        <v>808.28</v>
      </c>
      <c r="F30" s="13">
        <v>990.09</v>
      </c>
      <c r="G30" s="13">
        <v>1512.13</v>
      </c>
      <c r="H30" s="13">
        <v>1331.16</v>
      </c>
      <c r="I30" s="588">
        <v>1196.72</v>
      </c>
      <c r="J30" s="588">
        <v>696.74</v>
      </c>
      <c r="K30" s="491">
        <v>2150</v>
      </c>
      <c r="L30" s="588">
        <v>2179.44</v>
      </c>
      <c r="M30" s="491">
        <v>4650</v>
      </c>
      <c r="N30" s="588">
        <v>5508.71</v>
      </c>
      <c r="O30" s="491">
        <v>3000</v>
      </c>
      <c r="P30" s="13">
        <v>1415.15</v>
      </c>
      <c r="Q30" s="491">
        <v>3300</v>
      </c>
      <c r="R30" s="491"/>
      <c r="S30" s="14"/>
      <c r="U30" s="588">
        <f>421.28+105.32</f>
        <v>526.59999999999991</v>
      </c>
      <c r="V30" s="349"/>
    </row>
    <row r="31" spans="1:22" x14ac:dyDescent="0.2">
      <c r="A31" s="779">
        <v>5344</v>
      </c>
      <c r="B31" s="12" t="s">
        <v>832</v>
      </c>
      <c r="C31" s="13">
        <v>82.22</v>
      </c>
      <c r="D31" s="13">
        <v>33.18</v>
      </c>
      <c r="E31" s="13">
        <v>47.61</v>
      </c>
      <c r="F31" s="13">
        <v>68.349999999999994</v>
      </c>
      <c r="G31" s="13">
        <v>36.56</v>
      </c>
      <c r="H31" s="13">
        <v>57.59</v>
      </c>
      <c r="I31" s="588">
        <v>173.38</v>
      </c>
      <c r="J31" s="588">
        <v>182.2</v>
      </c>
      <c r="K31" s="491">
        <v>625</v>
      </c>
      <c r="L31" s="588">
        <v>114.89</v>
      </c>
      <c r="M31" s="491">
        <v>125</v>
      </c>
      <c r="N31" s="588">
        <v>47.48</v>
      </c>
      <c r="O31" s="491">
        <v>200</v>
      </c>
      <c r="P31" s="13">
        <v>3.99</v>
      </c>
      <c r="Q31" s="491">
        <v>350</v>
      </c>
      <c r="R31" s="491"/>
      <c r="S31" s="14"/>
      <c r="U31" s="588"/>
      <c r="V31" s="349"/>
    </row>
    <row r="32" spans="1:22" x14ac:dyDescent="0.2">
      <c r="A32" s="779">
        <v>5345</v>
      </c>
      <c r="B32" s="12" t="s">
        <v>863</v>
      </c>
      <c r="C32" s="18"/>
      <c r="D32" s="13">
        <v>796.78</v>
      </c>
      <c r="E32" s="13"/>
      <c r="F32" s="13">
        <v>150.03</v>
      </c>
      <c r="G32" s="13">
        <v>222.97</v>
      </c>
      <c r="H32" s="13"/>
      <c r="I32" s="588">
        <v>198.29</v>
      </c>
      <c r="J32" s="588">
        <v>1316.05</v>
      </c>
      <c r="K32" s="491">
        <v>2250</v>
      </c>
      <c r="L32" s="589">
        <v>585.84</v>
      </c>
      <c r="M32" s="491">
        <v>10000</v>
      </c>
      <c r="N32" s="589">
        <v>10172.56</v>
      </c>
      <c r="O32" s="491">
        <v>2500</v>
      </c>
      <c r="P32" s="18">
        <v>5108.12</v>
      </c>
      <c r="Q32" s="491">
        <v>3000</v>
      </c>
      <c r="R32" s="491"/>
      <c r="S32" s="14"/>
      <c r="U32" s="588">
        <v>298</v>
      </c>
      <c r="V32" s="349"/>
    </row>
    <row r="33" spans="1:22" x14ac:dyDescent="0.2">
      <c r="A33" s="779">
        <v>5420</v>
      </c>
      <c r="B33" s="12" t="s">
        <v>864</v>
      </c>
      <c r="C33" s="18">
        <v>175.79</v>
      </c>
      <c r="D33" s="13">
        <v>124.86</v>
      </c>
      <c r="E33" s="13">
        <v>221.12</v>
      </c>
      <c r="F33" s="13">
        <v>2057.3000000000002</v>
      </c>
      <c r="G33" s="13">
        <v>241.04</v>
      </c>
      <c r="H33" s="13">
        <v>872.64</v>
      </c>
      <c r="I33" s="588">
        <v>717.58</v>
      </c>
      <c r="J33" s="588">
        <v>1208.06</v>
      </c>
      <c r="K33" s="491">
        <v>1300</v>
      </c>
      <c r="L33" s="589">
        <v>3863.49</v>
      </c>
      <c r="M33" s="491">
        <f>1000+1000</f>
        <v>2000</v>
      </c>
      <c r="N33" s="589">
        <v>2411.34</v>
      </c>
      <c r="O33" s="491">
        <v>2000</v>
      </c>
      <c r="P33" s="18">
        <v>1897.49</v>
      </c>
      <c r="Q33" s="491">
        <v>1500</v>
      </c>
      <c r="R33" s="491"/>
      <c r="S33" s="14"/>
      <c r="U33" s="588">
        <v>909.22</v>
      </c>
      <c r="V33" s="349"/>
    </row>
    <row r="34" spans="1:22" x14ac:dyDescent="0.2">
      <c r="A34" s="779">
        <v>5443</v>
      </c>
      <c r="B34" s="12" t="s">
        <v>1308</v>
      </c>
      <c r="C34" s="13">
        <v>48.61</v>
      </c>
      <c r="D34" s="18">
        <v>0</v>
      </c>
      <c r="E34" s="18"/>
      <c r="F34" s="18">
        <v>108.25</v>
      </c>
      <c r="G34" s="18">
        <v>158.6</v>
      </c>
      <c r="H34" s="18">
        <v>526.35</v>
      </c>
      <c r="I34" s="589">
        <v>621.1</v>
      </c>
      <c r="J34" s="589">
        <v>515.80999999999995</v>
      </c>
      <c r="K34" s="492">
        <v>1850</v>
      </c>
      <c r="L34" s="589">
        <v>3408.81</v>
      </c>
      <c r="M34" s="492">
        <v>4800</v>
      </c>
      <c r="N34" s="589">
        <v>4926.2700000000004</v>
      </c>
      <c r="O34" s="492">
        <v>3000</v>
      </c>
      <c r="P34" s="13">
        <v>685.26</v>
      </c>
      <c r="Q34" s="492">
        <v>3000</v>
      </c>
      <c r="R34" s="492"/>
      <c r="S34" s="19"/>
      <c r="U34" s="589">
        <f>615+387.37+76.41+119.96+94.56+37.52+219.6+133.83</f>
        <v>1684.2499999999998</v>
      </c>
      <c r="V34" s="349"/>
    </row>
    <row r="35" spans="1:22" x14ac:dyDescent="0.2">
      <c r="A35" s="779">
        <v>5481</v>
      </c>
      <c r="B35" s="12" t="s">
        <v>1167</v>
      </c>
      <c r="C35" s="18"/>
      <c r="D35" s="18"/>
      <c r="E35" s="18"/>
      <c r="F35" s="18"/>
      <c r="G35" s="18"/>
      <c r="H35" s="18"/>
      <c r="I35" s="589"/>
      <c r="J35" s="589">
        <v>3197.4</v>
      </c>
      <c r="K35" s="492">
        <v>4500</v>
      </c>
      <c r="L35" s="589">
        <v>4581.92</v>
      </c>
      <c r="M35" s="492">
        <f>2500+3000</f>
        <v>5500</v>
      </c>
      <c r="N35" s="589">
        <v>7058.61</v>
      </c>
      <c r="O35" s="492">
        <v>7500</v>
      </c>
      <c r="P35" s="13">
        <v>3430.17</v>
      </c>
      <c r="Q35" s="492">
        <v>7500</v>
      </c>
      <c r="R35" s="492"/>
      <c r="S35" s="19"/>
      <c r="U35" s="589">
        <f>96+50+1404.49</f>
        <v>1550.49</v>
      </c>
      <c r="V35" s="349"/>
    </row>
    <row r="36" spans="1:22" x14ac:dyDescent="0.2">
      <c r="A36" s="779">
        <v>5482</v>
      </c>
      <c r="B36" s="12" t="s">
        <v>1310</v>
      </c>
      <c r="C36" s="18"/>
      <c r="D36" s="18"/>
      <c r="E36" s="18"/>
      <c r="F36" s="18"/>
      <c r="G36" s="18"/>
      <c r="H36" s="18"/>
      <c r="I36" s="589"/>
      <c r="J36" s="589"/>
      <c r="K36" s="492"/>
      <c r="L36" s="589"/>
      <c r="M36" s="492"/>
      <c r="N36" s="589"/>
      <c r="O36" s="492"/>
      <c r="P36" s="13">
        <v>3785.7</v>
      </c>
      <c r="Q36" s="492">
        <v>8500</v>
      </c>
      <c r="R36" s="492"/>
      <c r="S36" s="19"/>
      <c r="U36" s="589"/>
      <c r="V36" s="349"/>
    </row>
    <row r="37" spans="1:22" x14ac:dyDescent="0.2">
      <c r="A37" s="779">
        <v>5500</v>
      </c>
      <c r="B37" s="12" t="s">
        <v>1640</v>
      </c>
      <c r="C37" s="18"/>
      <c r="D37" s="18">
        <v>113.67</v>
      </c>
      <c r="E37" s="18">
        <v>500</v>
      </c>
      <c r="F37" s="18">
        <v>1747.06</v>
      </c>
      <c r="G37" s="18">
        <v>923.8</v>
      </c>
      <c r="H37" s="18">
        <v>2520.9499999999998</v>
      </c>
      <c r="I37" s="589">
        <v>1284.3499999999999</v>
      </c>
      <c r="J37" s="589">
        <v>616.69000000000005</v>
      </c>
      <c r="K37" s="492">
        <v>650</v>
      </c>
      <c r="L37" s="589">
        <v>1658.19</v>
      </c>
      <c r="M37" s="492">
        <v>20200</v>
      </c>
      <c r="N37" s="589">
        <v>20706.990000000002</v>
      </c>
      <c r="O37" s="492">
        <v>1000</v>
      </c>
      <c r="P37" s="13">
        <v>6522.94</v>
      </c>
      <c r="Q37" s="492">
        <v>2500</v>
      </c>
      <c r="R37" s="492"/>
      <c r="S37" s="19"/>
      <c r="U37" s="589">
        <v>1228</v>
      </c>
      <c r="V37" s="349"/>
    </row>
    <row r="38" spans="1:22" x14ac:dyDescent="0.2">
      <c r="A38" s="779">
        <v>5580</v>
      </c>
      <c r="B38" s="12" t="s">
        <v>2349</v>
      </c>
      <c r="C38" s="18"/>
      <c r="D38" s="18"/>
      <c r="E38" s="18"/>
      <c r="F38" s="18"/>
      <c r="G38" s="18"/>
      <c r="H38" s="18"/>
      <c r="I38" s="589"/>
      <c r="J38" s="589"/>
      <c r="K38" s="492"/>
      <c r="L38" s="589"/>
      <c r="M38" s="492"/>
      <c r="N38" s="589"/>
      <c r="O38" s="492"/>
      <c r="P38" s="13"/>
      <c r="Q38" s="492">
        <v>4500</v>
      </c>
      <c r="R38" s="492"/>
      <c r="S38" s="19"/>
      <c r="U38" s="589"/>
      <c r="V38" s="349"/>
    </row>
    <row r="39" spans="1:22" x14ac:dyDescent="0.2">
      <c r="A39" s="779">
        <v>5581</v>
      </c>
      <c r="B39" s="12" t="s">
        <v>2350</v>
      </c>
      <c r="C39" s="18"/>
      <c r="D39" s="18"/>
      <c r="E39" s="18"/>
      <c r="F39" s="18"/>
      <c r="G39" s="18"/>
      <c r="H39" s="18"/>
      <c r="I39" s="589"/>
      <c r="J39" s="589"/>
      <c r="K39" s="492"/>
      <c r="L39" s="589"/>
      <c r="M39" s="492"/>
      <c r="N39" s="589"/>
      <c r="O39" s="492"/>
      <c r="P39" s="13"/>
      <c r="Q39" s="492">
        <v>4500</v>
      </c>
      <c r="R39" s="492"/>
      <c r="S39" s="19"/>
      <c r="U39" s="589"/>
      <c r="V39" s="349"/>
    </row>
    <row r="40" spans="1:22" x14ac:dyDescent="0.2">
      <c r="A40" s="779">
        <v>5582</v>
      </c>
      <c r="B40" s="12" t="s">
        <v>1641</v>
      </c>
      <c r="C40" s="18"/>
      <c r="D40" s="18"/>
      <c r="E40" s="18"/>
      <c r="F40" s="18"/>
      <c r="G40" s="18"/>
      <c r="H40" s="18"/>
      <c r="I40" s="589">
        <v>139</v>
      </c>
      <c r="J40" s="589">
        <v>74.97</v>
      </c>
      <c r="K40" s="492">
        <v>1550</v>
      </c>
      <c r="L40" s="589">
        <v>3366.7</v>
      </c>
      <c r="M40" s="492">
        <v>3000</v>
      </c>
      <c r="N40" s="589">
        <v>3854.78</v>
      </c>
      <c r="O40" s="492">
        <v>3500</v>
      </c>
      <c r="P40" s="13">
        <v>1953.6</v>
      </c>
      <c r="Q40" s="492">
        <v>3750</v>
      </c>
      <c r="R40" s="492"/>
      <c r="S40" s="19"/>
      <c r="U40" s="589"/>
      <c r="V40" s="349"/>
    </row>
    <row r="41" spans="1:22" x14ac:dyDescent="0.2">
      <c r="A41" s="779">
        <v>5584</v>
      </c>
      <c r="B41" s="12" t="s">
        <v>2351</v>
      </c>
      <c r="C41" s="18"/>
      <c r="D41" s="18"/>
      <c r="E41" s="18"/>
      <c r="F41" s="18"/>
      <c r="G41" s="18"/>
      <c r="H41" s="18"/>
      <c r="I41" s="589"/>
      <c r="J41" s="589"/>
      <c r="K41" s="492"/>
      <c r="L41" s="589"/>
      <c r="M41" s="492"/>
      <c r="N41" s="589">
        <v>393.23</v>
      </c>
      <c r="O41" s="492"/>
      <c r="P41" s="13">
        <v>472.26</v>
      </c>
      <c r="Q41" s="492">
        <v>500</v>
      </c>
      <c r="R41" s="492"/>
      <c r="S41" s="19"/>
      <c r="U41" s="589"/>
      <c r="V41" s="349"/>
    </row>
    <row r="42" spans="1:22" x14ac:dyDescent="0.2">
      <c r="A42" s="779">
        <v>5710</v>
      </c>
      <c r="B42" s="12" t="s">
        <v>869</v>
      </c>
      <c r="C42" s="18">
        <v>432.52</v>
      </c>
      <c r="D42" s="13">
        <v>358.6</v>
      </c>
      <c r="E42" s="13">
        <v>213.5</v>
      </c>
      <c r="F42" s="13">
        <v>1109.31</v>
      </c>
      <c r="G42" s="13">
        <v>502.28</v>
      </c>
      <c r="H42" s="13"/>
      <c r="I42" s="588">
        <v>205</v>
      </c>
      <c r="J42" s="588">
        <v>1013.28</v>
      </c>
      <c r="K42" s="491">
        <v>950</v>
      </c>
      <c r="L42" s="588">
        <v>883.82</v>
      </c>
      <c r="M42" s="491">
        <v>1100</v>
      </c>
      <c r="N42" s="588">
        <v>898.98</v>
      </c>
      <c r="O42" s="491">
        <v>2000</v>
      </c>
      <c r="P42" s="13">
        <v>609.36</v>
      </c>
      <c r="Q42" s="491">
        <v>2500</v>
      </c>
      <c r="R42" s="491"/>
      <c r="S42" s="14"/>
      <c r="U42" s="588"/>
      <c r="V42" s="349"/>
    </row>
    <row r="43" spans="1:22" x14ac:dyDescent="0.2">
      <c r="A43" s="779">
        <v>5730</v>
      </c>
      <c r="B43" s="12" t="s">
        <v>1642</v>
      </c>
      <c r="C43" s="28"/>
      <c r="D43" s="13"/>
      <c r="E43" s="13"/>
      <c r="F43" s="13">
        <v>175</v>
      </c>
      <c r="G43" s="13"/>
      <c r="H43" s="13">
        <v>230</v>
      </c>
      <c r="I43" s="588">
        <v>255</v>
      </c>
      <c r="J43" s="588">
        <v>425</v>
      </c>
      <c r="K43" s="491">
        <v>400</v>
      </c>
      <c r="L43" s="588"/>
      <c r="M43" s="491">
        <v>500</v>
      </c>
      <c r="N43" s="588">
        <v>329.19</v>
      </c>
      <c r="O43" s="491">
        <v>500</v>
      </c>
      <c r="P43" s="13">
        <v>250</v>
      </c>
      <c r="Q43" s="491">
        <v>750</v>
      </c>
      <c r="R43" s="491"/>
      <c r="S43" s="14"/>
      <c r="U43" s="588"/>
      <c r="V43" s="349"/>
    </row>
    <row r="44" spans="1:22" ht="13.5" thickBot="1" x14ac:dyDescent="0.25">
      <c r="A44" s="779">
        <v>5740</v>
      </c>
      <c r="B44" s="12" t="s">
        <v>984</v>
      </c>
      <c r="C44" s="15">
        <v>4569</v>
      </c>
      <c r="D44" s="37">
        <v>4735</v>
      </c>
      <c r="E44" s="37">
        <f>175+4225</f>
        <v>4400</v>
      </c>
      <c r="F44" s="37">
        <v>4184</v>
      </c>
      <c r="G44" s="37">
        <v>3850</v>
      </c>
      <c r="H44" s="37">
        <v>1725</v>
      </c>
      <c r="I44" s="588">
        <v>2146</v>
      </c>
      <c r="J44" s="588">
        <v>3920</v>
      </c>
      <c r="K44" s="491">
        <v>11250</v>
      </c>
      <c r="L44" s="588">
        <v>304.99</v>
      </c>
      <c r="M44" s="491">
        <v>17300</v>
      </c>
      <c r="N44" s="588">
        <v>17123</v>
      </c>
      <c r="O44" s="491">
        <v>16000</v>
      </c>
      <c r="P44" s="13">
        <v>16196.8</v>
      </c>
      <c r="Q44" s="491">
        <v>18000</v>
      </c>
      <c r="R44" s="491"/>
      <c r="S44" s="14"/>
      <c r="U44" s="588"/>
      <c r="V44" s="349"/>
    </row>
    <row r="45" spans="1:22" x14ac:dyDescent="0.2">
      <c r="A45" s="779"/>
      <c r="B45" s="12" t="s">
        <v>2352</v>
      </c>
      <c r="C45" s="13"/>
      <c r="D45" s="18"/>
      <c r="E45" s="18"/>
      <c r="F45" s="18"/>
      <c r="G45" s="18"/>
      <c r="H45" s="18"/>
      <c r="I45" s="589"/>
      <c r="J45" s="589"/>
      <c r="K45" s="492"/>
      <c r="L45" s="589"/>
      <c r="M45" s="492"/>
      <c r="N45" s="589"/>
      <c r="O45" s="492"/>
      <c r="P45" s="18"/>
      <c r="Q45" s="492">
        <v>8000</v>
      </c>
      <c r="R45" s="492"/>
      <c r="S45" s="19"/>
      <c r="U45" s="1114"/>
      <c r="V45" s="349"/>
    </row>
    <row r="46" spans="1:22" ht="13.5" thickBot="1" x14ac:dyDescent="0.25">
      <c r="A46" s="779">
        <v>5790</v>
      </c>
      <c r="B46" s="27" t="s">
        <v>1643</v>
      </c>
      <c r="C46" s="37"/>
      <c r="D46" s="37"/>
      <c r="E46" s="37"/>
      <c r="F46" s="37"/>
      <c r="G46" s="37"/>
      <c r="H46" s="37"/>
      <c r="I46" s="590"/>
      <c r="J46" s="590"/>
      <c r="K46" s="493"/>
      <c r="L46" s="590"/>
      <c r="M46" s="493">
        <v>6000</v>
      </c>
      <c r="N46" s="590">
        <v>1405</v>
      </c>
      <c r="O46" s="493">
        <v>3720</v>
      </c>
      <c r="P46" s="37">
        <v>3720</v>
      </c>
      <c r="Q46" s="493">
        <f>+Overhead!D30</f>
        <v>3939</v>
      </c>
      <c r="R46" s="493"/>
      <c r="S46" s="38"/>
      <c r="U46" s="590"/>
      <c r="V46" s="349"/>
    </row>
    <row r="47" spans="1:22" x14ac:dyDescent="0.2">
      <c r="A47" s="779"/>
      <c r="B47" s="17" t="s">
        <v>838</v>
      </c>
      <c r="C47" s="13">
        <f t="shared" ref="C47:Q47" si="2">SUM(C18:C46)</f>
        <v>22794.65</v>
      </c>
      <c r="D47" s="13">
        <f t="shared" si="2"/>
        <v>26500.71</v>
      </c>
      <c r="E47" s="13">
        <f t="shared" si="2"/>
        <v>26028.799999999999</v>
      </c>
      <c r="F47" s="13">
        <f t="shared" si="2"/>
        <v>23692.040000000005</v>
      </c>
      <c r="G47" s="13">
        <f t="shared" si="2"/>
        <v>33988.230000000003</v>
      </c>
      <c r="H47" s="13">
        <f t="shared" si="2"/>
        <v>29026.399999999998</v>
      </c>
      <c r="I47" s="13">
        <f t="shared" si="2"/>
        <v>26249.980000000003</v>
      </c>
      <c r="J47" s="13">
        <f t="shared" si="2"/>
        <v>24516.76</v>
      </c>
      <c r="K47" s="40">
        <f t="shared" si="2"/>
        <v>53325</v>
      </c>
      <c r="L47" s="13">
        <f t="shared" si="2"/>
        <v>63015.01999999999</v>
      </c>
      <c r="M47" s="40">
        <f t="shared" si="2"/>
        <v>126611.45</v>
      </c>
      <c r="N47" s="13">
        <f t="shared" si="2"/>
        <v>123281.29000000001</v>
      </c>
      <c r="O47" s="40">
        <f t="shared" si="2"/>
        <v>80920</v>
      </c>
      <c r="P47" s="13">
        <f t="shared" si="2"/>
        <v>82526.990000000005</v>
      </c>
      <c r="Q47" s="40">
        <f t="shared" si="2"/>
        <v>136839</v>
      </c>
      <c r="R47" s="40"/>
      <c r="S47" s="14">
        <f>SUM(S18:S46)</f>
        <v>0</v>
      </c>
      <c r="T47" s="154"/>
      <c r="U47" s="13">
        <f>SUM(U18:U46)</f>
        <v>10983.759999999998</v>
      </c>
      <c r="V47" s="349"/>
    </row>
    <row r="48" spans="1:22" x14ac:dyDescent="0.2">
      <c r="A48" s="779"/>
      <c r="B48" s="17"/>
      <c r="C48" s="13"/>
      <c r="D48" s="13"/>
      <c r="E48" s="13"/>
      <c r="F48" s="13"/>
      <c r="G48" s="13"/>
      <c r="H48" s="13"/>
      <c r="I48" s="13"/>
      <c r="J48" s="13"/>
      <c r="K48" s="40"/>
      <c r="L48" s="13"/>
      <c r="M48" s="40"/>
      <c r="N48" s="13"/>
      <c r="O48" s="40"/>
      <c r="P48" s="13"/>
      <c r="Q48" s="40"/>
      <c r="R48" s="40"/>
      <c r="S48" s="14"/>
      <c r="T48" s="154"/>
      <c r="U48" s="13"/>
      <c r="V48" s="349"/>
    </row>
    <row r="49" spans="1:22" x14ac:dyDescent="0.2">
      <c r="A49" s="805" t="s">
        <v>2353</v>
      </c>
      <c r="B49" s="17"/>
      <c r="C49" s="13"/>
      <c r="D49" s="13"/>
      <c r="E49" s="13"/>
      <c r="F49" s="13"/>
      <c r="G49" s="13"/>
      <c r="H49" s="13"/>
      <c r="I49" s="13"/>
      <c r="J49" s="13"/>
      <c r="K49" s="40"/>
      <c r="L49" s="13"/>
      <c r="M49" s="40"/>
      <c r="N49" s="13"/>
      <c r="O49" s="40"/>
      <c r="P49" s="13"/>
      <c r="Q49" s="40"/>
      <c r="R49" s="40"/>
      <c r="S49" s="14"/>
      <c r="T49" s="154"/>
      <c r="U49" s="13"/>
      <c r="V49" s="349"/>
    </row>
    <row r="50" spans="1:22" ht="13.5" thickBot="1" x14ac:dyDescent="0.25">
      <c r="A50" s="779">
        <v>5800</v>
      </c>
      <c r="B50" s="12" t="s">
        <v>2354</v>
      </c>
      <c r="C50" s="13"/>
      <c r="D50" s="13"/>
      <c r="E50" s="13"/>
      <c r="F50" s="13"/>
      <c r="G50" s="13"/>
      <c r="H50" s="13"/>
      <c r="I50" s="13"/>
      <c r="J50" s="13"/>
      <c r="K50" s="40"/>
      <c r="L50" s="13"/>
      <c r="M50" s="41"/>
      <c r="N50" s="15"/>
      <c r="O50" s="41"/>
      <c r="P50" s="15"/>
      <c r="Q50" s="41">
        <v>10000</v>
      </c>
      <c r="R50" s="41"/>
      <c r="S50" s="16"/>
      <c r="T50" s="154"/>
      <c r="U50" s="13"/>
      <c r="V50" s="349"/>
    </row>
    <row r="51" spans="1:22" x14ac:dyDescent="0.2">
      <c r="A51" s="779"/>
      <c r="B51" s="17" t="s">
        <v>2355</v>
      </c>
      <c r="C51" s="13"/>
      <c r="D51" s="13"/>
      <c r="E51" s="13"/>
      <c r="F51" s="13"/>
      <c r="G51" s="13"/>
      <c r="H51" s="13"/>
      <c r="I51" s="13"/>
      <c r="J51" s="13"/>
      <c r="K51" s="40"/>
      <c r="L51" s="13"/>
      <c r="M51" s="34"/>
      <c r="N51" s="18"/>
      <c r="O51" s="34"/>
      <c r="P51" s="18"/>
      <c r="Q51" s="34">
        <f>+Q50</f>
        <v>10000</v>
      </c>
      <c r="R51" s="34">
        <f>+Q51</f>
        <v>10000</v>
      </c>
      <c r="S51" s="19">
        <f>+Q51</f>
        <v>10000</v>
      </c>
      <c r="T51" s="154"/>
      <c r="U51" s="13"/>
      <c r="V51" s="349"/>
    </row>
    <row r="52" spans="1:22" x14ac:dyDescent="0.2">
      <c r="A52" s="779"/>
      <c r="B52" s="17"/>
      <c r="C52" s="13"/>
      <c r="D52" s="13"/>
      <c r="E52" s="13"/>
      <c r="F52" s="13"/>
      <c r="G52" s="13"/>
      <c r="H52" s="13"/>
      <c r="I52" s="13"/>
      <c r="J52" s="13"/>
      <c r="K52" s="40"/>
      <c r="L52" s="13"/>
      <c r="M52" s="40"/>
      <c r="N52" s="13"/>
      <c r="O52" s="40"/>
      <c r="P52" s="13"/>
      <c r="Q52" s="40"/>
      <c r="R52" s="40"/>
      <c r="S52" s="14"/>
      <c r="T52" s="154"/>
      <c r="U52" s="13"/>
      <c r="V52" s="349"/>
    </row>
    <row r="53" spans="1:22" x14ac:dyDescent="0.2">
      <c r="A53" s="779"/>
      <c r="B53" s="17"/>
      <c r="C53" s="13"/>
      <c r="D53" s="13"/>
      <c r="E53" s="13"/>
      <c r="F53" s="13"/>
      <c r="G53" s="13"/>
      <c r="H53" s="13"/>
      <c r="I53" s="13"/>
      <c r="J53" s="13"/>
      <c r="K53" s="40"/>
      <c r="L53" s="13"/>
      <c r="M53" s="40"/>
      <c r="N53" s="13"/>
      <c r="O53" s="40"/>
      <c r="P53" s="13"/>
      <c r="Q53" s="40"/>
      <c r="R53" s="40"/>
      <c r="S53" s="14"/>
      <c r="T53" s="154"/>
      <c r="U53" s="13"/>
      <c r="V53" s="349"/>
    </row>
    <row r="54" spans="1:22" ht="13.5" thickBot="1" x14ac:dyDescent="0.25">
      <c r="A54" s="780"/>
      <c r="B54" s="20" t="s">
        <v>681</v>
      </c>
      <c r="C54" s="21">
        <f t="shared" ref="C54:P54" si="3">+C47+C16</f>
        <v>36905.490000000005</v>
      </c>
      <c r="D54" s="21">
        <f t="shared" si="3"/>
        <v>44653.43</v>
      </c>
      <c r="E54" s="21">
        <f t="shared" si="3"/>
        <v>45769.880000000005</v>
      </c>
      <c r="F54" s="21">
        <f t="shared" si="3"/>
        <v>44520.340000000011</v>
      </c>
      <c r="G54" s="21">
        <f t="shared" si="3"/>
        <v>51918.03</v>
      </c>
      <c r="H54" s="21">
        <f t="shared" si="3"/>
        <v>48770.28</v>
      </c>
      <c r="I54" s="21">
        <f t="shared" si="3"/>
        <v>48391.540000000008</v>
      </c>
      <c r="J54" s="21">
        <f t="shared" si="3"/>
        <v>39812.629999999997</v>
      </c>
      <c r="K54" s="21">
        <f t="shared" si="3"/>
        <v>95494</v>
      </c>
      <c r="L54" s="21">
        <f t="shared" si="3"/>
        <v>95493.999999999985</v>
      </c>
      <c r="M54" s="21">
        <f t="shared" si="3"/>
        <v>211419.45</v>
      </c>
      <c r="N54" s="21">
        <f t="shared" si="3"/>
        <v>210949.27000000002</v>
      </c>
      <c r="O54" s="21">
        <f t="shared" si="3"/>
        <v>181794</v>
      </c>
      <c r="P54" s="21">
        <f t="shared" si="3"/>
        <v>136119.06</v>
      </c>
      <c r="Q54" s="21">
        <f>+Q47+Q16+Q51</f>
        <v>284915</v>
      </c>
      <c r="R54" s="21">
        <f>+Q54</f>
        <v>284915</v>
      </c>
      <c r="S54" s="21">
        <f>+Q54</f>
        <v>284915</v>
      </c>
      <c r="U54" s="21">
        <f>+U47+U16</f>
        <v>21794.21</v>
      </c>
    </row>
    <row r="55" spans="1:22" ht="16.5" thickTop="1" x14ac:dyDescent="0.25">
      <c r="A55" s="774"/>
      <c r="B55" s="4"/>
      <c r="C55" s="23"/>
      <c r="D55" s="23"/>
      <c r="E55" s="23"/>
      <c r="F55" s="23"/>
      <c r="G55" s="23"/>
      <c r="H55" s="23"/>
      <c r="I55" s="23"/>
      <c r="J55" s="23"/>
      <c r="K55" s="23"/>
      <c r="L55" s="23"/>
      <c r="M55" s="23"/>
      <c r="N55" s="23"/>
      <c r="O55" s="23"/>
      <c r="P55" s="199" t="s">
        <v>843</v>
      </c>
      <c r="Q55" s="1116">
        <f>+Q54-O54</f>
        <v>103121</v>
      </c>
      <c r="R55" s="1117">
        <f>ROUND((+Q55/O54),4)</f>
        <v>0.56720000000000004</v>
      </c>
      <c r="S55" s="25"/>
      <c r="U55" s="201">
        <f>+J54+U54</f>
        <v>61606.84</v>
      </c>
      <c r="V55" s="25"/>
    </row>
    <row r="56" spans="1:22" x14ac:dyDescent="0.2">
      <c r="A56" s="774"/>
      <c r="B56" s="4"/>
      <c r="C56" s="23"/>
      <c r="D56" s="23"/>
      <c r="E56" s="23"/>
      <c r="F56" s="23"/>
      <c r="G56" s="23"/>
      <c r="H56" s="23"/>
      <c r="I56" s="23"/>
      <c r="J56" s="23"/>
      <c r="K56" s="23"/>
      <c r="L56" s="23"/>
      <c r="M56" s="23"/>
      <c r="N56" s="23"/>
      <c r="O56" s="23"/>
      <c r="P56" s="25"/>
      <c r="Q56" s="23"/>
      <c r="R56" s="23"/>
      <c r="S56" s="25"/>
      <c r="T56" s="25"/>
      <c r="U56" s="25"/>
      <c r="V56" s="25"/>
    </row>
    <row r="57" spans="1:22" ht="13.5" thickBot="1" x14ac:dyDescent="0.25">
      <c r="A57" s="774" t="s">
        <v>911</v>
      </c>
      <c r="B57" s="4"/>
      <c r="D57" s="212"/>
      <c r="E57" s="212"/>
      <c r="F57" s="212"/>
      <c r="G57" s="212"/>
      <c r="H57" s="212"/>
      <c r="I57" s="212"/>
      <c r="J57" s="212"/>
      <c r="K57" s="212"/>
      <c r="L57" s="212"/>
      <c r="M57" s="212"/>
      <c r="N57" s="212"/>
      <c r="O57" s="212"/>
    </row>
    <row r="58" spans="1:22" ht="13.5" thickTop="1" x14ac:dyDescent="0.2">
      <c r="A58" s="781" t="s">
        <v>872</v>
      </c>
      <c r="B58" s="99"/>
      <c r="D58" s="294"/>
      <c r="E58" s="212"/>
      <c r="F58" s="212"/>
      <c r="G58" s="212"/>
      <c r="H58" s="212"/>
      <c r="I58" s="212"/>
      <c r="J58" s="212"/>
      <c r="K58" s="212"/>
      <c r="L58" s="212"/>
      <c r="M58" s="269" t="s">
        <v>873</v>
      </c>
      <c r="N58" s="138" t="s">
        <v>1214</v>
      </c>
      <c r="O58" s="139" t="s">
        <v>1215</v>
      </c>
      <c r="P58" s="145" t="s">
        <v>875</v>
      </c>
      <c r="Q58"/>
      <c r="R58"/>
      <c r="S58"/>
    </row>
    <row r="59" spans="1:22" ht="13.5" thickBot="1" x14ac:dyDescent="0.25">
      <c r="A59" s="782" t="s">
        <v>877</v>
      </c>
      <c r="B59" s="101" t="s">
        <v>878</v>
      </c>
      <c r="D59" s="295"/>
      <c r="E59" s="212"/>
      <c r="F59" s="212"/>
      <c r="G59" s="212"/>
      <c r="H59" s="212"/>
      <c r="I59" s="212"/>
      <c r="J59" s="212"/>
      <c r="K59" s="212"/>
      <c r="L59" s="212"/>
      <c r="M59" s="287">
        <v>45108</v>
      </c>
      <c r="N59" s="141" t="s">
        <v>879</v>
      </c>
      <c r="O59" s="252" t="s">
        <v>880</v>
      </c>
      <c r="P59" s="142" t="s">
        <v>881</v>
      </c>
      <c r="S59" s="205"/>
    </row>
    <row r="60" spans="1:22" ht="13.5" thickTop="1" x14ac:dyDescent="0.2">
      <c r="A60" s="133">
        <v>42866</v>
      </c>
      <c r="B60" s="102" t="s">
        <v>2347</v>
      </c>
      <c r="D60" s="18"/>
      <c r="E60" s="212"/>
      <c r="F60" s="212"/>
      <c r="G60" s="212"/>
      <c r="H60" s="212"/>
      <c r="I60" s="212"/>
      <c r="J60" s="212"/>
      <c r="K60" s="212"/>
      <c r="L60" s="212"/>
      <c r="M60" s="112" t="s">
        <v>889</v>
      </c>
      <c r="N60" s="112">
        <f>+'NAGE &amp; Non-Union Wages'!L8</f>
        <v>30.02</v>
      </c>
      <c r="O60" s="219">
        <v>2090</v>
      </c>
      <c r="P60" s="137">
        <f>ROUND((+O60*N60),2)</f>
        <v>62741.8</v>
      </c>
      <c r="Q60" s="212" t="s">
        <v>2358</v>
      </c>
      <c r="S60" s="199"/>
    </row>
    <row r="61" spans="1:22" x14ac:dyDescent="0.2">
      <c r="A61" s="133">
        <v>44361</v>
      </c>
      <c r="B61" s="102" t="s">
        <v>2348</v>
      </c>
      <c r="D61" s="18"/>
      <c r="E61" s="212"/>
      <c r="F61" s="212"/>
      <c r="G61" s="212"/>
      <c r="H61" s="212"/>
      <c r="I61" s="212"/>
      <c r="J61" s="212"/>
      <c r="K61" s="212"/>
      <c r="L61" s="212"/>
      <c r="M61" s="112" t="s">
        <v>2308</v>
      </c>
      <c r="N61" s="112">
        <f>+'NAGE &amp; Non-Union Wages'!C7</f>
        <v>22.6</v>
      </c>
      <c r="O61" s="219">
        <v>2090</v>
      </c>
      <c r="P61" s="137">
        <f>ROUND((+O61*N61),2)</f>
        <v>47234</v>
      </c>
      <c r="Q61" s="212" t="s">
        <v>2359</v>
      </c>
      <c r="S61" s="199"/>
    </row>
    <row r="62" spans="1:22" x14ac:dyDescent="0.2">
      <c r="A62" s="133"/>
      <c r="B62" s="102"/>
      <c r="D62" s="18"/>
      <c r="E62" s="212"/>
      <c r="F62" s="212"/>
      <c r="G62" s="212"/>
      <c r="H62" s="212"/>
      <c r="I62" s="212"/>
      <c r="J62" s="212"/>
      <c r="K62" s="212"/>
      <c r="L62" s="212"/>
      <c r="M62" s="112"/>
      <c r="N62" s="112"/>
      <c r="O62" s="219"/>
      <c r="P62" s="137"/>
      <c r="S62" s="199"/>
    </row>
    <row r="63" spans="1:22" x14ac:dyDescent="0.2">
      <c r="A63" s="803"/>
      <c r="B63" s="102"/>
      <c r="D63" s="18"/>
      <c r="E63" s="212"/>
      <c r="F63" s="212"/>
      <c r="G63" s="212"/>
      <c r="H63" s="212"/>
      <c r="I63" s="212"/>
      <c r="J63" s="212"/>
      <c r="K63" s="212"/>
      <c r="L63" s="212"/>
      <c r="M63" s="18"/>
      <c r="N63" s="18"/>
      <c r="O63" s="253"/>
      <c r="P63" s="137"/>
      <c r="S63" s="199"/>
    </row>
    <row r="64" spans="1:22" x14ac:dyDescent="0.2">
      <c r="A64" s="774"/>
      <c r="B64" s="4"/>
      <c r="C64" s="23"/>
      <c r="D64" s="23"/>
      <c r="E64" s="23"/>
      <c r="F64" s="23"/>
      <c r="G64" s="212"/>
      <c r="H64" s="212"/>
      <c r="I64" s="23"/>
      <c r="J64" s="23"/>
      <c r="K64" s="23"/>
      <c r="L64" s="23"/>
      <c r="M64" s="23"/>
      <c r="N64" s="23"/>
      <c r="O64" s="23"/>
      <c r="P64" s="25"/>
      <c r="Q64" s="23"/>
      <c r="R64" s="23"/>
      <c r="S64" s="23"/>
      <c r="T64" s="25"/>
      <c r="U64" s="25"/>
      <c r="V64" s="25"/>
    </row>
    <row r="65" spans="1:22" x14ac:dyDescent="0.2">
      <c r="A65" s="804" t="s">
        <v>571</v>
      </c>
      <c r="B65" s="342" t="s">
        <v>1644</v>
      </c>
      <c r="C65" s="103"/>
      <c r="D65" s="23"/>
      <c r="E65" s="23"/>
      <c r="F65" s="23"/>
      <c r="G65" s="212"/>
      <c r="H65" s="212"/>
      <c r="I65" s="23"/>
      <c r="J65" s="23"/>
      <c r="K65" s="23"/>
      <c r="L65" s="23"/>
      <c r="M65" s="23"/>
      <c r="N65" s="23"/>
      <c r="O65" s="23"/>
      <c r="P65" s="23"/>
      <c r="Q65" s="23"/>
      <c r="R65" s="23"/>
      <c r="T65" s="25"/>
      <c r="U65" s="25"/>
      <c r="V65" s="25"/>
    </row>
    <row r="66" spans="1:22" x14ac:dyDescent="0.2">
      <c r="A66" s="945">
        <v>60000</v>
      </c>
      <c r="B66" s="342" t="s">
        <v>1645</v>
      </c>
      <c r="C66" s="24"/>
      <c r="D66" s="23"/>
      <c r="E66" s="23"/>
      <c r="F66" s="23"/>
      <c r="G66" s="212"/>
      <c r="H66" s="212"/>
      <c r="I66" s="23"/>
      <c r="J66" s="23"/>
      <c r="K66" s="212"/>
      <c r="L66" s="4"/>
      <c r="M66" s="342" t="s">
        <v>1646</v>
      </c>
      <c r="N66" s="4"/>
      <c r="O66" s="4"/>
      <c r="P66" s="23"/>
      <c r="Q66" s="23"/>
      <c r="R66" s="23"/>
      <c r="T66" s="4"/>
      <c r="U66" s="4"/>
      <c r="V66" s="4"/>
    </row>
    <row r="67" spans="1:22" x14ac:dyDescent="0.2">
      <c r="A67" s="945">
        <v>192500</v>
      </c>
      <c r="B67" s="342" t="s">
        <v>1647</v>
      </c>
      <c r="C67" s="24"/>
      <c r="D67" s="23"/>
      <c r="E67" s="23"/>
      <c r="F67" s="23"/>
      <c r="G67" s="212"/>
      <c r="H67" s="212"/>
      <c r="I67" s="23"/>
      <c r="J67" s="23"/>
      <c r="K67" s="212"/>
      <c r="L67" s="23"/>
      <c r="M67" s="947" t="s">
        <v>1648</v>
      </c>
      <c r="N67" s="23"/>
      <c r="O67" s="23"/>
      <c r="P67" s="23"/>
      <c r="Q67" s="23"/>
      <c r="R67" s="23"/>
      <c r="T67" s="4"/>
      <c r="U67" s="4"/>
      <c r="V67" s="4"/>
    </row>
    <row r="68" spans="1:22" x14ac:dyDescent="0.2">
      <c r="A68" s="945">
        <v>118800</v>
      </c>
      <c r="B68" s="342" t="s">
        <v>1649</v>
      </c>
      <c r="C68" s="24"/>
      <c r="D68" s="23"/>
      <c r="E68" s="23"/>
      <c r="F68" s="23"/>
      <c r="G68" s="212"/>
      <c r="H68" s="212"/>
      <c r="I68" s="23"/>
      <c r="J68" s="23"/>
      <c r="K68" s="212"/>
      <c r="L68" s="23"/>
      <c r="M68" s="947" t="s">
        <v>1650</v>
      </c>
      <c r="N68" s="23"/>
      <c r="O68" s="23"/>
      <c r="P68" s="23"/>
      <c r="Q68" s="23"/>
      <c r="R68" s="23"/>
      <c r="T68" s="4"/>
      <c r="U68" s="4"/>
      <c r="V68" s="4"/>
    </row>
    <row r="69" spans="1:22" x14ac:dyDescent="0.2">
      <c r="A69" s="948">
        <v>71348</v>
      </c>
      <c r="B69" s="342" t="s">
        <v>1651</v>
      </c>
      <c r="C69" s="24"/>
      <c r="D69" s="23"/>
      <c r="E69" s="23"/>
      <c r="F69" s="23"/>
      <c r="G69" s="212"/>
      <c r="H69" s="212"/>
      <c r="I69" s="23"/>
      <c r="J69" s="23"/>
      <c r="K69" s="212"/>
      <c r="L69" s="23"/>
      <c r="M69" s="23"/>
      <c r="N69" s="23"/>
      <c r="O69" s="23"/>
      <c r="P69" s="23"/>
      <c r="Q69" s="23"/>
      <c r="R69" s="23"/>
      <c r="T69" s="4"/>
      <c r="U69" s="4"/>
      <c r="V69" s="4"/>
    </row>
    <row r="70" spans="1:22" x14ac:dyDescent="0.2">
      <c r="A70" s="946">
        <f>SUM(A66:A69)</f>
        <v>442648</v>
      </c>
      <c r="B70" s="342" t="s">
        <v>1652</v>
      </c>
      <c r="C70" s="149"/>
      <c r="D70" s="23"/>
      <c r="E70" s="23"/>
      <c r="F70" s="23"/>
      <c r="G70" s="212"/>
      <c r="H70" s="212"/>
      <c r="I70" s="23"/>
      <c r="J70" s="23"/>
      <c r="K70" s="212"/>
      <c r="L70" s="23"/>
      <c r="M70" s="23"/>
      <c r="N70" s="23"/>
      <c r="O70" s="23"/>
      <c r="P70" s="23"/>
      <c r="Q70" s="23"/>
      <c r="R70" s="23"/>
      <c r="T70" s="4"/>
      <c r="U70" s="4"/>
      <c r="V70" s="4"/>
    </row>
    <row r="71" spans="1:22" x14ac:dyDescent="0.2">
      <c r="A71" s="946">
        <f>+Q54+'600-700 Airport Debt'!Q21+'600-900 Airport Benefits'!Q18</f>
        <v>426965</v>
      </c>
      <c r="B71" s="342" t="s">
        <v>1653</v>
      </c>
      <c r="C71" s="149"/>
      <c r="D71" s="23"/>
      <c r="E71" s="23"/>
      <c r="F71" s="23"/>
      <c r="G71" s="212"/>
      <c r="H71" s="212"/>
      <c r="I71" s="23"/>
      <c r="J71" s="23"/>
      <c r="K71" s="212"/>
      <c r="L71" s="23"/>
      <c r="M71" s="23">
        <f>+A71-315567</f>
        <v>111398</v>
      </c>
      <c r="N71" s="23"/>
      <c r="O71" s="23"/>
      <c r="P71" s="23"/>
      <c r="Q71" s="23"/>
      <c r="R71" s="23"/>
      <c r="T71" s="4"/>
      <c r="U71" s="4"/>
      <c r="V71" s="4"/>
    </row>
    <row r="72" spans="1:22" x14ac:dyDescent="0.2">
      <c r="A72" s="616">
        <f>+A70-A71</f>
        <v>15683</v>
      </c>
      <c r="B72" s="4" t="s">
        <v>1654</v>
      </c>
      <c r="C72" s="23"/>
      <c r="D72" s="23"/>
      <c r="E72" s="23"/>
      <c r="F72" s="23"/>
      <c r="G72" s="212"/>
      <c r="H72" s="212"/>
      <c r="I72" s="23"/>
      <c r="J72" s="23"/>
      <c r="K72" s="23"/>
      <c r="L72" s="23"/>
      <c r="M72" s="23"/>
      <c r="N72" s="23"/>
      <c r="O72" s="23"/>
      <c r="P72" s="23"/>
      <c r="Q72" s="23"/>
      <c r="R72" s="23"/>
      <c r="T72" s="4"/>
      <c r="U72" s="4"/>
      <c r="V72" s="4"/>
    </row>
    <row r="73" spans="1:22" ht="13.5" thickBot="1" x14ac:dyDescent="0.25">
      <c r="A73" s="774"/>
      <c r="B73" s="4"/>
      <c r="C73" s="23"/>
      <c r="D73" s="23"/>
      <c r="E73" s="23"/>
      <c r="F73" s="23"/>
      <c r="G73" s="212"/>
      <c r="H73" s="212"/>
      <c r="I73" s="23"/>
      <c r="J73" s="23"/>
      <c r="K73" s="23"/>
      <c r="L73" s="23"/>
      <c r="M73" s="23"/>
      <c r="N73" s="23"/>
      <c r="O73" s="23"/>
      <c r="P73" s="23"/>
      <c r="Q73" s="23"/>
      <c r="R73" s="23"/>
      <c r="T73" s="4"/>
      <c r="U73" s="4"/>
      <c r="V73" s="4"/>
    </row>
    <row r="74" spans="1:22" ht="13.5" thickTop="1" x14ac:dyDescent="0.2">
      <c r="A74" s="789"/>
      <c r="B74" s="367"/>
      <c r="C74" s="368" t="s">
        <v>280</v>
      </c>
      <c r="D74" s="369" t="s">
        <v>280</v>
      </c>
      <c r="E74" s="369" t="s">
        <v>280</v>
      </c>
      <c r="F74" s="212"/>
      <c r="G74" s="212"/>
      <c r="H74" s="212"/>
      <c r="I74" s="212"/>
      <c r="J74" s="212"/>
      <c r="K74" s="212"/>
      <c r="L74" s="212"/>
      <c r="M74" s="370" t="s">
        <v>279</v>
      </c>
      <c r="N74" s="371" t="s">
        <v>826</v>
      </c>
      <c r="O74" s="372" t="s">
        <v>840</v>
      </c>
      <c r="P74" s="371" t="s">
        <v>841</v>
      </c>
      <c r="Q74" s="373"/>
      <c r="R74" s="569"/>
      <c r="S74" s="372"/>
      <c r="T74" s="4"/>
      <c r="U74" s="4"/>
      <c r="V74" s="4"/>
    </row>
    <row r="75" spans="1:22" ht="13.5" thickBot="1" x14ac:dyDescent="0.25">
      <c r="A75" s="790" t="s">
        <v>825</v>
      </c>
      <c r="B75" s="374"/>
      <c r="C75" s="375" t="s">
        <v>267</v>
      </c>
      <c r="D75" s="375" t="s">
        <v>268</v>
      </c>
      <c r="E75" s="376" t="s">
        <v>269</v>
      </c>
      <c r="F75" s="212"/>
      <c r="G75" s="212"/>
      <c r="H75" s="212"/>
      <c r="I75" s="212"/>
      <c r="J75" s="212"/>
      <c r="K75" s="212"/>
      <c r="L75" s="212"/>
      <c r="M75" s="377" t="s">
        <v>277</v>
      </c>
      <c r="N75" s="377" t="s">
        <v>571</v>
      </c>
      <c r="O75" s="376" t="s">
        <v>843</v>
      </c>
      <c r="P75" s="919" t="s">
        <v>843</v>
      </c>
      <c r="Q75" s="379" t="s">
        <v>844</v>
      </c>
      <c r="R75" s="570"/>
      <c r="S75" s="377"/>
      <c r="T75" s="4"/>
      <c r="U75" s="4"/>
      <c r="V75" s="4"/>
    </row>
    <row r="76" spans="1:22" ht="13.5" thickTop="1" x14ac:dyDescent="0.2">
      <c r="A76" s="802">
        <v>5111</v>
      </c>
      <c r="B76" s="680" t="s">
        <v>2345</v>
      </c>
      <c r="C76" s="405"/>
      <c r="D76" s="405"/>
      <c r="E76" s="408"/>
      <c r="F76" s="212"/>
      <c r="G76" s="212"/>
      <c r="H76" s="212"/>
      <c r="I76" s="212"/>
      <c r="J76" s="212"/>
      <c r="K76" s="212"/>
      <c r="L76" s="212"/>
      <c r="M76" s="557">
        <f t="shared" ref="M76:M83" si="4">+O9</f>
        <v>52689</v>
      </c>
      <c r="N76" s="557">
        <f t="shared" ref="N76:N83" si="5">+Q9</f>
        <v>62742</v>
      </c>
      <c r="O76" s="390">
        <f t="shared" ref="O76" si="6">+N76-M76</f>
        <v>10053</v>
      </c>
      <c r="P76" s="392">
        <f t="shared" ref="P76" si="7">IF(M76+N76&lt;&gt;0,IF(M76&lt;&gt;0,IF(O76&lt;&gt;0,ROUND((+O76/M76),4),""),1),"")</f>
        <v>0.1908</v>
      </c>
      <c r="Q76" s="959" t="s">
        <v>2343</v>
      </c>
      <c r="R76" s="1024"/>
      <c r="S76" s="918"/>
      <c r="T76" s="4"/>
      <c r="U76" s="4"/>
      <c r="V76" s="4"/>
    </row>
    <row r="77" spans="1:22" x14ac:dyDescent="0.2">
      <c r="A77" s="779">
        <v>5111</v>
      </c>
      <c r="B77" s="680" t="s">
        <v>2344</v>
      </c>
      <c r="C77" s="391">
        <v>13810.8</v>
      </c>
      <c r="D77" s="391">
        <v>17852.68</v>
      </c>
      <c r="E77" s="391">
        <v>19441.04</v>
      </c>
      <c r="F77" s="212"/>
      <c r="G77" s="212"/>
      <c r="H77" s="212"/>
      <c r="I77" s="212"/>
      <c r="J77" s="212"/>
      <c r="K77" s="212"/>
      <c r="L77" s="212"/>
      <c r="M77" s="557">
        <f t="shared" si="4"/>
        <v>28585</v>
      </c>
      <c r="N77" s="557">
        <f t="shared" si="5"/>
        <v>47234</v>
      </c>
      <c r="O77" s="390">
        <f t="shared" ref="O77:O113" si="8">+N77-M77</f>
        <v>18649</v>
      </c>
      <c r="P77" s="392">
        <f t="shared" ref="P77:P114" si="9">IF(M77+N77&lt;&gt;0,IF(M77&lt;&gt;0,IF(O77&lt;&gt;0,ROUND((+O77/M77),4),""),1),"")</f>
        <v>0.65239999999999998</v>
      </c>
      <c r="Q77" s="960" t="s">
        <v>2331</v>
      </c>
      <c r="R77" s="1025"/>
      <c r="S77" s="386"/>
      <c r="T77" s="4"/>
      <c r="U77" s="4"/>
      <c r="V77" s="4"/>
    </row>
    <row r="78" spans="1:22" x14ac:dyDescent="0.2">
      <c r="A78" s="779">
        <v>5124</v>
      </c>
      <c r="B78" s="60" t="s">
        <v>1633</v>
      </c>
      <c r="C78" s="393"/>
      <c r="D78" s="393"/>
      <c r="E78" s="393"/>
      <c r="F78" s="212"/>
      <c r="G78" s="212"/>
      <c r="H78" s="212"/>
      <c r="I78" s="212"/>
      <c r="J78" s="212"/>
      <c r="K78" s="212"/>
      <c r="L78" s="212"/>
      <c r="M78" s="557">
        <f t="shared" si="4"/>
        <v>17000</v>
      </c>
      <c r="N78" s="557">
        <f t="shared" si="5"/>
        <v>25000</v>
      </c>
      <c r="O78" s="390">
        <f t="shared" si="8"/>
        <v>8000</v>
      </c>
      <c r="P78" s="392">
        <f t="shared" si="9"/>
        <v>0.47060000000000002</v>
      </c>
      <c r="Q78" s="960" t="s">
        <v>2332</v>
      </c>
      <c r="R78" s="1025"/>
      <c r="S78" s="386"/>
      <c r="T78" s="4"/>
      <c r="U78" s="4"/>
      <c r="V78" s="4"/>
    </row>
    <row r="79" spans="1:22" hidden="1" x14ac:dyDescent="0.2">
      <c r="A79" s="779">
        <v>5145</v>
      </c>
      <c r="B79" s="60" t="s">
        <v>27</v>
      </c>
      <c r="C79" s="393"/>
      <c r="D79" s="393"/>
      <c r="E79" s="393"/>
      <c r="F79" s="212"/>
      <c r="G79" s="212"/>
      <c r="H79" s="212"/>
      <c r="I79" s="212"/>
      <c r="J79" s="212"/>
      <c r="K79" s="212"/>
      <c r="L79" s="212"/>
      <c r="M79" s="557">
        <f t="shared" si="4"/>
        <v>0</v>
      </c>
      <c r="N79" s="557">
        <f t="shared" si="5"/>
        <v>0</v>
      </c>
      <c r="O79" s="390">
        <f t="shared" si="8"/>
        <v>0</v>
      </c>
      <c r="P79" s="392" t="str">
        <f t="shared" si="9"/>
        <v/>
      </c>
      <c r="Q79" s="960" t="s">
        <v>2333</v>
      </c>
      <c r="R79" s="1025"/>
      <c r="S79" s="386"/>
      <c r="T79" s="4"/>
      <c r="U79" s="4"/>
      <c r="V79" s="4"/>
    </row>
    <row r="80" spans="1:22" ht="13.5" thickBot="1" x14ac:dyDescent="0.25">
      <c r="A80" s="779">
        <v>5132</v>
      </c>
      <c r="B80" s="60" t="s">
        <v>1634</v>
      </c>
      <c r="C80" s="389">
        <v>300.04000000000002</v>
      </c>
      <c r="D80" s="389">
        <v>300.04000000000002</v>
      </c>
      <c r="E80" s="389">
        <v>300.04000000000002</v>
      </c>
      <c r="F80" s="212"/>
      <c r="G80" s="212"/>
      <c r="H80" s="212"/>
      <c r="I80" s="212"/>
      <c r="J80" s="212"/>
      <c r="K80" s="212"/>
      <c r="L80" s="212"/>
      <c r="M80" s="557">
        <f t="shared" si="4"/>
        <v>2000</v>
      </c>
      <c r="N80" s="557">
        <f t="shared" si="5"/>
        <v>2000</v>
      </c>
      <c r="O80" s="390">
        <f t="shared" si="8"/>
        <v>0</v>
      </c>
      <c r="P80" s="392" t="str">
        <f t="shared" si="9"/>
        <v/>
      </c>
      <c r="Q80" s="960" t="s">
        <v>2333</v>
      </c>
      <c r="R80" s="1025"/>
      <c r="S80" s="386"/>
      <c r="T80" s="4"/>
      <c r="U80" s="4"/>
      <c r="V80" s="4"/>
    </row>
    <row r="81" spans="1:22" x14ac:dyDescent="0.2">
      <c r="A81" s="779">
        <v>5144</v>
      </c>
      <c r="B81" s="60" t="s">
        <v>2346</v>
      </c>
      <c r="C81" s="393"/>
      <c r="D81" s="393"/>
      <c r="E81" s="393"/>
      <c r="F81" s="212"/>
      <c r="G81" s="212"/>
      <c r="H81" s="212"/>
      <c r="I81" s="212"/>
      <c r="J81" s="212"/>
      <c r="K81" s="212"/>
      <c r="L81" s="212"/>
      <c r="M81" s="557">
        <f t="shared" si="4"/>
        <v>0</v>
      </c>
      <c r="N81" s="557">
        <f t="shared" si="5"/>
        <v>500</v>
      </c>
      <c r="O81" s="390">
        <f t="shared" si="8"/>
        <v>500</v>
      </c>
      <c r="P81" s="392">
        <f t="shared" si="9"/>
        <v>1</v>
      </c>
      <c r="Q81" s="960"/>
      <c r="R81" s="1025"/>
      <c r="S81" s="386"/>
      <c r="T81" s="4"/>
      <c r="U81" s="4"/>
      <c r="V81" s="4"/>
    </row>
    <row r="82" spans="1:22" x14ac:dyDescent="0.2">
      <c r="A82" s="779">
        <v>5145</v>
      </c>
      <c r="B82" s="60" t="s">
        <v>855</v>
      </c>
      <c r="C82" s="391">
        <v>5066.71</v>
      </c>
      <c r="D82" s="391">
        <v>6228.7</v>
      </c>
      <c r="E82" s="391">
        <v>6567.25</v>
      </c>
      <c r="F82" s="1088"/>
      <c r="G82" s="1088"/>
      <c r="H82" s="1088"/>
      <c r="I82" s="212"/>
      <c r="J82" s="212"/>
      <c r="K82" s="212"/>
      <c r="L82" s="212"/>
      <c r="M82" s="557">
        <f t="shared" si="4"/>
        <v>600</v>
      </c>
      <c r="N82" s="557">
        <f t="shared" si="5"/>
        <v>600</v>
      </c>
      <c r="O82" s="390">
        <f t="shared" si="8"/>
        <v>0</v>
      </c>
      <c r="P82" s="392" t="str">
        <f t="shared" si="9"/>
        <v/>
      </c>
      <c r="Q82" s="960"/>
      <c r="R82" s="1025"/>
      <c r="S82" s="386"/>
      <c r="T82" s="4"/>
      <c r="U82" s="4"/>
      <c r="V82" s="4"/>
    </row>
    <row r="83" spans="1:22" hidden="1" x14ac:dyDescent="0.2">
      <c r="A83" s="779"/>
      <c r="B83" s="61" t="s">
        <v>828</v>
      </c>
      <c r="C83" s="391"/>
      <c r="D83" s="391">
        <v>806.93</v>
      </c>
      <c r="E83" s="391"/>
      <c r="F83" s="1088"/>
      <c r="G83" s="1088"/>
      <c r="H83" s="1088"/>
      <c r="I83" s="212"/>
      <c r="J83" s="212"/>
      <c r="K83" s="212"/>
      <c r="L83" s="212"/>
      <c r="M83" s="557">
        <f t="shared" si="4"/>
        <v>100874</v>
      </c>
      <c r="N83" s="557">
        <f t="shared" si="5"/>
        <v>138076</v>
      </c>
      <c r="O83" s="390">
        <f t="shared" si="8"/>
        <v>37202</v>
      </c>
      <c r="P83" s="392">
        <f t="shared" si="9"/>
        <v>0.36880000000000002</v>
      </c>
      <c r="Q83" s="960" t="s">
        <v>2336</v>
      </c>
      <c r="R83" s="1025"/>
      <c r="S83" s="386"/>
      <c r="T83" s="4"/>
      <c r="U83" s="4"/>
      <c r="V83" s="4"/>
    </row>
    <row r="84" spans="1:22" x14ac:dyDescent="0.2">
      <c r="A84" s="779">
        <v>5211</v>
      </c>
      <c r="B84" s="60" t="s">
        <v>1410</v>
      </c>
      <c r="C84" s="391">
        <v>403.2</v>
      </c>
      <c r="D84" s="391">
        <v>146</v>
      </c>
      <c r="E84" s="391">
        <v>219.2</v>
      </c>
      <c r="F84" s="1088"/>
      <c r="G84" s="1088"/>
      <c r="H84" s="1088"/>
      <c r="I84" s="212"/>
      <c r="J84" s="212"/>
      <c r="K84" s="212"/>
      <c r="L84" s="212"/>
      <c r="M84" s="557">
        <f t="shared" ref="M84:M112" si="10">+O18</f>
        <v>10000</v>
      </c>
      <c r="N84" s="557">
        <f t="shared" ref="N84:N112" si="11">+Q18</f>
        <v>16000</v>
      </c>
      <c r="O84" s="390">
        <f t="shared" si="8"/>
        <v>6000</v>
      </c>
      <c r="P84" s="392">
        <f t="shared" si="9"/>
        <v>0.6</v>
      </c>
      <c r="Q84" s="960" t="s">
        <v>2334</v>
      </c>
      <c r="R84" s="1025"/>
      <c r="S84" s="386"/>
      <c r="T84" s="4"/>
      <c r="U84" s="4"/>
      <c r="V84" s="4"/>
    </row>
    <row r="85" spans="1:22" x14ac:dyDescent="0.2">
      <c r="A85" s="779">
        <v>5213</v>
      </c>
      <c r="B85" s="60" t="s">
        <v>1635</v>
      </c>
      <c r="C85" s="391">
        <v>5585.18</v>
      </c>
      <c r="D85" s="391">
        <v>4307.68</v>
      </c>
      <c r="E85" s="391">
        <v>2060.39</v>
      </c>
      <c r="F85" s="1088"/>
      <c r="G85" s="1088"/>
      <c r="H85" s="1088"/>
      <c r="I85" s="212"/>
      <c r="J85" s="212"/>
      <c r="K85" s="212"/>
      <c r="L85" s="212"/>
      <c r="M85" s="557">
        <f t="shared" si="10"/>
        <v>0</v>
      </c>
      <c r="N85" s="557">
        <f t="shared" si="11"/>
        <v>2750</v>
      </c>
      <c r="O85" s="390">
        <f t="shared" si="8"/>
        <v>2750</v>
      </c>
      <c r="P85" s="392">
        <f t="shared" si="9"/>
        <v>1</v>
      </c>
      <c r="Q85" s="960" t="s">
        <v>2335</v>
      </c>
      <c r="R85" s="1026"/>
      <c r="S85" s="386"/>
      <c r="T85" s="4"/>
      <c r="U85" s="4"/>
      <c r="V85" s="4"/>
    </row>
    <row r="86" spans="1:22" x14ac:dyDescent="0.2">
      <c r="A86" s="779">
        <v>5214</v>
      </c>
      <c r="B86" s="60" t="s">
        <v>1443</v>
      </c>
      <c r="C86" s="391">
        <v>740.5</v>
      </c>
      <c r="D86" s="391">
        <v>1025.08</v>
      </c>
      <c r="E86" s="391">
        <v>368.69</v>
      </c>
      <c r="F86" s="1088"/>
      <c r="G86" s="1088"/>
      <c r="H86" s="1088"/>
      <c r="I86" s="212"/>
      <c r="J86" s="212"/>
      <c r="K86" s="212"/>
      <c r="L86" s="212"/>
      <c r="M86" s="557">
        <f t="shared" si="10"/>
        <v>3000</v>
      </c>
      <c r="N86" s="557">
        <f t="shared" si="11"/>
        <v>2250</v>
      </c>
      <c r="O86" s="390">
        <f t="shared" si="8"/>
        <v>-750</v>
      </c>
      <c r="P86" s="392">
        <f t="shared" si="9"/>
        <v>-0.25</v>
      </c>
      <c r="Q86" s="961" t="s">
        <v>2336</v>
      </c>
      <c r="R86" s="1026"/>
      <c r="S86" s="386"/>
      <c r="T86" s="4"/>
      <c r="U86" s="4"/>
      <c r="V86" s="4"/>
    </row>
    <row r="87" spans="1:22" x14ac:dyDescent="0.2">
      <c r="A87" s="779">
        <v>5215</v>
      </c>
      <c r="B87" s="60" t="s">
        <v>2357</v>
      </c>
      <c r="C87" s="391"/>
      <c r="D87" s="391"/>
      <c r="E87" s="391"/>
      <c r="F87" s="1088"/>
      <c r="G87" s="1088"/>
      <c r="H87" s="1088"/>
      <c r="I87" s="212"/>
      <c r="J87" s="212"/>
      <c r="K87" s="212"/>
      <c r="L87" s="212"/>
      <c r="M87" s="557">
        <f t="shared" si="10"/>
        <v>0</v>
      </c>
      <c r="N87" s="557">
        <f t="shared" si="11"/>
        <v>1000</v>
      </c>
      <c r="O87" s="390">
        <f t="shared" ref="O87" si="12">+N87-M87</f>
        <v>1000</v>
      </c>
      <c r="P87" s="392">
        <f t="shared" ref="P87" si="13">IF(M87+N87&lt;&gt;0,IF(M87&lt;&gt;0,IF(O87&lt;&gt;0,ROUND((+O87/M87),4),""),1),"")</f>
        <v>1</v>
      </c>
      <c r="Q87" s="961"/>
      <c r="R87" s="1026"/>
      <c r="S87" s="386"/>
      <c r="T87" s="4"/>
      <c r="U87" s="4"/>
      <c r="V87" s="4"/>
    </row>
    <row r="88" spans="1:22" x14ac:dyDescent="0.2">
      <c r="A88" s="779">
        <v>5231</v>
      </c>
      <c r="B88" s="60" t="s">
        <v>1444</v>
      </c>
      <c r="C88" s="391">
        <v>3574</v>
      </c>
      <c r="D88" s="391">
        <v>5884</v>
      </c>
      <c r="E88" s="391">
        <v>9987.5</v>
      </c>
      <c r="F88" s="1088"/>
      <c r="G88" s="1088"/>
      <c r="H88" s="1088"/>
      <c r="I88" s="212"/>
      <c r="J88" s="212"/>
      <c r="K88" s="212"/>
      <c r="L88" s="212"/>
      <c r="M88" s="557">
        <f t="shared" si="10"/>
        <v>2000</v>
      </c>
      <c r="N88" s="557">
        <f t="shared" si="11"/>
        <v>1250</v>
      </c>
      <c r="O88" s="390">
        <f t="shared" si="8"/>
        <v>-750</v>
      </c>
      <c r="P88" s="392">
        <f t="shared" si="9"/>
        <v>-0.375</v>
      </c>
      <c r="Q88" s="961" t="s">
        <v>2360</v>
      </c>
      <c r="R88" s="1026"/>
      <c r="S88" s="386"/>
      <c r="T88" s="4"/>
      <c r="U88" s="4"/>
      <c r="V88" s="4"/>
    </row>
    <row r="89" spans="1:22" x14ac:dyDescent="0.2">
      <c r="A89" s="779">
        <v>5241</v>
      </c>
      <c r="B89" s="12" t="s">
        <v>1636</v>
      </c>
      <c r="C89" s="391">
        <v>391</v>
      </c>
      <c r="D89" s="391">
        <v>238</v>
      </c>
      <c r="E89" s="391">
        <v>17</v>
      </c>
      <c r="F89" s="1088"/>
      <c r="G89" s="1088"/>
      <c r="H89" s="1088"/>
      <c r="I89" s="212"/>
      <c r="J89" s="212"/>
      <c r="K89" s="212"/>
      <c r="L89" s="212"/>
      <c r="M89" s="557">
        <f t="shared" si="10"/>
        <v>15000</v>
      </c>
      <c r="N89" s="557">
        <f t="shared" si="11"/>
        <v>15000</v>
      </c>
      <c r="O89" s="390">
        <f t="shared" si="8"/>
        <v>0</v>
      </c>
      <c r="P89" s="392" t="str">
        <f t="shared" si="9"/>
        <v/>
      </c>
      <c r="Q89" s="961" t="s">
        <v>2361</v>
      </c>
      <c r="R89" s="1026"/>
      <c r="S89" s="386"/>
      <c r="T89" s="4"/>
      <c r="U89" s="4"/>
      <c r="V89" s="4"/>
    </row>
    <row r="90" spans="1:22" x14ac:dyDescent="0.2">
      <c r="A90" s="779">
        <v>5244</v>
      </c>
      <c r="B90" s="12" t="s">
        <v>1159</v>
      </c>
      <c r="C90" s="391">
        <v>189</v>
      </c>
      <c r="D90" s="391">
        <v>240</v>
      </c>
      <c r="E90" s="391"/>
      <c r="F90" s="1088"/>
      <c r="G90" s="1088"/>
      <c r="H90" s="1088"/>
      <c r="I90" s="212"/>
      <c r="J90" s="212"/>
      <c r="K90" s="212"/>
      <c r="L90" s="212"/>
      <c r="M90" s="557">
        <f t="shared" si="10"/>
        <v>0</v>
      </c>
      <c r="N90" s="557">
        <f t="shared" si="11"/>
        <v>12500</v>
      </c>
      <c r="O90" s="390">
        <f t="shared" si="8"/>
        <v>12500</v>
      </c>
      <c r="P90" s="392">
        <f t="shared" si="9"/>
        <v>1</v>
      </c>
      <c r="Q90" s="961"/>
      <c r="R90" s="1026"/>
      <c r="S90" s="386"/>
      <c r="T90" s="4"/>
      <c r="U90" s="4"/>
      <c r="V90" s="4"/>
    </row>
    <row r="91" spans="1:22" x14ac:dyDescent="0.2">
      <c r="A91" s="779">
        <v>5251</v>
      </c>
      <c r="B91" s="12" t="s">
        <v>1637</v>
      </c>
      <c r="C91" s="391">
        <v>175</v>
      </c>
      <c r="D91" s="391">
        <v>0</v>
      </c>
      <c r="E91" s="391"/>
      <c r="F91" s="1088"/>
      <c r="G91" s="1088"/>
      <c r="H91" s="1088"/>
      <c r="I91" s="212"/>
      <c r="J91" s="212"/>
      <c r="K91" s="212"/>
      <c r="L91" s="212"/>
      <c r="M91" s="557">
        <f t="shared" si="10"/>
        <v>2000</v>
      </c>
      <c r="N91" s="557">
        <f t="shared" si="11"/>
        <v>3500</v>
      </c>
      <c r="O91" s="390">
        <f t="shared" si="8"/>
        <v>1500</v>
      </c>
      <c r="P91" s="392">
        <f t="shared" si="9"/>
        <v>0.75</v>
      </c>
      <c r="Q91" s="961" t="s">
        <v>2337</v>
      </c>
      <c r="R91" s="1026"/>
      <c r="S91" s="386"/>
      <c r="T91" s="4"/>
      <c r="U91" s="4"/>
      <c r="V91" s="4"/>
    </row>
    <row r="92" spans="1:22" x14ac:dyDescent="0.2">
      <c r="A92" s="779">
        <v>5275</v>
      </c>
      <c r="B92" s="12" t="s">
        <v>1638</v>
      </c>
      <c r="C92" s="391">
        <v>824.55</v>
      </c>
      <c r="D92" s="391">
        <v>813.4</v>
      </c>
      <c r="E92" s="391">
        <v>808.28</v>
      </c>
      <c r="F92" s="1088"/>
      <c r="G92" s="1088"/>
      <c r="H92" s="1088"/>
      <c r="I92" s="212"/>
      <c r="J92" s="212"/>
      <c r="K92" s="212"/>
      <c r="L92" s="212"/>
      <c r="M92" s="557">
        <f t="shared" si="10"/>
        <v>1000</v>
      </c>
      <c r="N92" s="557">
        <f t="shared" si="11"/>
        <v>2000</v>
      </c>
      <c r="O92" s="390">
        <f t="shared" si="8"/>
        <v>1000</v>
      </c>
      <c r="P92" s="392">
        <f t="shared" si="9"/>
        <v>1</v>
      </c>
      <c r="Q92" s="961" t="s">
        <v>2338</v>
      </c>
      <c r="R92" s="1026"/>
      <c r="S92" s="386"/>
      <c r="T92" s="4"/>
      <c r="U92" s="4"/>
      <c r="V92" s="4"/>
    </row>
    <row r="93" spans="1:22" x14ac:dyDescent="0.2">
      <c r="A93" s="779">
        <v>5302</v>
      </c>
      <c r="B93" s="12" t="s">
        <v>94</v>
      </c>
      <c r="C93" s="391">
        <v>82.22</v>
      </c>
      <c r="D93" s="391">
        <v>33.18</v>
      </c>
      <c r="E93" s="391">
        <v>47.61</v>
      </c>
      <c r="F93" s="1088"/>
      <c r="G93" s="1088"/>
      <c r="H93" s="1088"/>
      <c r="I93" s="212"/>
      <c r="J93" s="212"/>
      <c r="K93" s="212"/>
      <c r="L93" s="212"/>
      <c r="M93" s="557">
        <f t="shared" si="10"/>
        <v>0</v>
      </c>
      <c r="N93" s="557">
        <f t="shared" si="11"/>
        <v>1500</v>
      </c>
      <c r="O93" s="390">
        <f t="shared" si="8"/>
        <v>1500</v>
      </c>
      <c r="P93" s="392">
        <f t="shared" si="9"/>
        <v>1</v>
      </c>
      <c r="Q93" s="961" t="s">
        <v>2339</v>
      </c>
      <c r="R93" s="1026"/>
      <c r="S93" s="386"/>
      <c r="T93" s="4"/>
      <c r="U93" s="4"/>
      <c r="V93" s="4"/>
    </row>
    <row r="94" spans="1:22" x14ac:dyDescent="0.2">
      <c r="A94" s="779">
        <v>5314</v>
      </c>
      <c r="B94" s="12" t="s">
        <v>1161</v>
      </c>
      <c r="C94" s="383"/>
      <c r="D94" s="391">
        <v>796.78</v>
      </c>
      <c r="E94" s="391"/>
      <c r="F94" s="1088"/>
      <c r="G94" s="1088"/>
      <c r="H94" s="1088"/>
      <c r="I94" s="212"/>
      <c r="J94" s="212"/>
      <c r="K94" s="212"/>
      <c r="L94" s="212"/>
      <c r="M94" s="557">
        <f t="shared" si="10"/>
        <v>2000</v>
      </c>
      <c r="N94" s="557">
        <f t="shared" si="11"/>
        <v>1500</v>
      </c>
      <c r="O94" s="390">
        <f t="shared" si="8"/>
        <v>-500</v>
      </c>
      <c r="P94" s="392">
        <f t="shared" si="9"/>
        <v>-0.25</v>
      </c>
      <c r="Q94" s="961" t="s">
        <v>2333</v>
      </c>
      <c r="R94" s="1026"/>
      <c r="S94" s="386"/>
      <c r="T94" s="4"/>
      <c r="U94" s="4"/>
      <c r="V94" s="4"/>
    </row>
    <row r="95" spans="1:22" x14ac:dyDescent="0.2">
      <c r="A95" s="779">
        <v>5315</v>
      </c>
      <c r="B95" s="12" t="s">
        <v>1301</v>
      </c>
      <c r="C95" s="383">
        <v>175.79</v>
      </c>
      <c r="D95" s="391">
        <v>124.86</v>
      </c>
      <c r="E95" s="391">
        <v>221.12</v>
      </c>
      <c r="F95" s="1088"/>
      <c r="G95" s="1088"/>
      <c r="H95" s="1088"/>
      <c r="I95" s="212"/>
      <c r="J95" s="212"/>
      <c r="K95" s="212"/>
      <c r="L95" s="212"/>
      <c r="M95" s="557">
        <f t="shared" si="10"/>
        <v>1000</v>
      </c>
      <c r="N95" s="557">
        <f t="shared" si="11"/>
        <v>1500</v>
      </c>
      <c r="O95" s="390">
        <f t="shared" si="8"/>
        <v>500</v>
      </c>
      <c r="P95" s="392">
        <f t="shared" si="9"/>
        <v>0.5</v>
      </c>
      <c r="Q95" s="961" t="s">
        <v>2340</v>
      </c>
      <c r="R95" s="1026"/>
      <c r="S95" s="386"/>
      <c r="T95" s="4"/>
      <c r="U95" s="4"/>
      <c r="V95" s="4"/>
    </row>
    <row r="96" spans="1:22" x14ac:dyDescent="0.2">
      <c r="A96" s="779">
        <v>5341</v>
      </c>
      <c r="B96" s="12" t="s">
        <v>1639</v>
      </c>
      <c r="C96" s="391">
        <v>48.61</v>
      </c>
      <c r="D96" s="383">
        <v>0</v>
      </c>
      <c r="E96" s="383"/>
      <c r="F96" s="1088"/>
      <c r="G96" s="1088"/>
      <c r="H96" s="1088"/>
      <c r="I96" s="212"/>
      <c r="J96" s="212"/>
      <c r="K96" s="212"/>
      <c r="L96" s="212"/>
      <c r="M96" s="557">
        <f t="shared" si="10"/>
        <v>3000</v>
      </c>
      <c r="N96" s="557">
        <f t="shared" si="11"/>
        <v>3300</v>
      </c>
      <c r="O96" s="390">
        <f t="shared" si="8"/>
        <v>300</v>
      </c>
      <c r="P96" s="392">
        <f t="shared" si="9"/>
        <v>0.1</v>
      </c>
      <c r="Q96" s="961" t="s">
        <v>2333</v>
      </c>
      <c r="R96" s="1026"/>
      <c r="S96" s="386"/>
      <c r="T96" s="4"/>
      <c r="U96" s="4"/>
      <c r="V96" s="4"/>
    </row>
    <row r="97" spans="1:22" x14ac:dyDescent="0.2">
      <c r="A97" s="779">
        <v>5344</v>
      </c>
      <c r="B97" s="12" t="s">
        <v>832</v>
      </c>
      <c r="C97" s="383"/>
      <c r="D97" s="383">
        <v>113.67</v>
      </c>
      <c r="E97" s="383">
        <v>500</v>
      </c>
      <c r="F97" s="1088"/>
      <c r="G97" s="1088"/>
      <c r="H97" s="1088"/>
      <c r="I97" s="212"/>
      <c r="J97" s="212"/>
      <c r="K97" s="212"/>
      <c r="L97" s="212"/>
      <c r="M97" s="557">
        <f t="shared" si="10"/>
        <v>200</v>
      </c>
      <c r="N97" s="557">
        <f t="shared" si="11"/>
        <v>350</v>
      </c>
      <c r="O97" s="390">
        <f t="shared" si="8"/>
        <v>150</v>
      </c>
      <c r="P97" s="392">
        <f t="shared" si="9"/>
        <v>0.75</v>
      </c>
      <c r="Q97" s="961" t="s">
        <v>2341</v>
      </c>
      <c r="R97" s="1026"/>
      <c r="S97" s="386"/>
      <c r="T97" s="4"/>
      <c r="U97" s="4"/>
      <c r="V97" s="4"/>
    </row>
    <row r="98" spans="1:22" x14ac:dyDescent="0.2">
      <c r="A98" s="779">
        <v>5345</v>
      </c>
      <c r="B98" s="12" t="s">
        <v>863</v>
      </c>
      <c r="C98" s="383"/>
      <c r="D98" s="383"/>
      <c r="E98" s="383"/>
      <c r="F98" s="1088"/>
      <c r="G98" s="1088"/>
      <c r="H98" s="1088"/>
      <c r="I98" s="212"/>
      <c r="J98" s="212"/>
      <c r="K98" s="212"/>
      <c r="L98" s="212"/>
      <c r="M98" s="557">
        <f t="shared" si="10"/>
        <v>2500</v>
      </c>
      <c r="N98" s="557">
        <f t="shared" si="11"/>
        <v>3000</v>
      </c>
      <c r="O98" s="390">
        <f t="shared" si="8"/>
        <v>500</v>
      </c>
      <c r="P98" s="392">
        <f t="shared" si="9"/>
        <v>0.2</v>
      </c>
      <c r="Q98" s="961" t="s">
        <v>2333</v>
      </c>
      <c r="R98" s="1026"/>
      <c r="S98" s="386"/>
      <c r="T98" s="4"/>
      <c r="U98" s="4"/>
      <c r="V98" s="4"/>
    </row>
    <row r="99" spans="1:22" x14ac:dyDescent="0.2">
      <c r="A99" s="779">
        <v>5420</v>
      </c>
      <c r="B99" s="12" t="s">
        <v>864</v>
      </c>
      <c r="C99" s="383">
        <v>432.52</v>
      </c>
      <c r="D99" s="391">
        <v>358.6</v>
      </c>
      <c r="E99" s="391">
        <v>213.5</v>
      </c>
      <c r="F99" s="1088"/>
      <c r="G99" s="1088"/>
      <c r="H99" s="1088"/>
      <c r="I99" s="212"/>
      <c r="J99" s="212"/>
      <c r="K99" s="212"/>
      <c r="L99" s="212"/>
      <c r="M99" s="557">
        <f t="shared" si="10"/>
        <v>2000</v>
      </c>
      <c r="N99" s="557">
        <f t="shared" si="11"/>
        <v>1500</v>
      </c>
      <c r="O99" s="390">
        <f t="shared" si="8"/>
        <v>-500</v>
      </c>
      <c r="P99" s="392">
        <f t="shared" si="9"/>
        <v>-0.25</v>
      </c>
      <c r="Q99" s="961"/>
      <c r="R99" s="1026"/>
      <c r="S99" s="386"/>
      <c r="T99" s="4"/>
      <c r="U99" s="4"/>
      <c r="V99" s="4"/>
    </row>
    <row r="100" spans="1:22" x14ac:dyDescent="0.2">
      <c r="A100" s="779">
        <v>5443</v>
      </c>
      <c r="B100" s="12" t="s">
        <v>1308</v>
      </c>
      <c r="C100" s="395"/>
      <c r="D100" s="391"/>
      <c r="E100" s="391"/>
      <c r="F100" s="1088"/>
      <c r="G100" s="1088"/>
      <c r="H100" s="1088"/>
      <c r="I100" s="212"/>
      <c r="J100" s="212"/>
      <c r="K100" s="212"/>
      <c r="L100" s="212"/>
      <c r="M100" s="557">
        <f t="shared" si="10"/>
        <v>3000</v>
      </c>
      <c r="N100" s="557">
        <f t="shared" si="11"/>
        <v>3000</v>
      </c>
      <c r="O100" s="390">
        <f t="shared" si="8"/>
        <v>0</v>
      </c>
      <c r="P100" s="392" t="str">
        <f t="shared" si="9"/>
        <v/>
      </c>
      <c r="Q100" s="961"/>
      <c r="R100" s="1026"/>
      <c r="S100" s="386"/>
      <c r="T100" s="4"/>
      <c r="U100" s="4"/>
      <c r="V100" s="4"/>
    </row>
    <row r="101" spans="1:22" x14ac:dyDescent="0.2">
      <c r="A101" s="779">
        <v>5481</v>
      </c>
      <c r="B101" s="12" t="s">
        <v>1167</v>
      </c>
      <c r="C101" s="393">
        <v>4569</v>
      </c>
      <c r="D101" s="395">
        <v>4735</v>
      </c>
      <c r="E101" s="395">
        <f>175+4225</f>
        <v>4400</v>
      </c>
      <c r="F101" s="1088"/>
      <c r="G101" s="1088"/>
      <c r="H101" s="1088"/>
      <c r="I101" s="212"/>
      <c r="J101" s="212"/>
      <c r="K101" s="212"/>
      <c r="L101" s="212"/>
      <c r="M101" s="557">
        <f t="shared" si="10"/>
        <v>7500</v>
      </c>
      <c r="N101" s="557">
        <f t="shared" si="11"/>
        <v>7500</v>
      </c>
      <c r="O101" s="390">
        <f t="shared" si="8"/>
        <v>0</v>
      </c>
      <c r="P101" s="392" t="str">
        <f t="shared" si="9"/>
        <v/>
      </c>
      <c r="Q101" s="961"/>
      <c r="R101" s="1027"/>
      <c r="S101" s="425"/>
      <c r="T101" s="4"/>
      <c r="U101" s="4"/>
      <c r="V101" s="4"/>
    </row>
    <row r="102" spans="1:22" x14ac:dyDescent="0.2">
      <c r="A102" s="779">
        <v>5482</v>
      </c>
      <c r="B102" s="12" t="s">
        <v>1310</v>
      </c>
      <c r="C102" s="391"/>
      <c r="D102" s="391"/>
      <c r="E102" s="391"/>
      <c r="F102" s="1098"/>
      <c r="G102" s="1098"/>
      <c r="H102" s="1098"/>
      <c r="I102" s="212"/>
      <c r="J102" s="212"/>
      <c r="K102" s="212"/>
      <c r="L102" s="212"/>
      <c r="M102" s="557">
        <f t="shared" si="10"/>
        <v>0</v>
      </c>
      <c r="N102" s="557">
        <f t="shared" si="11"/>
        <v>8500</v>
      </c>
      <c r="O102" s="390">
        <f t="shared" si="8"/>
        <v>8500</v>
      </c>
      <c r="P102" s="392">
        <f t="shared" si="9"/>
        <v>1</v>
      </c>
      <c r="Q102" s="1166"/>
      <c r="R102" s="1167"/>
      <c r="S102" s="1168"/>
      <c r="T102" s="4"/>
      <c r="U102" s="4"/>
      <c r="V102" s="4"/>
    </row>
    <row r="103" spans="1:22" x14ac:dyDescent="0.2">
      <c r="A103" s="779">
        <v>5500</v>
      </c>
      <c r="B103" s="12" t="s">
        <v>1640</v>
      </c>
      <c r="C103" s="391"/>
      <c r="D103" s="391"/>
      <c r="E103" s="391"/>
      <c r="F103" s="391"/>
      <c r="G103" s="391"/>
      <c r="H103" s="1098"/>
      <c r="I103" s="212"/>
      <c r="J103" s="212"/>
      <c r="K103" s="212"/>
      <c r="L103" s="212"/>
      <c r="M103" s="557">
        <f t="shared" si="10"/>
        <v>1000</v>
      </c>
      <c r="N103" s="557">
        <f t="shared" si="11"/>
        <v>2500</v>
      </c>
      <c r="O103" s="390">
        <f t="shared" si="8"/>
        <v>1500</v>
      </c>
      <c r="P103" s="392">
        <f t="shared" si="9"/>
        <v>1.5</v>
      </c>
      <c r="Q103" s="1166"/>
      <c r="R103" s="1167"/>
      <c r="S103" s="1168"/>
      <c r="T103" s="4"/>
      <c r="U103" s="4"/>
      <c r="V103" s="4"/>
    </row>
    <row r="104" spans="1:22" x14ac:dyDescent="0.2">
      <c r="A104" s="779">
        <v>5580</v>
      </c>
      <c r="B104" s="12" t="s">
        <v>2349</v>
      </c>
      <c r="C104" s="23"/>
      <c r="D104" s="23"/>
      <c r="E104" s="23"/>
      <c r="F104" s="23"/>
      <c r="G104" s="23"/>
      <c r="H104" s="212"/>
      <c r="I104" s="212"/>
      <c r="J104" s="212"/>
      <c r="K104" s="212"/>
      <c r="L104" s="212"/>
      <c r="M104" s="557">
        <f t="shared" si="10"/>
        <v>0</v>
      </c>
      <c r="N104" s="557">
        <f t="shared" si="11"/>
        <v>4500</v>
      </c>
      <c r="O104" s="390">
        <f t="shared" si="8"/>
        <v>4500</v>
      </c>
      <c r="P104" s="392">
        <f t="shared" si="9"/>
        <v>1</v>
      </c>
      <c r="Q104" s="1166"/>
      <c r="R104" s="1167"/>
      <c r="S104" s="1168"/>
      <c r="T104" s="4"/>
      <c r="U104" s="4"/>
      <c r="V104" s="4"/>
    </row>
    <row r="105" spans="1:22" x14ac:dyDescent="0.2">
      <c r="A105" s="779">
        <v>5581</v>
      </c>
      <c r="B105" s="12" t="s">
        <v>2350</v>
      </c>
      <c r="C105" s="23"/>
      <c r="D105" s="23"/>
      <c r="E105" s="23"/>
      <c r="F105" s="23"/>
      <c r="G105" s="23"/>
      <c r="H105" s="23"/>
      <c r="I105" s="23"/>
      <c r="J105" s="23"/>
      <c r="K105" s="23"/>
      <c r="L105" s="23"/>
      <c r="M105" s="557">
        <f t="shared" si="10"/>
        <v>0</v>
      </c>
      <c r="N105" s="557">
        <f t="shared" si="11"/>
        <v>4500</v>
      </c>
      <c r="O105" s="390">
        <f t="shared" si="8"/>
        <v>4500</v>
      </c>
      <c r="P105" s="392">
        <f t="shared" si="9"/>
        <v>1</v>
      </c>
      <c r="Q105" s="1166"/>
      <c r="R105" s="1167"/>
      <c r="S105" s="1168"/>
      <c r="T105" s="4"/>
      <c r="U105" s="4"/>
      <c r="V105" s="4"/>
    </row>
    <row r="106" spans="1:22" x14ac:dyDescent="0.2">
      <c r="A106" s="779">
        <v>5582</v>
      </c>
      <c r="B106" s="12" t="s">
        <v>1641</v>
      </c>
      <c r="C106" s="212"/>
      <c r="D106" s="212"/>
      <c r="E106" s="212"/>
      <c r="F106" s="212"/>
      <c r="G106" s="212"/>
      <c r="H106" s="212"/>
      <c r="I106" s="212"/>
      <c r="J106" s="212"/>
      <c r="K106" s="212"/>
      <c r="L106" s="212"/>
      <c r="M106" s="557">
        <f t="shared" si="10"/>
        <v>3500</v>
      </c>
      <c r="N106" s="557">
        <f t="shared" si="11"/>
        <v>3750</v>
      </c>
      <c r="O106" s="390">
        <f t="shared" si="8"/>
        <v>250</v>
      </c>
      <c r="P106" s="392">
        <f t="shared" si="9"/>
        <v>7.1400000000000005E-2</v>
      </c>
      <c r="Q106" s="961" t="s">
        <v>2342</v>
      </c>
      <c r="R106" s="962"/>
      <c r="S106" s="390"/>
    </row>
    <row r="107" spans="1:22" x14ac:dyDescent="0.2">
      <c r="A107" s="779">
        <v>5584</v>
      </c>
      <c r="B107" s="12" t="s">
        <v>2351</v>
      </c>
      <c r="C107" s="212"/>
      <c r="D107" s="212"/>
      <c r="E107" s="212"/>
      <c r="F107" s="212"/>
      <c r="G107" s="212"/>
      <c r="H107" s="212"/>
      <c r="I107" s="212"/>
      <c r="J107" s="212"/>
      <c r="K107" s="212"/>
      <c r="L107" s="212"/>
      <c r="M107" s="557">
        <f t="shared" si="10"/>
        <v>0</v>
      </c>
      <c r="N107" s="557">
        <f t="shared" si="11"/>
        <v>500</v>
      </c>
      <c r="O107" s="390">
        <f t="shared" si="8"/>
        <v>500</v>
      </c>
      <c r="P107" s="392">
        <f t="shared" si="9"/>
        <v>1</v>
      </c>
      <c r="Q107" s="1166"/>
      <c r="R107" s="1167"/>
      <c r="S107" s="1168"/>
    </row>
    <row r="108" spans="1:22" x14ac:dyDescent="0.2">
      <c r="A108" s="779">
        <v>5710</v>
      </c>
      <c r="B108" s="12" t="s">
        <v>869</v>
      </c>
      <c r="C108" s="212"/>
      <c r="D108" s="212"/>
      <c r="E108" s="212"/>
      <c r="F108" s="212"/>
      <c r="G108" s="212"/>
      <c r="H108" s="212"/>
      <c r="I108" s="212"/>
      <c r="J108" s="212"/>
      <c r="K108" s="212"/>
      <c r="L108" s="212"/>
      <c r="M108" s="557">
        <f t="shared" si="10"/>
        <v>2000</v>
      </c>
      <c r="N108" s="557">
        <f t="shared" si="11"/>
        <v>2500</v>
      </c>
      <c r="O108" s="390">
        <f t="shared" si="8"/>
        <v>500</v>
      </c>
      <c r="P108" s="392">
        <f t="shared" si="9"/>
        <v>0.25</v>
      </c>
      <c r="Q108" s="1166"/>
      <c r="R108" s="1167"/>
      <c r="S108" s="1168"/>
    </row>
    <row r="109" spans="1:22" x14ac:dyDescent="0.2">
      <c r="A109" s="779">
        <v>5730</v>
      </c>
      <c r="B109" s="12" t="s">
        <v>1642</v>
      </c>
      <c r="C109" s="212"/>
      <c r="M109" s="557">
        <f t="shared" si="10"/>
        <v>500</v>
      </c>
      <c r="N109" s="557">
        <f t="shared" si="11"/>
        <v>750</v>
      </c>
      <c r="O109" s="390">
        <f t="shared" si="8"/>
        <v>250</v>
      </c>
      <c r="P109" s="392">
        <f t="shared" si="9"/>
        <v>0.5</v>
      </c>
      <c r="Q109" s="1166"/>
      <c r="R109" s="1167"/>
      <c r="S109" s="1168"/>
    </row>
    <row r="110" spans="1:22" x14ac:dyDescent="0.2">
      <c r="A110" s="779">
        <v>5740</v>
      </c>
      <c r="B110" s="12" t="s">
        <v>984</v>
      </c>
      <c r="C110" s="212"/>
      <c r="M110" s="557">
        <f t="shared" si="10"/>
        <v>16000</v>
      </c>
      <c r="N110" s="557">
        <f t="shared" si="11"/>
        <v>18000</v>
      </c>
      <c r="O110" s="390">
        <f t="shared" si="8"/>
        <v>2000</v>
      </c>
      <c r="P110" s="392">
        <f t="shared" si="9"/>
        <v>0.125</v>
      </c>
      <c r="Q110" s="1166"/>
      <c r="R110" s="1167"/>
      <c r="S110" s="1168"/>
    </row>
    <row r="111" spans="1:22" x14ac:dyDescent="0.2">
      <c r="A111" s="779"/>
      <c r="B111" s="12" t="s">
        <v>2352</v>
      </c>
      <c r="C111" s="212"/>
      <c r="M111" s="557">
        <f t="shared" si="10"/>
        <v>0</v>
      </c>
      <c r="N111" s="557">
        <f t="shared" si="11"/>
        <v>8000</v>
      </c>
      <c r="O111" s="390">
        <f t="shared" si="8"/>
        <v>8000</v>
      </c>
      <c r="P111" s="392">
        <f t="shared" si="9"/>
        <v>1</v>
      </c>
      <c r="Q111" s="1166"/>
      <c r="R111" s="1167"/>
      <c r="S111" s="1168"/>
    </row>
    <row r="112" spans="1:22" x14ac:dyDescent="0.2">
      <c r="A112" s="779">
        <v>5790</v>
      </c>
      <c r="B112" s="27" t="s">
        <v>1643</v>
      </c>
      <c r="C112" s="212"/>
      <c r="M112" s="557">
        <f t="shared" si="10"/>
        <v>3720</v>
      </c>
      <c r="N112" s="557">
        <f t="shared" si="11"/>
        <v>3939</v>
      </c>
      <c r="O112" s="390">
        <f t="shared" si="8"/>
        <v>219</v>
      </c>
      <c r="P112" s="392">
        <f t="shared" si="9"/>
        <v>5.8900000000000001E-2</v>
      </c>
      <c r="Q112" s="1166"/>
      <c r="R112" s="1167"/>
      <c r="S112" s="1168"/>
    </row>
    <row r="113" spans="1:19" x14ac:dyDescent="0.2">
      <c r="A113" s="779">
        <v>5800</v>
      </c>
      <c r="B113" s="12" t="s">
        <v>2354</v>
      </c>
      <c r="C113" s="212"/>
      <c r="M113" s="557">
        <f>+O50</f>
        <v>0</v>
      </c>
      <c r="N113" s="557">
        <f>+Q50</f>
        <v>10000</v>
      </c>
      <c r="O113" s="390">
        <f t="shared" si="8"/>
        <v>10000</v>
      </c>
      <c r="P113" s="392">
        <f t="shared" si="9"/>
        <v>1</v>
      </c>
      <c r="Q113" s="1166"/>
      <c r="R113" s="1167"/>
      <c r="S113" s="1168"/>
    </row>
    <row r="114" spans="1:19" x14ac:dyDescent="0.2">
      <c r="B114" s="750" t="s">
        <v>846</v>
      </c>
      <c r="C114" s="212"/>
      <c r="M114" s="106">
        <f>SUM(M76:M113)</f>
        <v>282668</v>
      </c>
      <c r="N114" s="106">
        <f t="shared" ref="N114:O114" si="14">SUM(N76:N113)</f>
        <v>422991</v>
      </c>
      <c r="O114" s="106">
        <f t="shared" si="14"/>
        <v>140323</v>
      </c>
      <c r="P114" s="392">
        <f t="shared" si="9"/>
        <v>0.49640000000000001</v>
      </c>
    </row>
    <row r="115" spans="1:19" x14ac:dyDescent="0.2">
      <c r="C115" s="212"/>
    </row>
    <row r="116" spans="1:19" x14ac:dyDescent="0.2">
      <c r="C116" s="212"/>
    </row>
    <row r="117" spans="1:19" x14ac:dyDescent="0.2">
      <c r="C117" s="212"/>
    </row>
    <row r="118" spans="1:19" x14ac:dyDescent="0.2">
      <c r="C118" s="212"/>
    </row>
    <row r="119" spans="1:19" x14ac:dyDescent="0.2">
      <c r="C119" s="212"/>
    </row>
    <row r="120" spans="1:19" x14ac:dyDescent="0.2">
      <c r="C120" s="212"/>
    </row>
    <row r="121" spans="1:19" x14ac:dyDescent="0.2">
      <c r="C121" s="212"/>
    </row>
    <row r="122" spans="1:19" x14ac:dyDescent="0.2">
      <c r="C122" s="212"/>
    </row>
    <row r="123" spans="1:19" x14ac:dyDescent="0.2">
      <c r="C123" s="212"/>
    </row>
    <row r="124" spans="1:19" x14ac:dyDescent="0.2">
      <c r="C124" s="212"/>
    </row>
    <row r="125" spans="1:19" x14ac:dyDescent="0.2">
      <c r="C125" s="212"/>
    </row>
    <row r="126" spans="1:19" x14ac:dyDescent="0.2">
      <c r="C126" s="212"/>
    </row>
    <row r="127" spans="1:19" x14ac:dyDescent="0.2">
      <c r="C127" s="212"/>
    </row>
    <row r="128" spans="1:19" x14ac:dyDescent="0.2">
      <c r="C128" s="212"/>
    </row>
    <row r="129" spans="3:3" x14ac:dyDescent="0.2">
      <c r="C129" s="212"/>
    </row>
    <row r="130" spans="3:3" x14ac:dyDescent="0.2">
      <c r="C130" s="212"/>
    </row>
    <row r="131" spans="3:3" x14ac:dyDescent="0.2">
      <c r="C131" s="212"/>
    </row>
    <row r="132" spans="3:3" x14ac:dyDescent="0.2">
      <c r="C132" s="212"/>
    </row>
    <row r="133" spans="3:3" x14ac:dyDescent="0.2">
      <c r="C133" s="212"/>
    </row>
    <row r="134" spans="3:3" x14ac:dyDescent="0.2">
      <c r="C134" s="212"/>
    </row>
    <row r="135" spans="3:3" x14ac:dyDescent="0.2">
      <c r="C135" s="212"/>
    </row>
    <row r="136" spans="3:3" x14ac:dyDescent="0.2">
      <c r="C136" s="212"/>
    </row>
    <row r="137" spans="3:3" x14ac:dyDescent="0.2">
      <c r="C137" s="212"/>
    </row>
    <row r="138" spans="3:3" x14ac:dyDescent="0.2">
      <c r="C138" s="212"/>
    </row>
    <row r="139" spans="3:3" x14ac:dyDescent="0.2">
      <c r="C139" s="212"/>
    </row>
    <row r="140" spans="3:3" x14ac:dyDescent="0.2">
      <c r="C140" s="212"/>
    </row>
    <row r="141" spans="3:3" x14ac:dyDescent="0.2">
      <c r="C141" s="212"/>
    </row>
    <row r="142" spans="3:3" x14ac:dyDescent="0.2">
      <c r="C142" s="212"/>
    </row>
    <row r="143" spans="3:3" x14ac:dyDescent="0.2">
      <c r="C143" s="212"/>
    </row>
    <row r="144" spans="3:3" x14ac:dyDescent="0.2">
      <c r="C144" s="212"/>
    </row>
  </sheetData>
  <mergeCells count="11">
    <mergeCell ref="Q113:S113"/>
    <mergeCell ref="Q102:S102"/>
    <mergeCell ref="Q103:S103"/>
    <mergeCell ref="Q104:S104"/>
    <mergeCell ref="Q105:S105"/>
    <mergeCell ref="Q107:S107"/>
    <mergeCell ref="Q108:S108"/>
    <mergeCell ref="Q109:S109"/>
    <mergeCell ref="Q110:S110"/>
    <mergeCell ref="Q111:S111"/>
    <mergeCell ref="Q112:S112"/>
  </mergeCells>
  <phoneticPr fontId="0" type="noConversion"/>
  <hyperlinks>
    <hyperlink ref="A1" location="'Working Budget with funding det'!A1" display="Main " xr:uid="{00000000-0004-0000-3600-000000000000}"/>
    <hyperlink ref="B1" location="'Table of Contents'!A1" display="TOC" xr:uid="{00000000-0004-0000-3600-000001000000}"/>
  </hyperlinks>
  <pageMargins left="0.75" right="0.5" top="0.75" bottom="0.75" header="0.5" footer="0.5"/>
  <pageSetup scale="79" fitToHeight="2" orientation="landscape" r:id="rId1"/>
  <headerFooter alignWithMargins="0">
    <oddFooter>&amp;L&amp;D     &amp;T&amp;C&amp;F&amp;R&amp;A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B050"/>
  </sheetPr>
  <dimension ref="A1:AV22"/>
  <sheetViews>
    <sheetView workbookViewId="0">
      <pane xSplit="10" ySplit="7" topLeftCell="K8" activePane="bottomRight" state="frozen"/>
      <selection activeCell="P15" sqref="P15"/>
      <selection pane="topRight" activeCell="P15" sqref="P15"/>
      <selection pane="bottomLeft" activeCell="P15" sqref="P15"/>
      <selection pane="bottomRight" activeCell="Q24" sqref="Q24"/>
    </sheetView>
  </sheetViews>
  <sheetFormatPr defaultRowHeight="12.75" x14ac:dyDescent="0.2"/>
  <cols>
    <col min="1" max="1" width="10.5" style="783" customWidth="1"/>
    <col min="2" max="2" width="33" customWidth="1"/>
    <col min="3" max="12" width="0" hidden="1" customWidth="1"/>
    <col min="13" max="14" width="10.83203125" customWidth="1"/>
    <col min="15" max="15" width="10.33203125" customWidth="1"/>
    <col min="16" max="16" width="11.33203125" customWidth="1"/>
    <col min="17" max="18" width="12.6640625" customWidth="1"/>
    <col min="19" max="19" width="13.1640625" customWidth="1"/>
    <col min="21" max="21" width="11.1640625" hidden="1" customWidth="1"/>
    <col min="22" max="23" width="12.33203125" customWidth="1"/>
    <col min="24" max="24" width="10.5" bestFit="1" customWidth="1"/>
    <col min="25" max="25" width="11.5" customWidth="1"/>
    <col min="26" max="26" width="10.5" bestFit="1" customWidth="1"/>
    <col min="27" max="27" width="10.5" customWidth="1"/>
    <col min="28" max="28" width="10.5" bestFit="1" customWidth="1"/>
    <col min="29" max="29" width="11.33203125" customWidth="1"/>
    <col min="30" max="30" width="10.5" bestFit="1" customWidth="1"/>
    <col min="31" max="31" width="12" customWidth="1"/>
    <col min="32" max="32" width="10.5" bestFit="1" customWidth="1"/>
    <col min="33" max="34" width="11.1640625" customWidth="1"/>
    <col min="35" max="35" width="11.5" customWidth="1"/>
    <col min="49" max="49" width="12" customWidth="1"/>
  </cols>
  <sheetData>
    <row r="1" spans="1:48" x14ac:dyDescent="0.2">
      <c r="A1" s="772" t="s">
        <v>847</v>
      </c>
      <c r="B1" s="308" t="s">
        <v>197</v>
      </c>
      <c r="C1" s="1"/>
      <c r="D1" s="212"/>
      <c r="E1" s="212"/>
      <c r="F1" s="212"/>
      <c r="G1" s="212"/>
      <c r="H1" s="212"/>
      <c r="I1" s="212"/>
      <c r="J1" s="212"/>
      <c r="K1" s="212"/>
      <c r="L1" s="212"/>
      <c r="M1" s="212"/>
      <c r="N1" s="212"/>
      <c r="O1" s="212"/>
      <c r="Q1" s="1"/>
      <c r="R1" s="1"/>
    </row>
    <row r="2" spans="1:48" ht="15" x14ac:dyDescent="0.25">
      <c r="A2" s="773" t="s">
        <v>1655</v>
      </c>
      <c r="B2" s="43"/>
      <c r="C2" s="1"/>
      <c r="D2" s="212"/>
      <c r="E2" s="126"/>
      <c r="F2" s="212"/>
      <c r="G2" s="212"/>
      <c r="H2" s="212"/>
      <c r="I2" s="126" t="s">
        <v>816</v>
      </c>
      <c r="J2" s="126"/>
      <c r="K2" s="58" t="s">
        <v>1656</v>
      </c>
      <c r="L2" s="58"/>
      <c r="M2" s="58"/>
      <c r="N2" s="58"/>
      <c r="O2" s="58"/>
      <c r="P2" s="1"/>
      <c r="Q2" s="44" t="s">
        <v>1657</v>
      </c>
      <c r="R2" s="44"/>
    </row>
    <row r="3" spans="1:48" ht="13.5" thickBot="1" x14ac:dyDescent="0.25">
      <c r="A3" s="774"/>
      <c r="B3" s="4"/>
      <c r="C3" s="23"/>
      <c r="D3" s="23"/>
      <c r="E3" s="23"/>
      <c r="F3" s="23"/>
      <c r="G3" s="23"/>
      <c r="H3" s="23"/>
      <c r="I3" s="23"/>
      <c r="J3" s="23"/>
      <c r="K3" s="23"/>
      <c r="L3" s="23"/>
      <c r="M3" s="23"/>
      <c r="N3" s="23"/>
      <c r="O3" s="23"/>
      <c r="P3" s="4"/>
      <c r="Q3" s="23"/>
      <c r="R3" s="23"/>
      <c r="S3" s="4"/>
    </row>
    <row r="4" spans="1:48"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c r="U4" s="7"/>
      <c r="V4" s="7"/>
      <c r="W4" s="7"/>
      <c r="X4" s="7"/>
      <c r="Y4" s="7"/>
      <c r="Z4" s="7"/>
      <c r="AA4" s="7"/>
      <c r="AB4" s="7"/>
      <c r="AC4" s="7"/>
      <c r="AD4" s="7"/>
      <c r="AE4" s="7"/>
      <c r="AF4" s="7"/>
      <c r="AG4" s="7"/>
      <c r="AH4" s="7"/>
      <c r="AI4" s="7"/>
      <c r="AJ4" s="7"/>
      <c r="AK4" s="7"/>
      <c r="AL4" s="7"/>
      <c r="AM4" s="7"/>
      <c r="AN4" s="7"/>
      <c r="AO4" s="7"/>
      <c r="AP4" s="7"/>
      <c r="AQ4" s="7"/>
      <c r="AR4" s="7"/>
      <c r="AS4" s="7"/>
      <c r="AT4" s="7"/>
      <c r="AU4" s="7"/>
      <c r="AV4" s="7"/>
    </row>
    <row r="5" spans="1:48" x14ac:dyDescent="0.2">
      <c r="A5" s="776"/>
      <c r="B5" s="202"/>
      <c r="C5" s="113"/>
      <c r="D5" s="82"/>
      <c r="E5" s="105"/>
      <c r="F5" s="82"/>
      <c r="G5" s="82"/>
      <c r="H5" s="105"/>
      <c r="I5" s="247"/>
      <c r="J5" s="247"/>
      <c r="K5" s="247"/>
      <c r="L5" s="247"/>
      <c r="M5" s="247" t="s">
        <v>1630</v>
      </c>
      <c r="N5" s="247"/>
      <c r="O5" s="247"/>
      <c r="P5" s="105" t="s">
        <v>819</v>
      </c>
      <c r="Q5" s="83" t="s">
        <v>820</v>
      </c>
      <c r="R5" s="83" t="s">
        <v>821</v>
      </c>
      <c r="S5" s="196" t="s">
        <v>822</v>
      </c>
      <c r="U5" s="45" t="s">
        <v>277</v>
      </c>
      <c r="V5" s="45" t="s">
        <v>571</v>
      </c>
      <c r="W5" s="45" t="s">
        <v>1508</v>
      </c>
      <c r="X5" s="45" t="s">
        <v>1509</v>
      </c>
      <c r="Y5" s="45" t="s">
        <v>1510</v>
      </c>
      <c r="Z5" s="45" t="s">
        <v>1511</v>
      </c>
      <c r="AA5" s="45" t="s">
        <v>1512</v>
      </c>
      <c r="AB5" s="45" t="s">
        <v>1513</v>
      </c>
      <c r="AC5" s="45" t="s">
        <v>1514</v>
      </c>
      <c r="AD5" s="45" t="s">
        <v>1515</v>
      </c>
      <c r="AE5" s="45" t="s">
        <v>1516</v>
      </c>
      <c r="AF5" s="45" t="s">
        <v>1517</v>
      </c>
      <c r="AG5" s="45" t="s">
        <v>1518</v>
      </c>
      <c r="AH5" s="45" t="s">
        <v>1519</v>
      </c>
      <c r="AI5" s="45" t="s">
        <v>1520</v>
      </c>
      <c r="AJ5" s="45" t="s">
        <v>1521</v>
      </c>
      <c r="AK5" s="45" t="s">
        <v>1522</v>
      </c>
      <c r="AL5" s="45" t="s">
        <v>1523</v>
      </c>
      <c r="AM5" s="45" t="s">
        <v>1524</v>
      </c>
      <c r="AN5" s="45" t="s">
        <v>1525</v>
      </c>
      <c r="AO5" s="45" t="s">
        <v>1526</v>
      </c>
      <c r="AP5" s="45" t="s">
        <v>1527</v>
      </c>
      <c r="AQ5" s="45" t="s">
        <v>1528</v>
      </c>
      <c r="AR5" s="45" t="s">
        <v>1529</v>
      </c>
      <c r="AS5" s="45" t="s">
        <v>1530</v>
      </c>
      <c r="AT5" s="45" t="s">
        <v>1531</v>
      </c>
      <c r="AU5" s="45" t="s">
        <v>1532</v>
      </c>
      <c r="AV5" s="45" t="s">
        <v>1533</v>
      </c>
    </row>
    <row r="6" spans="1:48" x14ac:dyDescent="0.2">
      <c r="A6" s="776"/>
      <c r="B6" s="202"/>
      <c r="C6" s="113"/>
      <c r="D6" s="113"/>
      <c r="E6" s="113"/>
      <c r="F6" s="113"/>
      <c r="G6" s="113"/>
      <c r="H6" s="113"/>
      <c r="I6" s="83"/>
      <c r="J6" s="83"/>
      <c r="K6" s="83"/>
      <c r="L6" s="83"/>
      <c r="M6" s="83" t="s">
        <v>1631</v>
      </c>
      <c r="N6" s="83"/>
      <c r="O6" s="83"/>
      <c r="P6" s="113"/>
      <c r="Q6" s="83" t="s">
        <v>823</v>
      </c>
      <c r="R6" s="83" t="s">
        <v>585</v>
      </c>
      <c r="S6" s="45" t="s">
        <v>824</v>
      </c>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row>
    <row r="7" spans="1:48"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c r="U7" s="9"/>
      <c r="V7" s="9"/>
      <c r="W7" s="9"/>
      <c r="X7" s="9"/>
      <c r="Y7" s="9"/>
      <c r="Z7" s="9"/>
      <c r="AA7" s="9"/>
      <c r="AB7" s="9"/>
      <c r="AC7" s="9"/>
      <c r="AD7" s="9"/>
      <c r="AE7" s="9"/>
      <c r="AF7" s="9"/>
      <c r="AG7" s="9"/>
      <c r="AH7" s="9"/>
      <c r="AI7" s="9"/>
      <c r="AJ7" s="9"/>
      <c r="AK7" s="9"/>
      <c r="AL7" s="9"/>
      <c r="AM7" s="9"/>
      <c r="AN7" s="9"/>
      <c r="AO7" s="9"/>
      <c r="AP7" s="9"/>
      <c r="AQ7" s="9"/>
      <c r="AR7" s="9"/>
      <c r="AS7" s="9"/>
      <c r="AT7" s="9"/>
      <c r="AU7" s="9"/>
      <c r="AV7" s="9"/>
    </row>
    <row r="8" spans="1:48" ht="14.25" thickTop="1" thickBot="1" x14ac:dyDescent="0.25">
      <c r="A8" s="796"/>
      <c r="B8" s="91" t="s">
        <v>1534</v>
      </c>
      <c r="C8" s="118"/>
      <c r="D8" s="18"/>
      <c r="E8" s="18"/>
      <c r="F8" s="18"/>
      <c r="G8" s="18"/>
      <c r="H8" s="18"/>
      <c r="I8" s="19"/>
      <c r="J8" s="19"/>
      <c r="K8" s="19"/>
      <c r="L8" s="19"/>
      <c r="M8" s="18"/>
      <c r="N8" s="19"/>
      <c r="O8" s="19"/>
      <c r="P8" s="18"/>
      <c r="Q8" s="19"/>
      <c r="R8" s="19"/>
      <c r="S8" s="19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row>
    <row r="9" spans="1:48" x14ac:dyDescent="0.2">
      <c r="A9" s="779" t="s">
        <v>1658</v>
      </c>
      <c r="B9" s="60" t="s">
        <v>1659</v>
      </c>
      <c r="C9" s="228"/>
      <c r="D9" s="218"/>
      <c r="E9" s="218"/>
      <c r="F9" s="218"/>
      <c r="G9" s="218"/>
      <c r="H9" s="218"/>
      <c r="I9" s="218"/>
      <c r="J9" s="218"/>
      <c r="K9" s="36"/>
      <c r="L9" s="36"/>
      <c r="M9" s="35"/>
      <c r="N9" s="36"/>
      <c r="O9" s="36">
        <v>44000</v>
      </c>
      <c r="P9" s="35">
        <v>44000</v>
      </c>
      <c r="Q9" s="36">
        <f>+V9</f>
        <v>63000</v>
      </c>
      <c r="R9" s="36"/>
      <c r="S9" s="36"/>
      <c r="U9" s="35">
        <v>44000</v>
      </c>
      <c r="V9" s="35">
        <v>63000</v>
      </c>
      <c r="W9" s="35">
        <v>67000</v>
      </c>
      <c r="X9" s="35">
        <v>67000</v>
      </c>
      <c r="Y9" s="35">
        <v>71000</v>
      </c>
      <c r="Z9" s="35">
        <v>70000</v>
      </c>
      <c r="AA9" s="35">
        <v>79000</v>
      </c>
      <c r="AB9" s="35">
        <v>77000</v>
      </c>
      <c r="AC9" s="35">
        <v>82000</v>
      </c>
      <c r="AD9" s="35">
        <v>81000</v>
      </c>
      <c r="AE9" s="35">
        <v>86000</v>
      </c>
      <c r="AF9" s="35">
        <v>85000</v>
      </c>
      <c r="AG9" s="35">
        <v>90000</v>
      </c>
      <c r="AH9" s="35">
        <v>90000</v>
      </c>
      <c r="AI9" s="35">
        <v>95000</v>
      </c>
      <c r="AJ9" s="35"/>
      <c r="AK9" s="35"/>
      <c r="AL9" s="35"/>
      <c r="AM9" s="35"/>
      <c r="AN9" s="35"/>
      <c r="AO9" s="35"/>
      <c r="AP9" s="35"/>
      <c r="AQ9" s="35"/>
      <c r="AR9" s="35"/>
      <c r="AS9" s="35"/>
      <c r="AT9" s="35"/>
      <c r="AU9" s="35"/>
      <c r="AV9" s="35"/>
    </row>
    <row r="10" spans="1:48" x14ac:dyDescent="0.2">
      <c r="A10" s="779" t="s">
        <v>1660</v>
      </c>
      <c r="B10" s="60" t="s">
        <v>1661</v>
      </c>
      <c r="C10" s="228"/>
      <c r="D10" s="218"/>
      <c r="E10" s="218"/>
      <c r="F10" s="218"/>
      <c r="G10" s="218"/>
      <c r="H10" s="218"/>
      <c r="I10" s="218"/>
      <c r="J10" s="218"/>
      <c r="K10" s="36"/>
      <c r="L10" s="36"/>
      <c r="M10" s="35"/>
      <c r="N10" s="36"/>
      <c r="O10" s="36">
        <v>3000</v>
      </c>
      <c r="P10" s="35">
        <v>3000</v>
      </c>
      <c r="Q10" s="36">
        <f>+V10</f>
        <v>4000</v>
      </c>
      <c r="R10" s="36"/>
      <c r="S10" s="36"/>
      <c r="U10" s="35">
        <v>3000</v>
      </c>
      <c r="V10" s="35">
        <v>4000</v>
      </c>
      <c r="W10" s="35">
        <v>4000</v>
      </c>
      <c r="X10" s="35">
        <v>4000</v>
      </c>
      <c r="Y10" s="35">
        <v>4000</v>
      </c>
      <c r="Z10" s="35">
        <v>4000</v>
      </c>
      <c r="AA10" s="35">
        <v>4000</v>
      </c>
      <c r="AB10" s="35">
        <v>5000</v>
      </c>
      <c r="AC10" s="35">
        <v>5000</v>
      </c>
      <c r="AD10" s="35">
        <v>5000</v>
      </c>
      <c r="AE10" s="35">
        <v>5000</v>
      </c>
      <c r="AF10" s="35">
        <v>5000</v>
      </c>
      <c r="AG10" s="35">
        <v>5000</v>
      </c>
      <c r="AH10" s="35">
        <v>5000</v>
      </c>
      <c r="AI10" s="35">
        <v>5000</v>
      </c>
      <c r="AJ10" s="35"/>
      <c r="AK10" s="35"/>
      <c r="AL10" s="35"/>
      <c r="AM10" s="35"/>
      <c r="AN10" s="35"/>
      <c r="AO10" s="35"/>
      <c r="AP10" s="35"/>
      <c r="AQ10" s="35"/>
      <c r="AR10" s="35"/>
      <c r="AS10" s="35"/>
      <c r="AT10" s="35"/>
      <c r="AU10" s="35"/>
      <c r="AV10" s="35"/>
    </row>
    <row r="11" spans="1:48" ht="13.5" thickBot="1" x14ac:dyDescent="0.25">
      <c r="A11" s="779"/>
      <c r="B11" s="12"/>
      <c r="C11" s="15"/>
      <c r="D11" s="263"/>
      <c r="E11" s="263"/>
      <c r="F11" s="263"/>
      <c r="G11" s="263"/>
      <c r="H11" s="263"/>
      <c r="I11" s="263"/>
      <c r="J11" s="263"/>
      <c r="K11" s="155"/>
      <c r="L11" s="155"/>
      <c r="M11" s="263"/>
      <c r="N11" s="155"/>
      <c r="O11" s="155"/>
      <c r="P11" s="15"/>
      <c r="Q11" s="155"/>
      <c r="R11" s="155"/>
      <c r="S11" s="15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row>
    <row r="12" spans="1:48" x14ac:dyDescent="0.2">
      <c r="A12" s="779"/>
      <c r="B12" s="17" t="s">
        <v>1534</v>
      </c>
      <c r="C12" s="18">
        <f t="shared" ref="C12:Q12" si="0">SUM(C9:C11)</f>
        <v>0</v>
      </c>
      <c r="D12" s="18">
        <f t="shared" si="0"/>
        <v>0</v>
      </c>
      <c r="E12" s="18">
        <f t="shared" si="0"/>
        <v>0</v>
      </c>
      <c r="F12" s="18">
        <f t="shared" si="0"/>
        <v>0</v>
      </c>
      <c r="G12" s="18">
        <f t="shared" si="0"/>
        <v>0</v>
      </c>
      <c r="H12" s="18">
        <f t="shared" si="0"/>
        <v>0</v>
      </c>
      <c r="I12" s="18">
        <f t="shared" si="0"/>
        <v>0</v>
      </c>
      <c r="J12" s="18">
        <f t="shared" si="0"/>
        <v>0</v>
      </c>
      <c r="K12" s="19">
        <f t="shared" si="0"/>
        <v>0</v>
      </c>
      <c r="L12" s="19">
        <f t="shared" ref="L12:O12" si="1">SUM(L9:L11)</f>
        <v>0</v>
      </c>
      <c r="M12" s="18">
        <f t="shared" si="1"/>
        <v>0</v>
      </c>
      <c r="N12" s="19"/>
      <c r="O12" s="19">
        <f t="shared" si="1"/>
        <v>47000</v>
      </c>
      <c r="P12" s="18">
        <f t="shared" si="0"/>
        <v>47000</v>
      </c>
      <c r="Q12" s="19">
        <f t="shared" si="0"/>
        <v>67000</v>
      </c>
      <c r="R12" s="19"/>
      <c r="S12" s="19">
        <f>+Q12</f>
        <v>67000</v>
      </c>
      <c r="U12" s="18">
        <f t="shared" ref="U12:AV12" si="2">SUM(U9:U11)</f>
        <v>47000</v>
      </c>
      <c r="V12" s="18">
        <f t="shared" si="2"/>
        <v>67000</v>
      </c>
      <c r="W12" s="18">
        <f t="shared" si="2"/>
        <v>71000</v>
      </c>
      <c r="X12" s="18">
        <f t="shared" si="2"/>
        <v>71000</v>
      </c>
      <c r="Y12" s="18">
        <f t="shared" si="2"/>
        <v>75000</v>
      </c>
      <c r="Z12" s="18">
        <f t="shared" si="2"/>
        <v>74000</v>
      </c>
      <c r="AA12" s="18">
        <f t="shared" si="2"/>
        <v>83000</v>
      </c>
      <c r="AB12" s="18">
        <f t="shared" si="2"/>
        <v>82000</v>
      </c>
      <c r="AC12" s="18">
        <f t="shared" si="2"/>
        <v>87000</v>
      </c>
      <c r="AD12" s="18">
        <f t="shared" si="2"/>
        <v>86000</v>
      </c>
      <c r="AE12" s="18">
        <f t="shared" si="2"/>
        <v>91000</v>
      </c>
      <c r="AF12" s="18">
        <f t="shared" si="2"/>
        <v>90000</v>
      </c>
      <c r="AG12" s="18">
        <f t="shared" si="2"/>
        <v>95000</v>
      </c>
      <c r="AH12" s="18">
        <f t="shared" si="2"/>
        <v>95000</v>
      </c>
      <c r="AI12" s="18">
        <f t="shared" si="2"/>
        <v>100000</v>
      </c>
      <c r="AJ12" s="18">
        <f t="shared" si="2"/>
        <v>0</v>
      </c>
      <c r="AK12" s="18">
        <f t="shared" si="2"/>
        <v>0</v>
      </c>
      <c r="AL12" s="18">
        <f t="shared" si="2"/>
        <v>0</v>
      </c>
      <c r="AM12" s="18">
        <f t="shared" si="2"/>
        <v>0</v>
      </c>
      <c r="AN12" s="18">
        <f t="shared" si="2"/>
        <v>0</v>
      </c>
      <c r="AO12" s="18">
        <f t="shared" si="2"/>
        <v>0</v>
      </c>
      <c r="AP12" s="18">
        <f t="shared" si="2"/>
        <v>0</v>
      </c>
      <c r="AQ12" s="18">
        <f t="shared" si="2"/>
        <v>0</v>
      </c>
      <c r="AR12" s="18">
        <f t="shared" si="2"/>
        <v>0</v>
      </c>
      <c r="AS12" s="18">
        <f t="shared" si="2"/>
        <v>0</v>
      </c>
      <c r="AT12" s="18">
        <f t="shared" si="2"/>
        <v>0</v>
      </c>
      <c r="AU12" s="18">
        <f t="shared" si="2"/>
        <v>0</v>
      </c>
      <c r="AV12" s="18">
        <f t="shared" si="2"/>
        <v>0</v>
      </c>
    </row>
    <row r="13" spans="1:48" x14ac:dyDescent="0.2">
      <c r="A13" s="779"/>
      <c r="B13" s="17"/>
      <c r="C13" s="18"/>
      <c r="D13" s="264"/>
      <c r="E13" s="264"/>
      <c r="F13" s="264"/>
      <c r="G13" s="264"/>
      <c r="H13" s="264"/>
      <c r="I13" s="264"/>
      <c r="J13" s="264"/>
      <c r="K13" s="151"/>
      <c r="L13" s="151"/>
      <c r="M13" s="264"/>
      <c r="N13" s="151"/>
      <c r="O13" s="151"/>
      <c r="P13" s="18"/>
      <c r="Q13" s="151"/>
      <c r="R13" s="151"/>
      <c r="S13" s="151"/>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row>
    <row r="14" spans="1:48" ht="13.5" thickBot="1" x14ac:dyDescent="0.25">
      <c r="A14" s="779"/>
      <c r="B14" s="90" t="s">
        <v>1557</v>
      </c>
      <c r="C14" s="13"/>
      <c r="D14" s="127"/>
      <c r="E14" s="127"/>
      <c r="F14" s="127"/>
      <c r="G14" s="127"/>
      <c r="H14" s="127"/>
      <c r="I14" s="127"/>
      <c r="J14" s="127"/>
      <c r="K14" s="152"/>
      <c r="L14" s="152"/>
      <c r="M14" s="127"/>
      <c r="N14" s="152"/>
      <c r="O14" s="152"/>
      <c r="P14" s="13"/>
      <c r="Q14" s="152"/>
      <c r="R14" s="152"/>
      <c r="S14" s="152"/>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row>
    <row r="15" spans="1:48" x14ac:dyDescent="0.2">
      <c r="A15" s="779" t="s">
        <v>1662</v>
      </c>
      <c r="B15" s="60" t="s">
        <v>1659</v>
      </c>
      <c r="C15" s="94"/>
      <c r="D15" s="265"/>
      <c r="E15" s="265"/>
      <c r="F15" s="265"/>
      <c r="G15" s="265"/>
      <c r="H15" s="265"/>
      <c r="I15" s="265"/>
      <c r="J15" s="265"/>
      <c r="K15" s="32"/>
      <c r="L15" s="32"/>
      <c r="M15" s="35">
        <v>3229.55</v>
      </c>
      <c r="N15" s="229">
        <v>3229.55</v>
      </c>
      <c r="O15" s="36">
        <v>51131</v>
      </c>
      <c r="P15" s="94">
        <v>34178.959999999999</v>
      </c>
      <c r="Q15" s="36">
        <f t="shared" ref="Q15:Q16" si="3">+V15</f>
        <v>32645</v>
      </c>
      <c r="R15" s="36"/>
      <c r="S15" s="36"/>
      <c r="U15" s="94">
        <v>51131.46</v>
      </c>
      <c r="V15" s="94">
        <v>32645</v>
      </c>
      <c r="W15" s="94">
        <v>30045</v>
      </c>
      <c r="X15" s="94">
        <v>27365</v>
      </c>
      <c r="Y15" s="94">
        <v>24605</v>
      </c>
      <c r="Z15" s="94">
        <v>21785</v>
      </c>
      <c r="AA15" s="94">
        <v>18805</v>
      </c>
      <c r="AB15" s="94">
        <v>15685</v>
      </c>
      <c r="AC15" s="94">
        <v>13304.5</v>
      </c>
      <c r="AD15" s="94">
        <v>11593.25</v>
      </c>
      <c r="AE15" s="94">
        <v>9755</v>
      </c>
      <c r="AF15" s="94">
        <v>7810</v>
      </c>
      <c r="AG15" s="94">
        <v>5775</v>
      </c>
      <c r="AH15" s="94">
        <v>3570</v>
      </c>
      <c r="AI15" s="94">
        <v>1211.25</v>
      </c>
      <c r="AJ15" s="94"/>
      <c r="AK15" s="94"/>
      <c r="AL15" s="94"/>
      <c r="AM15" s="94"/>
      <c r="AN15" s="94"/>
      <c r="AO15" s="94"/>
      <c r="AP15" s="94"/>
      <c r="AQ15" s="94"/>
      <c r="AR15" s="94"/>
      <c r="AS15" s="94"/>
      <c r="AT15" s="94"/>
      <c r="AU15" s="94"/>
      <c r="AV15" s="94"/>
    </row>
    <row r="16" spans="1:48" x14ac:dyDescent="0.2">
      <c r="A16" s="779" t="s">
        <v>1663</v>
      </c>
      <c r="B16" s="60" t="s">
        <v>1661</v>
      </c>
      <c r="C16" s="110"/>
      <c r="D16" s="266"/>
      <c r="E16" s="266"/>
      <c r="F16" s="266"/>
      <c r="G16" s="266"/>
      <c r="H16" s="266"/>
      <c r="I16" s="266"/>
      <c r="J16" s="266"/>
      <c r="K16" s="229"/>
      <c r="L16" s="229"/>
      <c r="M16" s="110"/>
      <c r="N16" s="229"/>
      <c r="O16" s="36">
        <v>2989</v>
      </c>
      <c r="P16" s="110">
        <v>2002.92</v>
      </c>
      <c r="Q16" s="36">
        <f t="shared" si="3"/>
        <v>1890</v>
      </c>
      <c r="R16" s="36"/>
      <c r="S16" s="36"/>
      <c r="U16" s="110">
        <v>2987.92</v>
      </c>
      <c r="V16" s="110">
        <v>1890</v>
      </c>
      <c r="W16" s="110">
        <v>1730</v>
      </c>
      <c r="X16" s="110">
        <v>1570</v>
      </c>
      <c r="Y16" s="110">
        <v>1410</v>
      </c>
      <c r="Z16" s="110">
        <v>1250</v>
      </c>
      <c r="AA16" s="110">
        <v>1090</v>
      </c>
      <c r="AB16" s="110">
        <v>910</v>
      </c>
      <c r="AC16" s="110">
        <v>758.75</v>
      </c>
      <c r="AD16" s="110">
        <v>653.75</v>
      </c>
      <c r="AE16" s="110">
        <v>543.75</v>
      </c>
      <c r="AF16" s="110">
        <v>430</v>
      </c>
      <c r="AG16" s="110">
        <v>313.75</v>
      </c>
      <c r="AH16" s="110">
        <v>191.25</v>
      </c>
      <c r="AI16" s="110">
        <v>63.75</v>
      </c>
      <c r="AJ16" s="110"/>
      <c r="AK16" s="110"/>
      <c r="AL16" s="110"/>
      <c r="AM16" s="110"/>
      <c r="AN16" s="110"/>
      <c r="AO16" s="110"/>
      <c r="AP16" s="110"/>
      <c r="AQ16" s="110"/>
      <c r="AR16" s="110"/>
      <c r="AS16" s="110"/>
      <c r="AT16" s="110"/>
      <c r="AU16" s="110"/>
      <c r="AV16" s="110"/>
    </row>
    <row r="17" spans="1:48" ht="13.5" thickBot="1" x14ac:dyDescent="0.25">
      <c r="A17" s="779"/>
      <c r="B17" s="12"/>
      <c r="C17" s="111"/>
      <c r="D17" s="267"/>
      <c r="E17" s="267"/>
      <c r="F17" s="267"/>
      <c r="G17" s="267"/>
      <c r="H17" s="267"/>
      <c r="I17" s="605"/>
      <c r="J17" s="605"/>
      <c r="K17" s="243"/>
      <c r="L17" s="243"/>
      <c r="M17" s="267"/>
      <c r="N17" s="243"/>
      <c r="O17" s="243"/>
      <c r="P17" s="111"/>
      <c r="Q17" s="243"/>
      <c r="R17" s="243"/>
      <c r="S17" s="155"/>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row>
    <row r="18" spans="1:48" x14ac:dyDescent="0.2">
      <c r="A18" s="779"/>
      <c r="B18" s="17" t="s">
        <v>1557</v>
      </c>
      <c r="C18" s="18">
        <f t="shared" ref="C18:Q18" si="4">SUM(C15:C17)</f>
        <v>0</v>
      </c>
      <c r="D18" s="18">
        <f t="shared" si="4"/>
        <v>0</v>
      </c>
      <c r="E18" s="18">
        <f t="shared" si="4"/>
        <v>0</v>
      </c>
      <c r="F18" s="18">
        <f t="shared" si="4"/>
        <v>0</v>
      </c>
      <c r="G18" s="18">
        <f t="shared" si="4"/>
        <v>0</v>
      </c>
      <c r="H18" s="18">
        <f t="shared" si="4"/>
        <v>0</v>
      </c>
      <c r="I18" s="112">
        <f t="shared" si="4"/>
        <v>0</v>
      </c>
      <c r="J18" s="112">
        <f t="shared" si="4"/>
        <v>0</v>
      </c>
      <c r="K18" s="19">
        <f t="shared" si="4"/>
        <v>0</v>
      </c>
      <c r="L18" s="19">
        <f t="shared" ref="L18:O18" si="5">SUM(L15:L17)</f>
        <v>0</v>
      </c>
      <c r="M18" s="18">
        <f t="shared" si="5"/>
        <v>3229.55</v>
      </c>
      <c r="N18" s="18">
        <f t="shared" ref="N18" si="6">SUM(N15:N17)</f>
        <v>3229.55</v>
      </c>
      <c r="O18" s="19">
        <f t="shared" si="5"/>
        <v>54120</v>
      </c>
      <c r="P18" s="18">
        <f t="shared" si="4"/>
        <v>36181.879999999997</v>
      </c>
      <c r="Q18" s="19">
        <f t="shared" si="4"/>
        <v>34535</v>
      </c>
      <c r="R18" s="19"/>
      <c r="S18" s="19">
        <f>+Q18</f>
        <v>34535</v>
      </c>
      <c r="U18" s="18">
        <f t="shared" ref="U18:AV18" si="7">SUM(U15:U17)</f>
        <v>54119.38</v>
      </c>
      <c r="V18" s="18">
        <f t="shared" si="7"/>
        <v>34535</v>
      </c>
      <c r="W18" s="18">
        <f t="shared" si="7"/>
        <v>31775</v>
      </c>
      <c r="X18" s="18">
        <f t="shared" si="7"/>
        <v>28935</v>
      </c>
      <c r="Y18" s="18">
        <f t="shared" si="7"/>
        <v>26015</v>
      </c>
      <c r="Z18" s="18">
        <f t="shared" si="7"/>
        <v>23035</v>
      </c>
      <c r="AA18" s="18">
        <f t="shared" si="7"/>
        <v>19895</v>
      </c>
      <c r="AB18" s="18">
        <f t="shared" si="7"/>
        <v>16595</v>
      </c>
      <c r="AC18" s="18">
        <f t="shared" si="7"/>
        <v>14063.25</v>
      </c>
      <c r="AD18" s="18">
        <f t="shared" si="7"/>
        <v>12247</v>
      </c>
      <c r="AE18" s="18">
        <f t="shared" si="7"/>
        <v>10298.75</v>
      </c>
      <c r="AF18" s="18">
        <f t="shared" si="7"/>
        <v>8240</v>
      </c>
      <c r="AG18" s="18">
        <f t="shared" si="7"/>
        <v>6088.75</v>
      </c>
      <c r="AH18" s="18">
        <f t="shared" si="7"/>
        <v>3761.25</v>
      </c>
      <c r="AI18" s="18">
        <f t="shared" si="7"/>
        <v>1275</v>
      </c>
      <c r="AJ18" s="18">
        <f t="shared" si="7"/>
        <v>0</v>
      </c>
      <c r="AK18" s="18">
        <f t="shared" si="7"/>
        <v>0</v>
      </c>
      <c r="AL18" s="18">
        <f t="shared" si="7"/>
        <v>0</v>
      </c>
      <c r="AM18" s="18">
        <f t="shared" si="7"/>
        <v>0</v>
      </c>
      <c r="AN18" s="18">
        <f t="shared" si="7"/>
        <v>0</v>
      </c>
      <c r="AO18" s="18">
        <f t="shared" si="7"/>
        <v>0</v>
      </c>
      <c r="AP18" s="18">
        <f t="shared" si="7"/>
        <v>0</v>
      </c>
      <c r="AQ18" s="18">
        <f t="shared" si="7"/>
        <v>0</v>
      </c>
      <c r="AR18" s="18">
        <f t="shared" si="7"/>
        <v>0</v>
      </c>
      <c r="AS18" s="18">
        <f t="shared" si="7"/>
        <v>0</v>
      </c>
      <c r="AT18" s="18">
        <f t="shared" si="7"/>
        <v>0</v>
      </c>
      <c r="AU18" s="18">
        <f t="shared" si="7"/>
        <v>0</v>
      </c>
      <c r="AV18" s="18">
        <f t="shared" si="7"/>
        <v>0</v>
      </c>
    </row>
    <row r="19" spans="1:48" x14ac:dyDescent="0.2">
      <c r="A19" s="779"/>
      <c r="B19" s="12"/>
      <c r="C19" s="13"/>
      <c r="D19" s="127"/>
      <c r="E19" s="127"/>
      <c r="F19" s="127"/>
      <c r="G19" s="127"/>
      <c r="H19" s="127"/>
      <c r="I19" s="127"/>
      <c r="J19" s="127"/>
      <c r="K19" s="152"/>
      <c r="L19" s="152"/>
      <c r="M19" s="127"/>
      <c r="N19" s="127"/>
      <c r="O19" s="152"/>
      <c r="P19" s="13"/>
      <c r="Q19" s="152"/>
      <c r="R19" s="152"/>
      <c r="S19" s="152"/>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row>
    <row r="20" spans="1:48" x14ac:dyDescent="0.2">
      <c r="A20" s="779"/>
      <c r="B20" s="12"/>
      <c r="C20" s="13"/>
      <c r="D20" s="13"/>
      <c r="E20" s="13"/>
      <c r="F20" s="13"/>
      <c r="G20" s="13"/>
      <c r="H20" s="13"/>
      <c r="I20" s="13"/>
      <c r="J20" s="13"/>
      <c r="K20" s="14"/>
      <c r="L20" s="14"/>
      <c r="M20" s="13"/>
      <c r="N20" s="13"/>
      <c r="O20" s="14"/>
      <c r="P20" s="13"/>
      <c r="Q20" s="14"/>
      <c r="R20" s="14"/>
      <c r="S20" s="14"/>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row>
    <row r="21" spans="1:48" ht="13.5" thickBot="1" x14ac:dyDescent="0.25">
      <c r="A21" s="780"/>
      <c r="B21" s="20" t="s">
        <v>1664</v>
      </c>
      <c r="C21" s="21">
        <f>+C18+C12</f>
        <v>0</v>
      </c>
      <c r="D21" s="21">
        <f t="shared" ref="D21:S21" si="8">+D18+D12</f>
        <v>0</v>
      </c>
      <c r="E21" s="21">
        <f t="shared" si="8"/>
        <v>0</v>
      </c>
      <c r="F21" s="21">
        <f t="shared" si="8"/>
        <v>0</v>
      </c>
      <c r="G21" s="21">
        <f t="shared" si="8"/>
        <v>0</v>
      </c>
      <c r="H21" s="21">
        <f t="shared" si="8"/>
        <v>0</v>
      </c>
      <c r="I21" s="21">
        <f t="shared" si="8"/>
        <v>0</v>
      </c>
      <c r="J21" s="21">
        <f t="shared" si="8"/>
        <v>0</v>
      </c>
      <c r="K21" s="21">
        <f t="shared" si="8"/>
        <v>0</v>
      </c>
      <c r="L21" s="21">
        <f t="shared" ref="L21:O21" si="9">+L18+L12</f>
        <v>0</v>
      </c>
      <c r="M21" s="21">
        <f t="shared" si="9"/>
        <v>3229.55</v>
      </c>
      <c r="N21" s="21">
        <f t="shared" ref="N21" si="10">+N18+N12</f>
        <v>3229.55</v>
      </c>
      <c r="O21" s="556">
        <f t="shared" si="9"/>
        <v>101120</v>
      </c>
      <c r="P21" s="21">
        <f t="shared" si="8"/>
        <v>83181.88</v>
      </c>
      <c r="Q21" s="21">
        <f t="shared" si="8"/>
        <v>101535</v>
      </c>
      <c r="R21" s="21">
        <f>+Q21</f>
        <v>101535</v>
      </c>
      <c r="S21" s="21">
        <f t="shared" si="8"/>
        <v>101535</v>
      </c>
      <c r="U21" s="21">
        <f t="shared" ref="U21:AV21" si="11">+U18+U12</f>
        <v>101119.38</v>
      </c>
      <c r="V21" s="21">
        <f t="shared" si="11"/>
        <v>101535</v>
      </c>
      <c r="W21" s="21">
        <f t="shared" si="11"/>
        <v>102775</v>
      </c>
      <c r="X21" s="21">
        <f t="shared" si="11"/>
        <v>99935</v>
      </c>
      <c r="Y21" s="21">
        <f t="shared" si="11"/>
        <v>101015</v>
      </c>
      <c r="Z21" s="21">
        <f t="shared" si="11"/>
        <v>97035</v>
      </c>
      <c r="AA21" s="21">
        <f t="shared" si="11"/>
        <v>102895</v>
      </c>
      <c r="AB21" s="21">
        <f t="shared" si="11"/>
        <v>98595</v>
      </c>
      <c r="AC21" s="21">
        <f t="shared" si="11"/>
        <v>101063.25</v>
      </c>
      <c r="AD21" s="21">
        <f t="shared" si="11"/>
        <v>98247</v>
      </c>
      <c r="AE21" s="21">
        <f t="shared" si="11"/>
        <v>101298.75</v>
      </c>
      <c r="AF21" s="21">
        <f t="shared" si="11"/>
        <v>98240</v>
      </c>
      <c r="AG21" s="21">
        <f t="shared" si="11"/>
        <v>101088.75</v>
      </c>
      <c r="AH21" s="21">
        <f t="shared" si="11"/>
        <v>98761.25</v>
      </c>
      <c r="AI21" s="21">
        <f t="shared" si="11"/>
        <v>101275</v>
      </c>
      <c r="AJ21" s="21">
        <f t="shared" si="11"/>
        <v>0</v>
      </c>
      <c r="AK21" s="21">
        <f t="shared" si="11"/>
        <v>0</v>
      </c>
      <c r="AL21" s="21">
        <f t="shared" si="11"/>
        <v>0</v>
      </c>
      <c r="AM21" s="21">
        <f t="shared" si="11"/>
        <v>0</v>
      </c>
      <c r="AN21" s="21">
        <f t="shared" si="11"/>
        <v>0</v>
      </c>
      <c r="AO21" s="21">
        <f t="shared" si="11"/>
        <v>0</v>
      </c>
      <c r="AP21" s="21">
        <f t="shared" si="11"/>
        <v>0</v>
      </c>
      <c r="AQ21" s="21">
        <f t="shared" si="11"/>
        <v>0</v>
      </c>
      <c r="AR21" s="21">
        <f t="shared" si="11"/>
        <v>0</v>
      </c>
      <c r="AS21" s="21">
        <f t="shared" si="11"/>
        <v>0</v>
      </c>
      <c r="AT21" s="21">
        <f t="shared" si="11"/>
        <v>0</v>
      </c>
      <c r="AU21" s="21">
        <f t="shared" si="11"/>
        <v>0</v>
      </c>
      <c r="AV21" s="21">
        <f t="shared" si="11"/>
        <v>0</v>
      </c>
    </row>
    <row r="22" spans="1:48" ht="13.5" thickTop="1" x14ac:dyDescent="0.2">
      <c r="P22" s="199" t="s">
        <v>843</v>
      </c>
      <c r="Q22" s="1116">
        <f>+Q21-O21</f>
        <v>415</v>
      </c>
      <c r="R22" s="1117">
        <f>ROUND((+Q22/O21),4)</f>
        <v>4.1000000000000003E-3</v>
      </c>
    </row>
  </sheetData>
  <hyperlinks>
    <hyperlink ref="A1" location="'Working Budget with funding det'!A1" display="Main " xr:uid="{00000000-0004-0000-3700-000000000000}"/>
    <hyperlink ref="B1" location="'Table of Contents'!A1" display="TOC" xr:uid="{00000000-0004-0000-3700-000001000000}"/>
  </hyperlink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V66"/>
  <sheetViews>
    <sheetView topLeftCell="A12" workbookViewId="0">
      <selection activeCell="N30" sqref="N30"/>
    </sheetView>
  </sheetViews>
  <sheetFormatPr defaultRowHeight="12.75" x14ac:dyDescent="0.2"/>
  <cols>
    <col min="1" max="1" width="33.33203125" customWidth="1"/>
    <col min="2" max="5" width="14.33203125" hidden="1" customWidth="1"/>
    <col min="6" max="6" width="14.33203125" style="2" hidden="1" customWidth="1"/>
    <col min="7" max="7" width="12.6640625" style="2" hidden="1" customWidth="1"/>
    <col min="8" max="8" width="12.6640625" hidden="1" customWidth="1"/>
    <col min="9" max="9" width="12.6640625" style="2" customWidth="1"/>
    <col min="10" max="12" width="12.1640625" customWidth="1"/>
    <col min="13" max="16" width="10.5" customWidth="1"/>
    <col min="17" max="17" width="13" bestFit="1" customWidth="1"/>
  </cols>
  <sheetData>
    <row r="1" spans="1:17" x14ac:dyDescent="0.2">
      <c r="A1" s="308" t="s">
        <v>197</v>
      </c>
      <c r="B1" s="3" t="s">
        <v>267</v>
      </c>
      <c r="C1" s="289" t="s">
        <v>268</v>
      </c>
      <c r="D1" s="289" t="s">
        <v>269</v>
      </c>
      <c r="E1" s="289" t="s">
        <v>270</v>
      </c>
      <c r="F1" s="289" t="s">
        <v>271</v>
      </c>
      <c r="G1" s="289" t="s">
        <v>272</v>
      </c>
      <c r="H1" s="289" t="s">
        <v>272</v>
      </c>
      <c r="I1" s="289" t="s">
        <v>273</v>
      </c>
      <c r="J1" s="289" t="s">
        <v>274</v>
      </c>
      <c r="K1" s="289" t="s">
        <v>275</v>
      </c>
      <c r="L1" s="289" t="s">
        <v>276</v>
      </c>
      <c r="M1" s="289" t="s">
        <v>277</v>
      </c>
      <c r="N1" s="289" t="s">
        <v>571</v>
      </c>
      <c r="O1" s="289" t="s">
        <v>277</v>
      </c>
    </row>
    <row r="2" spans="1:17" x14ac:dyDescent="0.2">
      <c r="B2" s="2"/>
      <c r="C2" s="2"/>
      <c r="D2" s="2"/>
      <c r="E2" s="280"/>
      <c r="F2" s="289"/>
      <c r="G2" s="289"/>
      <c r="H2" s="125" t="s">
        <v>278</v>
      </c>
      <c r="I2" s="3"/>
      <c r="J2" s="125"/>
      <c r="K2" s="125" t="s">
        <v>279</v>
      </c>
      <c r="L2" s="125" t="s">
        <v>279</v>
      </c>
      <c r="M2" s="125" t="s">
        <v>279</v>
      </c>
      <c r="N2" s="125" t="s">
        <v>279</v>
      </c>
      <c r="O2" s="125" t="s">
        <v>279</v>
      </c>
    </row>
    <row r="3" spans="1:17" x14ac:dyDescent="0.2">
      <c r="B3" s="3" t="s">
        <v>280</v>
      </c>
      <c r="C3" s="3" t="s">
        <v>280</v>
      </c>
      <c r="D3" s="3" t="s">
        <v>280</v>
      </c>
      <c r="E3" s="3" t="s">
        <v>280</v>
      </c>
      <c r="F3" s="362" t="s">
        <v>280</v>
      </c>
      <c r="G3" s="362" t="s">
        <v>280</v>
      </c>
      <c r="H3" s="3" t="s">
        <v>281</v>
      </c>
      <c r="I3" s="3" t="s">
        <v>281</v>
      </c>
      <c r="J3" s="3" t="s">
        <v>281</v>
      </c>
      <c r="K3" s="289" t="s">
        <v>282</v>
      </c>
      <c r="L3" s="289" t="s">
        <v>282</v>
      </c>
      <c r="M3" s="289" t="s">
        <v>283</v>
      </c>
      <c r="N3" s="289" t="s">
        <v>283</v>
      </c>
      <c r="O3" s="289" t="s">
        <v>283</v>
      </c>
    </row>
    <row r="4" spans="1:17" x14ac:dyDescent="0.2">
      <c r="B4" s="3"/>
      <c r="C4" s="3"/>
      <c r="D4" s="3"/>
      <c r="E4" s="3"/>
      <c r="F4" s="362"/>
      <c r="G4" s="3"/>
      <c r="H4" s="3"/>
      <c r="I4" s="3"/>
      <c r="J4" s="289"/>
      <c r="K4" s="289"/>
      <c r="L4" s="289"/>
    </row>
    <row r="5" spans="1:17" x14ac:dyDescent="0.2">
      <c r="B5" s="3"/>
      <c r="C5" s="3"/>
      <c r="D5" s="3"/>
      <c r="E5" s="3"/>
      <c r="F5" s="362"/>
      <c r="G5" s="3"/>
      <c r="H5" s="3"/>
      <c r="I5" s="3"/>
      <c r="J5" s="289"/>
      <c r="K5" s="289"/>
      <c r="L5" s="289"/>
    </row>
    <row r="6" spans="1:17" x14ac:dyDescent="0.2">
      <c r="A6" s="220" t="s">
        <v>284</v>
      </c>
      <c r="B6" s="3"/>
      <c r="C6" s="3"/>
      <c r="D6" s="3"/>
      <c r="E6" s="3"/>
      <c r="F6" s="362"/>
      <c r="G6" s="3"/>
      <c r="H6" s="3"/>
      <c r="I6" s="220"/>
      <c r="J6" s="2">
        <f>2320727+215000</f>
        <v>2535727</v>
      </c>
      <c r="K6" s="2">
        <v>2419509</v>
      </c>
      <c r="L6" s="2">
        <v>2586971</v>
      </c>
      <c r="M6" s="2">
        <f>+'Working Budget with funding det'!O118</f>
        <v>2877652</v>
      </c>
      <c r="N6" s="2">
        <f>+'Working Budget with funding det'!R27+'Working Budget with funding det'!S118</f>
        <v>3006205</v>
      </c>
      <c r="O6" s="2"/>
      <c r="P6" s="2"/>
    </row>
    <row r="7" spans="1:17" x14ac:dyDescent="0.2">
      <c r="B7" s="2"/>
      <c r="C7" s="2"/>
      <c r="D7" s="2"/>
      <c r="E7" s="2"/>
    </row>
    <row r="8" spans="1:17" x14ac:dyDescent="0.2">
      <c r="A8" t="s">
        <v>285</v>
      </c>
      <c r="B8" s="1">
        <v>2350.96</v>
      </c>
      <c r="C8" s="1">
        <v>0</v>
      </c>
      <c r="D8" s="1">
        <v>1692.14</v>
      </c>
      <c r="E8" s="1">
        <v>915.89</v>
      </c>
      <c r="F8" s="65">
        <v>3690.7</v>
      </c>
      <c r="G8" s="2">
        <v>1126.17</v>
      </c>
      <c r="H8" s="1">
        <v>1126</v>
      </c>
      <c r="I8" s="65">
        <v>150</v>
      </c>
      <c r="J8" s="65">
        <v>253261.08</v>
      </c>
      <c r="K8" s="933">
        <v>3444.54</v>
      </c>
      <c r="L8" s="933">
        <v>7516</v>
      </c>
    </row>
    <row r="9" spans="1:17" x14ac:dyDescent="0.2">
      <c r="A9" t="s">
        <v>286</v>
      </c>
      <c r="B9" s="1">
        <v>62417.56</v>
      </c>
      <c r="C9" s="1">
        <v>46780.02</v>
      </c>
      <c r="D9" s="1">
        <v>47273.919999999998</v>
      </c>
      <c r="E9" s="1">
        <v>47707.63</v>
      </c>
      <c r="F9" s="65">
        <v>51027.91</v>
      </c>
      <c r="G9" s="2">
        <v>76073.2</v>
      </c>
      <c r="H9" s="2">
        <v>16336</v>
      </c>
      <c r="I9" s="2">
        <v>60437</v>
      </c>
      <c r="J9" s="2">
        <v>107621.26</v>
      </c>
      <c r="K9" s="2">
        <v>112117.6</v>
      </c>
      <c r="L9" s="2">
        <v>76504</v>
      </c>
    </row>
    <row r="10" spans="1:17" x14ac:dyDescent="0.2">
      <c r="A10" t="s">
        <v>287</v>
      </c>
      <c r="B10" s="1">
        <v>9171.98</v>
      </c>
      <c r="C10" s="1">
        <v>7515.76</v>
      </c>
      <c r="D10" s="1">
        <v>8456.99</v>
      </c>
      <c r="E10" s="1">
        <v>7627.72</v>
      </c>
      <c r="F10" s="65">
        <v>8923.08</v>
      </c>
      <c r="G10" s="65">
        <v>8025.77</v>
      </c>
      <c r="H10" s="65">
        <v>4578</v>
      </c>
      <c r="I10" s="65">
        <v>7357</v>
      </c>
      <c r="J10" s="65">
        <v>66825.37</v>
      </c>
      <c r="K10" s="2">
        <v>15558.03</v>
      </c>
      <c r="L10" s="2">
        <v>15548</v>
      </c>
      <c r="M10" s="2">
        <v>10000</v>
      </c>
      <c r="N10" s="2">
        <v>10000</v>
      </c>
      <c r="O10" s="2"/>
    </row>
    <row r="11" spans="1:17" x14ac:dyDescent="0.2">
      <c r="A11" t="s">
        <v>288</v>
      </c>
      <c r="B11" s="1">
        <v>570636.03</v>
      </c>
      <c r="C11" s="1">
        <v>522990.59</v>
      </c>
      <c r="D11" s="1">
        <v>429726.67</v>
      </c>
      <c r="E11" s="1">
        <v>389061.1</v>
      </c>
      <c r="F11" s="65">
        <v>341688.21</v>
      </c>
      <c r="G11" s="65">
        <v>206054.04</v>
      </c>
      <c r="H11" s="65">
        <f>18971+111265</f>
        <v>130236</v>
      </c>
      <c r="I11" s="65">
        <v>415437</v>
      </c>
      <c r="J11" s="65">
        <v>460864.76</v>
      </c>
      <c r="K11" s="2">
        <v>370134.11</v>
      </c>
      <c r="L11" s="2">
        <v>509669</v>
      </c>
      <c r="M11" s="2">
        <v>517440</v>
      </c>
      <c r="N11" s="2">
        <v>400000</v>
      </c>
      <c r="O11" s="2"/>
      <c r="P11" s="2"/>
      <c r="Q11" s="306" t="s">
        <v>289</v>
      </c>
    </row>
    <row r="12" spans="1:17" x14ac:dyDescent="0.2">
      <c r="A12" t="s">
        <v>290</v>
      </c>
      <c r="B12" s="1">
        <v>785756.91</v>
      </c>
      <c r="C12" s="1">
        <v>782475.45</v>
      </c>
      <c r="D12" s="1">
        <v>769534.7</v>
      </c>
      <c r="E12" s="1">
        <v>834113.89</v>
      </c>
      <c r="F12" s="65">
        <v>947012.31</v>
      </c>
      <c r="G12" s="290">
        <v>953505.81</v>
      </c>
      <c r="H12" s="290">
        <v>472871</v>
      </c>
      <c r="I12" s="65">
        <v>1598066</v>
      </c>
      <c r="J12" s="65">
        <v>1575572.53</v>
      </c>
      <c r="K12" s="2">
        <v>1709955.71</v>
      </c>
      <c r="L12" s="2">
        <v>1752954</v>
      </c>
      <c r="M12" s="2">
        <v>1941057</v>
      </c>
      <c r="N12" s="2">
        <f>961007*2</f>
        <v>1922014</v>
      </c>
      <c r="O12" s="2"/>
      <c r="P12" s="2"/>
      <c r="Q12" s="306" t="s">
        <v>2376</v>
      </c>
    </row>
    <row r="13" spans="1:17" x14ac:dyDescent="0.2">
      <c r="A13" t="s">
        <v>291</v>
      </c>
      <c r="B13" s="1">
        <v>178768.23</v>
      </c>
      <c r="C13" s="1">
        <v>231553.77</v>
      </c>
      <c r="D13" s="1">
        <v>262084.75</v>
      </c>
      <c r="E13" s="1">
        <v>293062.40000000002</v>
      </c>
      <c r="F13" s="65">
        <v>271886.17</v>
      </c>
      <c r="G13" s="65">
        <v>263099.2</v>
      </c>
      <c r="H13" s="65">
        <f>3697+188037</f>
        <v>191734</v>
      </c>
      <c r="I13" s="65">
        <v>211265</v>
      </c>
      <c r="J13" s="65">
        <v>53327.5</v>
      </c>
      <c r="K13" s="2">
        <v>49121</v>
      </c>
      <c r="L13" s="2">
        <v>173818</v>
      </c>
      <c r="M13" s="2">
        <v>146400</v>
      </c>
      <c r="N13" s="2">
        <v>218000</v>
      </c>
      <c r="O13" s="2"/>
      <c r="P13" s="2"/>
      <c r="Q13" s="306" t="s">
        <v>2377</v>
      </c>
    </row>
    <row r="14" spans="1:17" x14ac:dyDescent="0.2">
      <c r="A14" t="s">
        <v>292</v>
      </c>
      <c r="B14" s="1">
        <v>45499.24</v>
      </c>
      <c r="C14" s="1">
        <v>184592.92</v>
      </c>
      <c r="D14" s="1">
        <v>327232.28999999998</v>
      </c>
      <c r="E14" s="1">
        <v>483853.95</v>
      </c>
      <c r="F14" s="65">
        <v>106044.93</v>
      </c>
      <c r="G14" s="65">
        <v>79691.28</v>
      </c>
      <c r="H14" s="65">
        <v>79691</v>
      </c>
      <c r="I14" s="65"/>
      <c r="J14" s="65"/>
      <c r="Q14" s="306"/>
    </row>
    <row r="15" spans="1:17" x14ac:dyDescent="0.2">
      <c r="A15" t="s">
        <v>293</v>
      </c>
      <c r="B15" s="1">
        <v>167.51</v>
      </c>
      <c r="C15" s="1">
        <v>144.52000000000001</v>
      </c>
      <c r="D15" s="1">
        <v>78.22</v>
      </c>
      <c r="E15" s="1">
        <v>36.78</v>
      </c>
      <c r="F15" s="65">
        <v>24.84</v>
      </c>
      <c r="G15" s="2">
        <v>3.03</v>
      </c>
      <c r="H15" s="2">
        <v>2</v>
      </c>
      <c r="I15" s="2">
        <v>3</v>
      </c>
      <c r="J15" s="2">
        <v>3.01</v>
      </c>
      <c r="K15" s="2">
        <v>3</v>
      </c>
      <c r="L15" s="2">
        <v>3</v>
      </c>
      <c r="Q15" s="306"/>
    </row>
    <row r="16" spans="1:17" x14ac:dyDescent="0.2">
      <c r="A16" t="s">
        <v>294</v>
      </c>
      <c r="B16" s="1"/>
      <c r="C16" s="1">
        <v>6689.5</v>
      </c>
      <c r="D16" s="1">
        <f>532.96-1430.76</f>
        <v>-897.8</v>
      </c>
      <c r="E16" s="1">
        <v>60.78</v>
      </c>
      <c r="F16" s="65">
        <v>120271.51</v>
      </c>
      <c r="G16" s="2">
        <v>894</v>
      </c>
      <c r="H16" s="2">
        <v>894</v>
      </c>
      <c r="I16" s="2">
        <f>335+493+410</f>
        <v>1238</v>
      </c>
      <c r="J16" s="2">
        <f>105+1818.08</f>
        <v>1923.08</v>
      </c>
      <c r="K16" s="2">
        <f>212.16+105</f>
        <v>317.15999999999997</v>
      </c>
      <c r="L16" s="2">
        <f>355+5715</f>
        <v>6070</v>
      </c>
    </row>
    <row r="17" spans="1:22" x14ac:dyDescent="0.2">
      <c r="A17" t="s">
        <v>295</v>
      </c>
      <c r="B17" s="1">
        <v>42360.77</v>
      </c>
      <c r="C17" s="1">
        <v>39529.18</v>
      </c>
      <c r="D17" s="1">
        <v>36608.18</v>
      </c>
      <c r="E17" s="1">
        <v>31266.98</v>
      </c>
      <c r="F17" s="65">
        <v>27250.13</v>
      </c>
      <c r="G17" s="2">
        <v>4681.92</v>
      </c>
      <c r="H17" s="2">
        <v>4682</v>
      </c>
      <c r="J17" s="2"/>
    </row>
    <row r="18" spans="1:22" x14ac:dyDescent="0.2">
      <c r="A18" s="220" t="s">
        <v>296</v>
      </c>
      <c r="B18" s="1"/>
      <c r="C18" s="1"/>
      <c r="D18" s="1">
        <v>10337.09</v>
      </c>
      <c r="E18" s="1">
        <v>0</v>
      </c>
      <c r="F18" s="65"/>
      <c r="H18" s="2"/>
      <c r="J18" s="2">
        <v>2927.3</v>
      </c>
    </row>
    <row r="19" spans="1:22" x14ac:dyDescent="0.2">
      <c r="A19" t="s">
        <v>297</v>
      </c>
      <c r="B19" s="1">
        <v>209502</v>
      </c>
      <c r="C19" s="1">
        <v>180000</v>
      </c>
      <c r="D19" s="1">
        <v>200000</v>
      </c>
      <c r="E19" s="1">
        <v>200000</v>
      </c>
      <c r="F19" s="65">
        <v>201261</v>
      </c>
      <c r="G19" s="65">
        <v>310000</v>
      </c>
      <c r="H19" s="65">
        <v>200000</v>
      </c>
      <c r="I19" s="65">
        <v>200000</v>
      </c>
      <c r="J19" s="65">
        <v>215000</v>
      </c>
      <c r="K19" s="2">
        <v>220559</v>
      </c>
      <c r="L19" s="2">
        <v>251228</v>
      </c>
      <c r="M19" s="2">
        <v>266439</v>
      </c>
      <c r="N19" s="2">
        <f>+'Working Budget with funding det'!S118</f>
        <v>286900</v>
      </c>
      <c r="O19" s="2"/>
      <c r="P19" s="2"/>
    </row>
    <row r="20" spans="1:22" x14ac:dyDescent="0.2">
      <c r="A20" t="s">
        <v>298</v>
      </c>
      <c r="B20" s="1"/>
      <c r="C20" s="1">
        <v>24784.25</v>
      </c>
      <c r="D20" s="1"/>
      <c r="E20" s="1"/>
      <c r="F20" s="65">
        <v>0</v>
      </c>
      <c r="G20" s="53"/>
      <c r="H20" s="53"/>
      <c r="I20" s="53"/>
      <c r="J20" s="53"/>
      <c r="K20" s="934">
        <v>124560.47</v>
      </c>
      <c r="L20" s="934"/>
      <c r="M20" s="55"/>
      <c r="N20" s="55"/>
    </row>
    <row r="21" spans="1:22" x14ac:dyDescent="0.2">
      <c r="B21" s="1"/>
      <c r="C21" s="1"/>
      <c r="D21" s="1"/>
      <c r="E21" s="1"/>
      <c r="F21" s="65"/>
      <c r="H21" s="2"/>
      <c r="J21" s="2"/>
    </row>
    <row r="22" spans="1:22" x14ac:dyDescent="0.2">
      <c r="A22" t="s">
        <v>193</v>
      </c>
      <c r="B22" s="1">
        <f t="shared" ref="B22:G22" si="0">SUM(B7:B21)</f>
        <v>1906631.19</v>
      </c>
      <c r="C22" s="1">
        <f t="shared" si="0"/>
        <v>2027055.9599999997</v>
      </c>
      <c r="D22" s="1">
        <f t="shared" si="0"/>
        <v>2092127.15</v>
      </c>
      <c r="E22" s="1">
        <f t="shared" si="0"/>
        <v>2287707.12</v>
      </c>
      <c r="F22" s="65">
        <f t="shared" si="0"/>
        <v>2079080.7899999998</v>
      </c>
      <c r="G22" s="65">
        <f t="shared" si="0"/>
        <v>1903154.42</v>
      </c>
      <c r="H22" s="65">
        <f t="shared" ref="H22:N22" si="1">SUM(H7:H21)</f>
        <v>1102150</v>
      </c>
      <c r="I22" s="65">
        <f t="shared" si="1"/>
        <v>2493953</v>
      </c>
      <c r="J22" s="65">
        <f t="shared" si="1"/>
        <v>2737325.8899999997</v>
      </c>
      <c r="K22" s="65">
        <f t="shared" si="1"/>
        <v>2605770.6200000006</v>
      </c>
      <c r="L22" s="65">
        <f t="shared" ref="L22" si="2">SUM(L7:L21)</f>
        <v>2793310</v>
      </c>
      <c r="M22" s="65">
        <f t="shared" si="1"/>
        <v>2881336</v>
      </c>
      <c r="N22" s="65">
        <f t="shared" si="1"/>
        <v>2836914</v>
      </c>
      <c r="O22" s="65"/>
      <c r="P22" s="65"/>
    </row>
    <row r="23" spans="1:22" x14ac:dyDescent="0.2">
      <c r="A23" s="220" t="s">
        <v>299</v>
      </c>
      <c r="B23" s="1">
        <v>160000</v>
      </c>
      <c r="C23" s="1">
        <v>120000</v>
      </c>
      <c r="D23" s="1">
        <v>294000</v>
      </c>
      <c r="E23" s="1">
        <v>100000</v>
      </c>
      <c r="F23" s="2">
        <v>200000</v>
      </c>
      <c r="H23" s="2"/>
      <c r="J23" s="2"/>
    </row>
    <row r="24" spans="1:22" x14ac:dyDescent="0.2">
      <c r="A24" s="220"/>
      <c r="B24" s="1"/>
      <c r="C24" s="1"/>
      <c r="D24" s="1"/>
      <c r="E24" s="1"/>
      <c r="H24" s="2"/>
      <c r="J24" s="2"/>
    </row>
    <row r="25" spans="1:22" x14ac:dyDescent="0.2">
      <c r="A25" s="220" t="s">
        <v>300</v>
      </c>
      <c r="H25" s="2"/>
      <c r="I25" s="220"/>
      <c r="J25" s="2"/>
      <c r="M25" s="611">
        <f>+'661 440 CWF'!O64</f>
        <v>1962430</v>
      </c>
      <c r="N25" s="611">
        <f>+'661 440 CWF'!Q64</f>
        <v>2074229</v>
      </c>
      <c r="O25" s="611"/>
      <c r="P25" s="611"/>
      <c r="Q25" s="842">
        <v>440</v>
      </c>
      <c r="S25" s="220"/>
    </row>
    <row r="26" spans="1:22" x14ac:dyDescent="0.2">
      <c r="A26" s="220" t="s">
        <v>301</v>
      </c>
      <c r="H26" s="2"/>
      <c r="J26" s="2"/>
      <c r="M26" s="2">
        <f>+'661 449 Hwy'!O28</f>
        <v>50800</v>
      </c>
      <c r="N26" s="2">
        <f>+'661 449 Hwy'!Q28</f>
        <v>84650</v>
      </c>
      <c r="O26" s="2"/>
      <c r="P26" s="2"/>
      <c r="Q26" s="842">
        <v>449</v>
      </c>
    </row>
    <row r="27" spans="1:22" x14ac:dyDescent="0.2">
      <c r="A27" s="220" t="s">
        <v>302</v>
      </c>
      <c r="E27" s="220"/>
      <c r="M27" s="2">
        <f>+'661 700 CWF Debt'!O61</f>
        <v>505270</v>
      </c>
      <c r="N27" s="2">
        <f>+'661 700 CWF Debt'!Q61</f>
        <v>483614.05</v>
      </c>
      <c r="O27" s="2"/>
      <c r="P27" s="2"/>
      <c r="Q27" s="842">
        <v>710</v>
      </c>
      <c r="S27" s="2"/>
    </row>
    <row r="28" spans="1:22" x14ac:dyDescent="0.2">
      <c r="A28" s="220" t="s">
        <v>303</v>
      </c>
      <c r="E28" s="220"/>
      <c r="M28" s="2">
        <f>+'661 910 CWF Benefits'!O18</f>
        <v>359152</v>
      </c>
      <c r="N28" s="2">
        <f>+'661 910 CWF Benefits'!Q18</f>
        <v>363631</v>
      </c>
      <c r="O28" s="2"/>
      <c r="P28" s="2"/>
      <c r="Q28" s="842">
        <v>910</v>
      </c>
      <c r="S28" s="290"/>
    </row>
    <row r="29" spans="1:22" x14ac:dyDescent="0.2">
      <c r="A29" s="220" t="s">
        <v>304</v>
      </c>
      <c r="E29" s="220"/>
      <c r="M29" s="2"/>
      <c r="N29" s="2"/>
      <c r="O29" s="2"/>
      <c r="P29" s="2"/>
      <c r="Q29" s="842"/>
      <c r="S29" s="290"/>
    </row>
    <row r="30" spans="1:22" x14ac:dyDescent="0.2">
      <c r="A30" s="220" t="s">
        <v>305</v>
      </c>
      <c r="E30" s="220"/>
      <c r="M30" s="53"/>
      <c r="N30" s="739"/>
      <c r="O30" s="1118"/>
      <c r="P30" s="2"/>
      <c r="Q30" s="2" t="s">
        <v>306</v>
      </c>
      <c r="S30" s="290"/>
      <c r="T30" t="s">
        <v>307</v>
      </c>
      <c r="U30" s="2">
        <v>28601</v>
      </c>
      <c r="V30" t="s">
        <v>308</v>
      </c>
    </row>
    <row r="31" spans="1:22" x14ac:dyDescent="0.2">
      <c r="A31" s="220"/>
      <c r="M31" s="2">
        <f>SUM(M25:M30)</f>
        <v>2877652</v>
      </c>
      <c r="N31" s="2">
        <f>SUM(N25:N30)</f>
        <v>3006124.05</v>
      </c>
      <c r="O31" s="2"/>
      <c r="P31" s="2"/>
      <c r="Q31" t="s">
        <v>309</v>
      </c>
      <c r="S31" s="2"/>
      <c r="T31" t="s">
        <v>310</v>
      </c>
      <c r="U31" s="2">
        <v>692</v>
      </c>
    </row>
    <row r="32" spans="1:22" x14ac:dyDescent="0.2">
      <c r="K32" s="2"/>
      <c r="L32" s="2"/>
      <c r="M32" s="2"/>
      <c r="N32" s="2"/>
      <c r="O32" s="2"/>
      <c r="P32" s="2"/>
      <c r="S32" s="2"/>
      <c r="T32" t="s">
        <v>311</v>
      </c>
      <c r="U32" s="2">
        <v>2682</v>
      </c>
    </row>
    <row r="33" spans="1:21" x14ac:dyDescent="0.2">
      <c r="A33" s="220"/>
      <c r="K33" s="2"/>
      <c r="L33" s="2"/>
      <c r="M33" s="2">
        <f>-M19-M13-M11</f>
        <v>-930279</v>
      </c>
      <c r="N33" s="2">
        <f>-N19-N13-N11</f>
        <v>-904900</v>
      </c>
      <c r="O33" s="2"/>
      <c r="P33" s="2"/>
      <c r="Q33" t="s">
        <v>312</v>
      </c>
      <c r="S33" s="2"/>
      <c r="T33" t="s">
        <v>313</v>
      </c>
      <c r="U33" s="2">
        <v>45000</v>
      </c>
    </row>
    <row r="34" spans="1:21" x14ac:dyDescent="0.2">
      <c r="A34" s="220"/>
      <c r="K34" s="290"/>
      <c r="L34" s="290"/>
      <c r="M34" s="290">
        <f>+M33+M31</f>
        <v>1947373</v>
      </c>
      <c r="N34" s="290">
        <f>+N33+N31</f>
        <v>2101224.0499999998</v>
      </c>
      <c r="O34" s="290"/>
      <c r="P34" s="290"/>
      <c r="Q34" t="s">
        <v>314</v>
      </c>
      <c r="S34" s="2"/>
      <c r="U34" s="2">
        <f>SUM(U30:U33)</f>
        <v>76975</v>
      </c>
    </row>
    <row r="35" spans="1:21" x14ac:dyDescent="0.2">
      <c r="A35" s="220"/>
      <c r="K35" s="2"/>
      <c r="L35" s="2"/>
      <c r="M35" s="2">
        <f>+M34-K12-50000</f>
        <v>187417.29000000004</v>
      </c>
      <c r="N35" s="2">
        <f>+N34-M12</f>
        <v>160167.04999999981</v>
      </c>
      <c r="O35" s="2"/>
      <c r="P35" s="2"/>
      <c r="Q35" s="220" t="s">
        <v>315</v>
      </c>
    </row>
    <row r="36" spans="1:21" x14ac:dyDescent="0.2">
      <c r="K36" s="124"/>
      <c r="L36" s="124"/>
      <c r="M36" s="124">
        <f>ROUND((+M35/K12),4)</f>
        <v>0.1096</v>
      </c>
      <c r="N36" s="740">
        <f>ROUND((+N35/M12),4)</f>
        <v>8.2500000000000004E-2</v>
      </c>
      <c r="O36" s="740"/>
      <c r="P36" s="124"/>
      <c r="Q36" s="220" t="s">
        <v>316</v>
      </c>
      <c r="U36" t="s">
        <v>317</v>
      </c>
    </row>
    <row r="37" spans="1:21" x14ac:dyDescent="0.2">
      <c r="A37" s="501"/>
      <c r="K37" s="124"/>
      <c r="L37" s="124"/>
      <c r="M37" s="124">
        <f>+M36</f>
        <v>0.1096</v>
      </c>
      <c r="N37" s="740">
        <f>+ROUND(((+N34-N30-M12)/M12),4)</f>
        <v>8.2500000000000004E-2</v>
      </c>
      <c r="O37" s="740"/>
      <c r="P37" s="124"/>
      <c r="Q37" t="s">
        <v>318</v>
      </c>
    </row>
    <row r="38" spans="1:21" x14ac:dyDescent="0.2">
      <c r="A38" s="220"/>
      <c r="Q38" s="2"/>
    </row>
    <row r="39" spans="1:21" x14ac:dyDescent="0.2">
      <c r="A39" s="220"/>
      <c r="Q39" s="2"/>
      <c r="S39" s="2"/>
    </row>
    <row r="40" spans="1:21" x14ac:dyDescent="0.2">
      <c r="A40" s="220"/>
      <c r="Q40" s="2"/>
      <c r="S40" s="2"/>
    </row>
    <row r="41" spans="1:21" x14ac:dyDescent="0.2">
      <c r="A41" s="220"/>
    </row>
    <row r="42" spans="1:21" x14ac:dyDescent="0.2">
      <c r="A42" s="220"/>
      <c r="G42" s="53"/>
    </row>
    <row r="43" spans="1:21" x14ac:dyDescent="0.2">
      <c r="A43" s="220"/>
    </row>
    <row r="45" spans="1:21" x14ac:dyDescent="0.2">
      <c r="A45" s="220"/>
    </row>
    <row r="47" spans="1:21" ht="15" x14ac:dyDescent="0.25">
      <c r="A47" s="221"/>
    </row>
    <row r="48" spans="1:21" ht="14.25" x14ac:dyDescent="0.2">
      <c r="A48" s="225"/>
    </row>
    <row r="50" spans="1:9" x14ac:dyDescent="0.2">
      <c r="A50" s="220"/>
    </row>
    <row r="53" spans="1:9" x14ac:dyDescent="0.2">
      <c r="B53" s="2"/>
      <c r="F53"/>
    </row>
    <row r="54" spans="1:9" x14ac:dyDescent="0.2">
      <c r="F54"/>
      <c r="I54"/>
    </row>
    <row r="55" spans="1:9" x14ac:dyDescent="0.2">
      <c r="F55"/>
      <c r="I55"/>
    </row>
    <row r="56" spans="1:9" x14ac:dyDescent="0.2">
      <c r="F56"/>
      <c r="I56"/>
    </row>
    <row r="57" spans="1:9" x14ac:dyDescent="0.2">
      <c r="F57"/>
      <c r="I57"/>
    </row>
    <row r="58" spans="1:9" x14ac:dyDescent="0.2">
      <c r="F58"/>
      <c r="I58"/>
    </row>
    <row r="59" spans="1:9" x14ac:dyDescent="0.2">
      <c r="F59"/>
      <c r="I59"/>
    </row>
    <row r="60" spans="1:9" x14ac:dyDescent="0.2">
      <c r="A60" s="220"/>
      <c r="F60"/>
      <c r="I60"/>
    </row>
    <row r="61" spans="1:9" x14ac:dyDescent="0.2">
      <c r="F61"/>
      <c r="I61" s="220"/>
    </row>
    <row r="62" spans="1:9" x14ac:dyDescent="0.2">
      <c r="F62"/>
      <c r="I62"/>
    </row>
    <row r="63" spans="1:9" x14ac:dyDescent="0.2">
      <c r="F63"/>
      <c r="G63" s="53"/>
      <c r="I63" s="220"/>
    </row>
    <row r="64" spans="1:9" x14ac:dyDescent="0.2">
      <c r="F64"/>
      <c r="I64"/>
    </row>
    <row r="66" spans="1:1" x14ac:dyDescent="0.2">
      <c r="A66" s="220"/>
    </row>
  </sheetData>
  <hyperlinks>
    <hyperlink ref="A1" location="'Table of Contents'!A1" display="TOC" xr:uid="{00000000-0004-0000-0200-000000000000}"/>
  </hyperlinks>
  <pageMargins left="0.7" right="0.7" top="0.75" bottom="0.75" header="0.3" footer="0.3"/>
  <pageSetup scale="91" orientation="landscape" r:id="rId1"/>
  <headerFooter>
    <oddFooter>&amp;L&amp;D &amp;T&amp;C&amp;F&amp;R&amp;A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B050"/>
  </sheetPr>
  <dimension ref="A1:T36"/>
  <sheetViews>
    <sheetView workbookViewId="0">
      <selection activeCell="Q15" sqref="Q15"/>
    </sheetView>
  </sheetViews>
  <sheetFormatPr defaultRowHeight="12.75" x14ac:dyDescent="0.2"/>
  <cols>
    <col min="1" max="1" width="10.1640625" style="783" customWidth="1"/>
    <col min="2" max="2" width="25.5" customWidth="1"/>
    <col min="3" max="8" width="0" hidden="1" customWidth="1"/>
    <col min="9" max="12" width="10.83203125" hidden="1" customWidth="1"/>
    <col min="13" max="19" width="10.83203125" customWidth="1"/>
  </cols>
  <sheetData>
    <row r="1" spans="1:20" x14ac:dyDescent="0.2">
      <c r="A1" s="793" t="s">
        <v>847</v>
      </c>
      <c r="B1" s="308" t="s">
        <v>197</v>
      </c>
      <c r="C1" s="97"/>
      <c r="D1" s="97"/>
      <c r="E1" s="97"/>
      <c r="F1" s="97"/>
      <c r="G1" s="97"/>
      <c r="H1" s="97"/>
      <c r="I1" s="97"/>
      <c r="J1" s="97"/>
      <c r="K1" s="97"/>
      <c r="L1" s="97"/>
      <c r="M1" s="97"/>
      <c r="N1" s="97"/>
      <c r="O1" s="97"/>
      <c r="P1" s="4"/>
      <c r="Q1" s="97"/>
      <c r="R1" s="97"/>
      <c r="S1" s="4"/>
    </row>
    <row r="2" spans="1:20" x14ac:dyDescent="0.2">
      <c r="A2" s="774" t="s">
        <v>1655</v>
      </c>
      <c r="B2" s="4"/>
      <c r="C2" s="97"/>
      <c r="D2" s="23"/>
      <c r="E2" s="97"/>
      <c r="F2" s="23"/>
      <c r="G2" s="23"/>
      <c r="H2" s="23"/>
      <c r="I2" s="97" t="s">
        <v>816</v>
      </c>
      <c r="J2" s="97"/>
      <c r="K2" s="320" t="s">
        <v>1665</v>
      </c>
      <c r="L2" s="320"/>
      <c r="M2" s="320"/>
      <c r="N2" s="320"/>
      <c r="O2" s="320"/>
      <c r="P2" s="97"/>
      <c r="Q2" s="74" t="s">
        <v>1666</v>
      </c>
      <c r="R2" s="74"/>
    </row>
    <row r="3" spans="1:20" ht="13.5" thickBot="1" x14ac:dyDescent="0.25">
      <c r="A3" s="774"/>
      <c r="B3" s="4"/>
      <c r="C3" s="97"/>
      <c r="D3" s="97"/>
      <c r="E3" s="97"/>
      <c r="F3" s="97"/>
      <c r="G3" s="97"/>
      <c r="H3" s="97"/>
      <c r="I3" s="97"/>
      <c r="J3" s="97"/>
      <c r="K3" s="97"/>
      <c r="L3" s="97"/>
      <c r="M3" s="97"/>
      <c r="N3" s="97"/>
      <c r="O3" s="97"/>
      <c r="P3" s="4"/>
      <c r="Q3" s="97"/>
      <c r="R3" s="97"/>
      <c r="S3" s="4"/>
    </row>
    <row r="4" spans="1:20" ht="13.5" thickTop="1" x14ac:dyDescent="0.2">
      <c r="A4" s="775"/>
      <c r="B4" s="542"/>
      <c r="C4" s="321" t="s">
        <v>280</v>
      </c>
      <c r="D4" s="321" t="s">
        <v>280</v>
      </c>
      <c r="E4" s="321" t="s">
        <v>280</v>
      </c>
      <c r="F4" s="321" t="s">
        <v>280</v>
      </c>
      <c r="G4" s="321" t="s">
        <v>280</v>
      </c>
      <c r="H4" s="322" t="s">
        <v>280</v>
      </c>
      <c r="I4" s="246" t="s">
        <v>280</v>
      </c>
      <c r="J4" s="246" t="s">
        <v>280</v>
      </c>
      <c r="K4" s="246" t="s">
        <v>279</v>
      </c>
      <c r="L4" s="246" t="s">
        <v>280</v>
      </c>
      <c r="M4" s="246" t="s">
        <v>279</v>
      </c>
      <c r="N4" s="246" t="s">
        <v>280</v>
      </c>
      <c r="O4" s="246" t="s">
        <v>279</v>
      </c>
      <c r="P4" s="322" t="s">
        <v>818</v>
      </c>
      <c r="Q4" s="79" t="s">
        <v>571</v>
      </c>
      <c r="R4" s="79" t="s">
        <v>571</v>
      </c>
      <c r="S4" s="7" t="s">
        <v>571</v>
      </c>
    </row>
    <row r="5" spans="1:20" x14ac:dyDescent="0.2">
      <c r="A5" s="776"/>
      <c r="B5" s="202"/>
      <c r="C5" s="323"/>
      <c r="D5" s="323"/>
      <c r="E5" s="324"/>
      <c r="F5" s="323"/>
      <c r="G5" s="323"/>
      <c r="H5" s="324"/>
      <c r="I5" s="247"/>
      <c r="J5" s="247"/>
      <c r="K5" s="247"/>
      <c r="L5" s="247"/>
      <c r="M5" s="247"/>
      <c r="N5" s="247"/>
      <c r="O5" s="247"/>
      <c r="P5" s="324" t="s">
        <v>819</v>
      </c>
      <c r="Q5" s="83" t="s">
        <v>820</v>
      </c>
      <c r="R5" s="83" t="s">
        <v>821</v>
      </c>
      <c r="S5" s="196" t="s">
        <v>822</v>
      </c>
    </row>
    <row r="6" spans="1:20" x14ac:dyDescent="0.2">
      <c r="A6" s="776"/>
      <c r="B6" s="202"/>
      <c r="C6" s="323"/>
      <c r="D6" s="323"/>
      <c r="E6" s="324"/>
      <c r="F6" s="323"/>
      <c r="G6" s="324"/>
      <c r="H6" s="324"/>
      <c r="I6" s="247"/>
      <c r="J6" s="247"/>
      <c r="K6" s="247"/>
      <c r="L6" s="247"/>
      <c r="M6" s="247"/>
      <c r="N6" s="247"/>
      <c r="O6" s="247"/>
      <c r="P6" s="324"/>
      <c r="Q6" s="83" t="s">
        <v>823</v>
      </c>
      <c r="R6" s="83" t="s">
        <v>585</v>
      </c>
      <c r="S6" s="45" t="s">
        <v>824</v>
      </c>
    </row>
    <row r="7" spans="1:20" ht="13.5" thickBot="1" x14ac:dyDescent="0.25">
      <c r="A7" s="777" t="s">
        <v>825</v>
      </c>
      <c r="B7" s="78"/>
      <c r="C7" s="325" t="s">
        <v>267</v>
      </c>
      <c r="D7" s="325" t="s">
        <v>268</v>
      </c>
      <c r="E7" s="77" t="s">
        <v>269</v>
      </c>
      <c r="F7" s="9" t="s">
        <v>566</v>
      </c>
      <c r="G7" s="77" t="s">
        <v>567</v>
      </c>
      <c r="H7" s="77" t="s">
        <v>272</v>
      </c>
      <c r="I7" s="77" t="s">
        <v>273</v>
      </c>
      <c r="J7" s="77" t="s">
        <v>570</v>
      </c>
      <c r="K7" s="77" t="s">
        <v>275</v>
      </c>
      <c r="L7" s="77" t="s">
        <v>275</v>
      </c>
      <c r="M7" s="77" t="s">
        <v>276</v>
      </c>
      <c r="N7" s="77" t="s">
        <v>276</v>
      </c>
      <c r="O7" s="77" t="s">
        <v>277</v>
      </c>
      <c r="P7" s="326">
        <v>44926</v>
      </c>
      <c r="Q7" s="77" t="s">
        <v>826</v>
      </c>
      <c r="R7" s="77"/>
      <c r="S7" s="9" t="s">
        <v>585</v>
      </c>
    </row>
    <row r="8" spans="1:20" ht="13.5" thickTop="1" x14ac:dyDescent="0.2">
      <c r="A8" s="778"/>
      <c r="B8" s="157"/>
      <c r="C8" s="328"/>
      <c r="D8" s="334"/>
      <c r="E8" s="327"/>
      <c r="F8" s="356"/>
      <c r="G8" s="327"/>
      <c r="H8" s="327"/>
      <c r="I8" s="144"/>
      <c r="J8" s="144"/>
      <c r="K8" s="144"/>
      <c r="L8" s="144"/>
      <c r="M8" s="144"/>
      <c r="N8" s="144"/>
      <c r="O8" s="144"/>
      <c r="P8" s="328"/>
      <c r="Q8" s="88"/>
      <c r="R8" s="88"/>
      <c r="S8" s="88"/>
    </row>
    <row r="9" spans="1:20" x14ac:dyDescent="0.2">
      <c r="A9" s="779">
        <v>5171</v>
      </c>
      <c r="B9" s="60" t="s">
        <v>1599</v>
      </c>
      <c r="C9" s="329"/>
      <c r="D9" s="128"/>
      <c r="E9" s="329"/>
      <c r="F9" s="128"/>
      <c r="G9" s="329"/>
      <c r="H9" s="329"/>
      <c r="I9" s="329"/>
      <c r="J9" s="329"/>
      <c r="K9" s="281"/>
      <c r="L9" s="281"/>
      <c r="M9" s="281"/>
      <c r="N9" s="281"/>
      <c r="O9" s="281">
        <v>13828</v>
      </c>
      <c r="P9" s="329">
        <v>13825</v>
      </c>
      <c r="Q9" s="281">
        <v>23203</v>
      </c>
      <c r="R9" s="281"/>
      <c r="S9" s="281"/>
    </row>
    <row r="10" spans="1:20" x14ac:dyDescent="0.2">
      <c r="A10" s="779">
        <v>5172</v>
      </c>
      <c r="B10" s="60" t="s">
        <v>1600</v>
      </c>
      <c r="C10" s="329"/>
      <c r="D10" s="112"/>
      <c r="E10" s="330"/>
      <c r="F10" s="112"/>
      <c r="G10" s="330"/>
      <c r="H10" s="330"/>
      <c r="I10" s="330"/>
      <c r="J10" s="330"/>
      <c r="K10" s="87"/>
      <c r="L10" s="87"/>
      <c r="M10" s="87">
        <v>500</v>
      </c>
      <c r="N10" s="87"/>
      <c r="O10" s="87">
        <v>3500</v>
      </c>
      <c r="P10" s="329"/>
      <c r="Q10" s="87"/>
      <c r="R10" s="87"/>
      <c r="S10" s="87"/>
    </row>
    <row r="11" spans="1:20" x14ac:dyDescent="0.2">
      <c r="A11" s="779">
        <v>5173</v>
      </c>
      <c r="B11" s="60" t="s">
        <v>1601</v>
      </c>
      <c r="C11" s="329"/>
      <c r="D11" s="112"/>
      <c r="E11" s="330"/>
      <c r="F11" s="112"/>
      <c r="G11" s="330"/>
      <c r="H11" s="330"/>
      <c r="I11" s="330"/>
      <c r="J11" s="330"/>
      <c r="K11" s="87"/>
      <c r="L11" s="87"/>
      <c r="M11" s="87"/>
      <c r="N11" s="87"/>
      <c r="O11" s="87"/>
      <c r="P11" s="329"/>
      <c r="Q11" s="87"/>
      <c r="R11" s="87"/>
      <c r="S11" s="87"/>
    </row>
    <row r="12" spans="1:20" x14ac:dyDescent="0.2">
      <c r="A12" s="779">
        <v>5174</v>
      </c>
      <c r="B12" s="60" t="s">
        <v>1602</v>
      </c>
      <c r="C12" s="329"/>
      <c r="D12" s="128"/>
      <c r="E12" s="329"/>
      <c r="F12" s="128"/>
      <c r="G12" s="329"/>
      <c r="H12" s="329"/>
      <c r="I12" s="329"/>
      <c r="J12" s="329"/>
      <c r="K12" s="281"/>
      <c r="L12" s="281"/>
      <c r="M12" s="281">
        <v>7007</v>
      </c>
      <c r="N12" s="281"/>
      <c r="O12" s="281">
        <v>14000</v>
      </c>
      <c r="P12" s="329">
        <v>3576.25</v>
      </c>
      <c r="Q12" s="281">
        <v>15000</v>
      </c>
      <c r="R12" s="281"/>
      <c r="S12" s="281"/>
      <c r="T12" t="s">
        <v>2154</v>
      </c>
    </row>
    <row r="13" spans="1:20" x14ac:dyDescent="0.2">
      <c r="A13" s="779">
        <v>5175</v>
      </c>
      <c r="B13" s="60" t="s">
        <v>1603</v>
      </c>
      <c r="C13" s="329"/>
      <c r="D13" s="128"/>
      <c r="E13" s="329"/>
      <c r="F13" s="128"/>
      <c r="G13" s="329"/>
      <c r="H13" s="329"/>
      <c r="I13" s="329"/>
      <c r="J13" s="329"/>
      <c r="K13" s="281"/>
      <c r="L13" s="281"/>
      <c r="M13" s="281">
        <v>155</v>
      </c>
      <c r="N13" s="281"/>
      <c r="O13" s="281">
        <v>310</v>
      </c>
      <c r="P13" s="329">
        <v>68.16</v>
      </c>
      <c r="Q13" s="281">
        <v>310</v>
      </c>
      <c r="R13" s="281"/>
      <c r="S13" s="281"/>
    </row>
    <row r="14" spans="1:20" ht="13.5" thickBot="1" x14ac:dyDescent="0.25">
      <c r="A14" s="779">
        <v>5176</v>
      </c>
      <c r="B14" s="60" t="s">
        <v>1604</v>
      </c>
      <c r="C14" s="331"/>
      <c r="D14" s="270"/>
      <c r="E14" s="331"/>
      <c r="F14" s="270"/>
      <c r="G14" s="331"/>
      <c r="H14" s="331"/>
      <c r="I14" s="331"/>
      <c r="J14" s="331"/>
      <c r="K14" s="282"/>
      <c r="L14" s="282"/>
      <c r="M14" s="282">
        <v>1230</v>
      </c>
      <c r="N14" s="282"/>
      <c r="O14" s="282">
        <f>ROUND((+'600 482 Airport'!O16*0.0145),0)</f>
        <v>1463</v>
      </c>
      <c r="P14" s="331"/>
      <c r="Q14" s="282">
        <f>ROUND((+'600 482 Airport'!Q16*0.0145),0)</f>
        <v>2002</v>
      </c>
      <c r="R14" s="282"/>
      <c r="S14" s="282"/>
    </row>
    <row r="15" spans="1:20" x14ac:dyDescent="0.2">
      <c r="A15" s="779"/>
      <c r="B15" s="61" t="s">
        <v>828</v>
      </c>
      <c r="C15" s="330">
        <f t="shared" ref="C15:P15" si="0">SUM(C9:C14)</f>
        <v>0</v>
      </c>
      <c r="D15" s="112">
        <f t="shared" si="0"/>
        <v>0</v>
      </c>
      <c r="E15" s="330">
        <f t="shared" si="0"/>
        <v>0</v>
      </c>
      <c r="F15" s="112">
        <f>SUM(F9:F14)</f>
        <v>0</v>
      </c>
      <c r="G15" s="330">
        <f>SUM(G9:G14)</f>
        <v>0</v>
      </c>
      <c r="H15" s="330">
        <f>SUM(H9:H14)</f>
        <v>0</v>
      </c>
      <c r="I15" s="330">
        <f t="shared" si="0"/>
        <v>0</v>
      </c>
      <c r="J15" s="330">
        <f t="shared" si="0"/>
        <v>0</v>
      </c>
      <c r="K15" s="87">
        <f t="shared" ref="K15:O15" si="1">SUM(K9:K14)</f>
        <v>0</v>
      </c>
      <c r="L15" s="87">
        <f t="shared" si="1"/>
        <v>0</v>
      </c>
      <c r="M15" s="87">
        <f t="shared" si="1"/>
        <v>8892</v>
      </c>
      <c r="N15" s="87"/>
      <c r="O15" s="87">
        <f t="shared" si="1"/>
        <v>33101</v>
      </c>
      <c r="P15" s="330">
        <f t="shared" si="0"/>
        <v>17469.41</v>
      </c>
      <c r="Q15" s="87">
        <f>SUM(Q9:Q14)</f>
        <v>40515</v>
      </c>
      <c r="R15" s="87"/>
      <c r="S15" s="87">
        <f>SUM(S9:S14)</f>
        <v>0</v>
      </c>
    </row>
    <row r="16" spans="1:20" x14ac:dyDescent="0.2">
      <c r="A16" s="779"/>
      <c r="B16" s="60"/>
      <c r="C16" s="329"/>
      <c r="D16" s="128"/>
      <c r="E16" s="329"/>
      <c r="F16" s="128"/>
      <c r="G16" s="329"/>
      <c r="H16" s="329"/>
      <c r="I16" s="329"/>
      <c r="J16" s="329"/>
      <c r="K16" s="281"/>
      <c r="L16" s="281"/>
      <c r="M16" s="281"/>
      <c r="N16" s="281"/>
      <c r="O16" s="281"/>
      <c r="P16" s="329"/>
      <c r="Q16" s="281"/>
      <c r="R16" s="281"/>
      <c r="S16" s="281"/>
    </row>
    <row r="17" spans="1:19" x14ac:dyDescent="0.2">
      <c r="A17" s="779"/>
      <c r="B17" s="60"/>
      <c r="C17" s="329"/>
      <c r="D17" s="128"/>
      <c r="E17" s="329"/>
      <c r="F17" s="128"/>
      <c r="G17" s="329"/>
      <c r="H17" s="329"/>
      <c r="I17" s="329"/>
      <c r="J17" s="329"/>
      <c r="K17" s="281"/>
      <c r="L17" s="281"/>
      <c r="M17" s="281"/>
      <c r="N17" s="281"/>
      <c r="O17" s="281"/>
      <c r="P17" s="329"/>
      <c r="Q17" s="281"/>
      <c r="R17" s="281"/>
      <c r="S17" s="281"/>
    </row>
    <row r="18" spans="1:19" ht="13.5" thickBot="1" x14ac:dyDescent="0.25">
      <c r="A18" s="780"/>
      <c r="B18" s="602" t="s">
        <v>1667</v>
      </c>
      <c r="C18" s="332">
        <f t="shared" ref="C18:Q18" si="2">+C15</f>
        <v>0</v>
      </c>
      <c r="D18" s="273">
        <f t="shared" si="2"/>
        <v>0</v>
      </c>
      <c r="E18" s="332">
        <f>+E15</f>
        <v>0</v>
      </c>
      <c r="F18" s="273">
        <f>+F15</f>
        <v>0</v>
      </c>
      <c r="G18" s="332">
        <f>+G15</f>
        <v>0</v>
      </c>
      <c r="H18" s="332">
        <f>+H15</f>
        <v>0</v>
      </c>
      <c r="I18" s="332">
        <f t="shared" si="2"/>
        <v>0</v>
      </c>
      <c r="J18" s="332">
        <f t="shared" si="2"/>
        <v>0</v>
      </c>
      <c r="K18" s="333">
        <f t="shared" si="2"/>
        <v>0</v>
      </c>
      <c r="L18" s="333">
        <f t="shared" ref="L18:O18" si="3">+L15</f>
        <v>0</v>
      </c>
      <c r="M18" s="333">
        <f t="shared" si="3"/>
        <v>8892</v>
      </c>
      <c r="N18" s="333"/>
      <c r="O18" s="333">
        <f t="shared" si="3"/>
        <v>33101</v>
      </c>
      <c r="P18" s="332">
        <f t="shared" si="2"/>
        <v>17469.41</v>
      </c>
      <c r="Q18" s="333">
        <f t="shared" si="2"/>
        <v>40515</v>
      </c>
      <c r="R18" s="333">
        <f>+Q18</f>
        <v>40515</v>
      </c>
      <c r="S18" s="333">
        <f>+Q18</f>
        <v>40515</v>
      </c>
    </row>
    <row r="19" spans="1:19" ht="13.5" thickTop="1" x14ac:dyDescent="0.2">
      <c r="A19" s="774"/>
      <c r="B19" s="74"/>
      <c r="C19" s="24"/>
      <c r="D19" s="24"/>
      <c r="E19" s="24"/>
      <c r="F19" s="24"/>
      <c r="G19" s="24"/>
      <c r="H19" s="24"/>
      <c r="I19" s="24"/>
      <c r="J19" s="24"/>
      <c r="K19" s="24"/>
      <c r="L19" s="24"/>
      <c r="M19" s="24"/>
      <c r="N19" s="24"/>
      <c r="O19" s="24"/>
      <c r="P19" s="199" t="s">
        <v>843</v>
      </c>
      <c r="Q19" s="1116">
        <f>+Q18-O18</f>
        <v>7414</v>
      </c>
      <c r="R19" s="1117">
        <f>ROUND((+Q19/O18),4)</f>
        <v>0.224</v>
      </c>
      <c r="S19" s="23"/>
    </row>
    <row r="20" spans="1:19" x14ac:dyDescent="0.2">
      <c r="A20" s="54">
        <v>44901</v>
      </c>
      <c r="B20" s="4" t="s">
        <v>1607</v>
      </c>
      <c r="C20" s="24"/>
      <c r="D20" s="24"/>
      <c r="E20" s="24"/>
      <c r="F20" s="24"/>
      <c r="G20" s="24"/>
      <c r="H20" s="24"/>
      <c r="I20" s="24"/>
      <c r="J20" s="24"/>
      <c r="K20" s="24"/>
      <c r="L20" s="24"/>
      <c r="M20" s="24"/>
      <c r="N20" s="24"/>
      <c r="O20" s="24"/>
      <c r="P20" s="25"/>
      <c r="Q20" s="24"/>
      <c r="R20" s="24"/>
      <c r="S20" s="24"/>
    </row>
    <row r="21" spans="1:19" x14ac:dyDescent="0.2">
      <c r="A21" s="63">
        <v>44902</v>
      </c>
      <c r="B21" s="4" t="s">
        <v>2173</v>
      </c>
      <c r="C21" s="24"/>
      <c r="D21" s="24"/>
      <c r="E21" s="24"/>
      <c r="F21" s="24"/>
      <c r="G21" s="24"/>
      <c r="H21" s="24"/>
      <c r="I21" s="24"/>
      <c r="J21" s="24"/>
      <c r="K21" s="24"/>
      <c r="L21" s="24"/>
      <c r="M21" s="24"/>
      <c r="N21" s="24"/>
      <c r="O21" s="24"/>
      <c r="P21" s="25"/>
      <c r="Q21" s="24"/>
      <c r="R21" s="24"/>
      <c r="S21" s="24"/>
    </row>
    <row r="22" spans="1:19" x14ac:dyDescent="0.2">
      <c r="A22" s="774"/>
      <c r="B22" s="4"/>
      <c r="C22" s="24"/>
      <c r="D22" s="24"/>
      <c r="E22" s="24"/>
      <c r="F22" s="24"/>
      <c r="G22" s="24"/>
      <c r="H22" s="24"/>
      <c r="I22" s="24"/>
      <c r="J22" s="24"/>
      <c r="K22" s="24"/>
      <c r="L22" s="24"/>
      <c r="M22" s="24"/>
      <c r="N22" s="24"/>
      <c r="O22" s="24"/>
      <c r="P22" s="25"/>
      <c r="Q22" s="24"/>
      <c r="R22" s="24"/>
      <c r="S22" s="24"/>
    </row>
    <row r="23" spans="1:19" x14ac:dyDescent="0.2">
      <c r="A23" s="774"/>
      <c r="B23" s="4"/>
      <c r="C23" s="24"/>
      <c r="D23" s="24"/>
      <c r="E23" s="24"/>
      <c r="F23" s="24"/>
      <c r="G23" s="24"/>
      <c r="H23" s="24"/>
      <c r="I23" s="24"/>
      <c r="J23" s="24"/>
      <c r="K23" s="24"/>
      <c r="L23" s="24"/>
      <c r="M23" s="24"/>
      <c r="N23" s="24"/>
      <c r="O23" s="24"/>
      <c r="P23" s="25"/>
      <c r="Q23" s="24"/>
      <c r="R23" s="24"/>
      <c r="S23" s="24"/>
    </row>
    <row r="24" spans="1:19" ht="15.75" thickBot="1" x14ac:dyDescent="0.3">
      <c r="A24" s="785"/>
      <c r="B24" s="4"/>
      <c r="C24" s="24"/>
      <c r="D24" s="24"/>
      <c r="E24" s="24"/>
      <c r="F24" s="24"/>
      <c r="G24" s="24"/>
      <c r="H24" s="24"/>
      <c r="I24" s="24"/>
      <c r="J24" s="24"/>
      <c r="K24" s="24"/>
      <c r="L24" s="24"/>
      <c r="M24" s="24"/>
      <c r="N24" s="24"/>
      <c r="O24" s="24"/>
      <c r="P24" s="25"/>
      <c r="Q24" s="24"/>
      <c r="R24" s="24"/>
      <c r="S24" s="24"/>
    </row>
    <row r="25" spans="1:19" ht="13.5" thickTop="1" x14ac:dyDescent="0.2">
      <c r="A25" s="789"/>
      <c r="B25" s="367"/>
      <c r="C25" s="368"/>
      <c r="D25" s="369"/>
      <c r="E25" s="368"/>
      <c r="F25" s="23"/>
      <c r="G25" s="23"/>
      <c r="H25" s="23"/>
      <c r="M25" s="370" t="s">
        <v>279</v>
      </c>
      <c r="N25" s="371" t="s">
        <v>826</v>
      </c>
      <c r="O25" s="372" t="s">
        <v>840</v>
      </c>
      <c r="P25" s="371" t="s">
        <v>841</v>
      </c>
      <c r="Q25" s="373"/>
      <c r="R25" s="569"/>
      <c r="S25" s="372"/>
    </row>
    <row r="26" spans="1:19" ht="13.5" thickBot="1" x14ac:dyDescent="0.25">
      <c r="A26" s="790"/>
      <c r="B26" s="446"/>
      <c r="C26" s="447"/>
      <c r="D26" s="447"/>
      <c r="E26" s="433"/>
      <c r="F26" s="23"/>
      <c r="G26" s="23"/>
      <c r="H26" s="23"/>
      <c r="M26" s="377" t="s">
        <v>277</v>
      </c>
      <c r="N26" s="377" t="s">
        <v>571</v>
      </c>
      <c r="O26" s="433" t="s">
        <v>843</v>
      </c>
      <c r="P26" s="435" t="s">
        <v>843</v>
      </c>
      <c r="Q26" s="379" t="s">
        <v>844</v>
      </c>
      <c r="R26" s="570"/>
      <c r="S26" s="377"/>
    </row>
    <row r="27" spans="1:19" ht="13.5" thickTop="1" x14ac:dyDescent="0.2">
      <c r="A27" s="794"/>
      <c r="B27" s="448"/>
      <c r="C27" s="439"/>
      <c r="D27" s="438"/>
      <c r="E27" s="438"/>
      <c r="F27" s="23"/>
      <c r="G27" s="23"/>
      <c r="H27" s="23"/>
      <c r="M27" s="438"/>
      <c r="N27" s="438"/>
      <c r="O27" s="449"/>
      <c r="P27" s="439"/>
      <c r="Q27" s="444"/>
      <c r="R27" s="1017"/>
      <c r="S27" s="445"/>
    </row>
    <row r="28" spans="1:19" x14ac:dyDescent="0.2">
      <c r="A28" s="795">
        <v>5171</v>
      </c>
      <c r="B28" s="415" t="s">
        <v>1599</v>
      </c>
      <c r="C28" s="391"/>
      <c r="D28" s="391"/>
      <c r="E28" s="391"/>
      <c r="F28" s="23"/>
      <c r="G28" s="23"/>
      <c r="H28" s="23"/>
      <c r="M28" s="390">
        <f t="shared" ref="M28:M33" si="4">+O9</f>
        <v>13828</v>
      </c>
      <c r="N28" s="411">
        <f t="shared" ref="N28:N33" si="5">+Q9</f>
        <v>23203</v>
      </c>
      <c r="O28" s="390">
        <f t="shared" ref="O28:O33" si="6">+N28-M28</f>
        <v>9375</v>
      </c>
      <c r="P28" s="392">
        <f t="shared" ref="P28:P33" si="7">IF(M28+N28&lt;&gt;0,IF(M28&lt;&gt;0,IF(O28&lt;&gt;0,ROUND((+O28/M28),4),""),1),"")</f>
        <v>0.67800000000000005</v>
      </c>
      <c r="Q28" s="385"/>
      <c r="R28" s="572"/>
      <c r="S28" s="386"/>
    </row>
    <row r="29" spans="1:19" x14ac:dyDescent="0.2">
      <c r="A29" s="795">
        <v>5172</v>
      </c>
      <c r="B29" s="415" t="s">
        <v>1600</v>
      </c>
      <c r="C29" s="391"/>
      <c r="D29" s="391"/>
      <c r="E29" s="391"/>
      <c r="F29" s="23"/>
      <c r="G29" s="23"/>
      <c r="H29" s="23"/>
      <c r="M29" s="390">
        <f t="shared" si="4"/>
        <v>3500</v>
      </c>
      <c r="N29" s="411">
        <f t="shared" si="5"/>
        <v>0</v>
      </c>
      <c r="O29" s="390">
        <f t="shared" si="6"/>
        <v>-3500</v>
      </c>
      <c r="P29" s="392">
        <f t="shared" si="7"/>
        <v>-1</v>
      </c>
      <c r="Q29" s="385"/>
      <c r="R29" s="1018"/>
      <c r="S29" s="414"/>
    </row>
    <row r="30" spans="1:19" x14ac:dyDescent="0.2">
      <c r="A30" s="795">
        <v>5173</v>
      </c>
      <c r="B30" s="415" t="s">
        <v>1601</v>
      </c>
      <c r="C30" s="391"/>
      <c r="D30" s="391"/>
      <c r="E30" s="391"/>
      <c r="F30" s="23"/>
      <c r="G30" s="23"/>
      <c r="H30" s="23"/>
      <c r="M30" s="390">
        <f t="shared" si="4"/>
        <v>0</v>
      </c>
      <c r="N30" s="411">
        <f t="shared" si="5"/>
        <v>0</v>
      </c>
      <c r="O30" s="390">
        <f t="shared" si="6"/>
        <v>0</v>
      </c>
      <c r="P30" s="392" t="str">
        <f t="shared" si="7"/>
        <v/>
      </c>
      <c r="Q30" s="385"/>
      <c r="R30" s="1018"/>
      <c r="S30" s="414"/>
    </row>
    <row r="31" spans="1:19" x14ac:dyDescent="0.2">
      <c r="A31" s="795">
        <v>5174</v>
      </c>
      <c r="B31" s="415" t="s">
        <v>1602</v>
      </c>
      <c r="C31" s="391"/>
      <c r="D31" s="391"/>
      <c r="E31" s="391"/>
      <c r="F31" s="23"/>
      <c r="G31" s="23"/>
      <c r="H31" s="23"/>
      <c r="M31" s="390">
        <f t="shared" si="4"/>
        <v>14000</v>
      </c>
      <c r="N31" s="411">
        <f t="shared" si="5"/>
        <v>15000</v>
      </c>
      <c r="O31" s="390">
        <f t="shared" si="6"/>
        <v>1000</v>
      </c>
      <c r="P31" s="392">
        <f t="shared" si="7"/>
        <v>7.1400000000000005E-2</v>
      </c>
      <c r="Q31" s="385"/>
      <c r="R31" s="572"/>
      <c r="S31" s="386"/>
    </row>
    <row r="32" spans="1:19" x14ac:dyDescent="0.2">
      <c r="A32" s="795">
        <v>5175</v>
      </c>
      <c r="B32" s="415" t="s">
        <v>1603</v>
      </c>
      <c r="C32" s="391"/>
      <c r="D32" s="391"/>
      <c r="E32" s="391"/>
      <c r="F32" s="23"/>
      <c r="G32" s="23"/>
      <c r="H32" s="23"/>
      <c r="M32" s="390">
        <f t="shared" si="4"/>
        <v>310</v>
      </c>
      <c r="N32" s="411">
        <f t="shared" si="5"/>
        <v>310</v>
      </c>
      <c r="O32" s="390">
        <f t="shared" si="6"/>
        <v>0</v>
      </c>
      <c r="P32" s="392" t="str">
        <f t="shared" si="7"/>
        <v/>
      </c>
      <c r="Q32" s="385"/>
      <c r="R32" s="572"/>
      <c r="S32" s="386"/>
    </row>
    <row r="33" spans="1:19" x14ac:dyDescent="0.2">
      <c r="A33" s="795">
        <v>5176</v>
      </c>
      <c r="B33" s="415" t="s">
        <v>1604</v>
      </c>
      <c r="C33" s="391"/>
      <c r="D33" s="391"/>
      <c r="E33" s="391"/>
      <c r="F33" s="23"/>
      <c r="G33" s="23"/>
      <c r="H33" s="23"/>
      <c r="M33" s="390">
        <f t="shared" si="4"/>
        <v>1463</v>
      </c>
      <c r="N33" s="411">
        <f t="shared" si="5"/>
        <v>2002</v>
      </c>
      <c r="O33" s="390">
        <f t="shared" si="6"/>
        <v>539</v>
      </c>
      <c r="P33" s="392">
        <f t="shared" si="7"/>
        <v>0.36840000000000001</v>
      </c>
      <c r="Q33" s="385"/>
      <c r="R33" s="572"/>
      <c r="S33" s="386"/>
    </row>
    <row r="34" spans="1:19" x14ac:dyDescent="0.2">
      <c r="A34" s="795"/>
      <c r="B34" s="415"/>
      <c r="C34" s="391"/>
      <c r="D34" s="391"/>
      <c r="E34" s="391"/>
      <c r="F34" s="23"/>
      <c r="G34" s="23"/>
      <c r="H34" s="23"/>
      <c r="M34" s="390"/>
      <c r="N34" s="411"/>
      <c r="O34" s="390"/>
      <c r="P34" s="391"/>
      <c r="Q34" s="385"/>
      <c r="R34" s="572"/>
      <c r="S34" s="386"/>
    </row>
    <row r="35" spans="1:19" x14ac:dyDescent="0.2">
      <c r="A35" s="774"/>
      <c r="B35" s="4"/>
      <c r="C35" s="23"/>
      <c r="D35" s="23"/>
      <c r="E35" s="23"/>
      <c r="F35" s="23"/>
      <c r="G35" s="23"/>
      <c r="H35" s="23"/>
      <c r="M35" s="23"/>
      <c r="N35" s="23"/>
      <c r="O35" s="23"/>
      <c r="P35" s="25"/>
      <c r="Q35" s="23"/>
      <c r="R35" s="23"/>
      <c r="S35" s="23"/>
    </row>
    <row r="36" spans="1:19" x14ac:dyDescent="0.2">
      <c r="A36" s="774"/>
      <c r="B36" s="4" t="s">
        <v>846</v>
      </c>
      <c r="C36" s="23"/>
      <c r="D36" s="23"/>
      <c r="E36" s="23"/>
      <c r="F36" s="23"/>
      <c r="G36" s="23"/>
      <c r="H36" s="23"/>
      <c r="M36" s="616">
        <f>SUM(M28:M35)</f>
        <v>33101</v>
      </c>
      <c r="N36" s="616">
        <f>SUM(N28:N35)</f>
        <v>40515</v>
      </c>
      <c r="O36" s="25">
        <f>+N36-M36</f>
        <v>7414</v>
      </c>
      <c r="P36" s="617">
        <f>IF(M36+N36&lt;&gt;0,IF(M36&lt;&gt;0,IF(O36&lt;&gt;0,ROUND((+O36/M36),4),""),1),"")</f>
        <v>0.224</v>
      </c>
      <c r="Q36" s="23"/>
      <c r="R36" s="23"/>
      <c r="S36" s="23"/>
    </row>
  </sheetData>
  <hyperlinks>
    <hyperlink ref="A1" location="'Working Budget with funding det'!A1" display="Main " xr:uid="{00000000-0004-0000-3800-000000000000}"/>
    <hyperlink ref="B1" location="'Table of Contents'!A1" display="TOC" xr:uid="{00000000-0004-0000-3800-000001000000}"/>
  </hyperlinks>
  <pageMargins left="0.7" right="0.7" top="0.75" bottom="0.75" header="0.3" footer="0.3"/>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B050"/>
  </sheetPr>
  <dimension ref="A1:AA136"/>
  <sheetViews>
    <sheetView zoomScaleNormal="100" workbookViewId="0">
      <pane ySplit="7" topLeftCell="A50" activePane="bottomLeft" state="frozen"/>
      <selection activeCell="P15" sqref="P15"/>
      <selection pane="bottomLeft" activeCell="A84" sqref="A84:B84"/>
    </sheetView>
  </sheetViews>
  <sheetFormatPr defaultRowHeight="12.75" x14ac:dyDescent="0.2"/>
  <cols>
    <col min="1" max="1" width="12.5" style="783" customWidth="1"/>
    <col min="2" max="2" width="36.6640625" customWidth="1"/>
    <col min="3" max="3" width="15.83203125" style="1" hidden="1" customWidth="1"/>
    <col min="4" max="12" width="15.5" style="106" hidden="1" customWidth="1"/>
    <col min="13" max="15" width="15.5" style="106" customWidth="1"/>
    <col min="16" max="16" width="14.5" customWidth="1"/>
    <col min="17" max="19" width="14.5" style="1" customWidth="1"/>
    <col min="20" max="20" width="23" style="1" customWidth="1"/>
    <col min="21" max="21" width="7.83203125" customWidth="1"/>
    <col min="22" max="22" width="15.5" style="4" customWidth="1"/>
    <col min="23" max="23" width="20.83203125" style="4" customWidth="1"/>
    <col min="24" max="24" width="4.33203125" style="4" customWidth="1"/>
    <col min="25" max="25" width="14.5" style="4" customWidth="1"/>
    <col min="26" max="27" width="9.33203125" style="4"/>
  </cols>
  <sheetData>
    <row r="1" spans="1:21" x14ac:dyDescent="0.2">
      <c r="A1" s="772" t="s">
        <v>847</v>
      </c>
      <c r="B1" s="308" t="s">
        <v>197</v>
      </c>
      <c r="D1" s="212"/>
      <c r="E1" s="212"/>
      <c r="F1" s="212"/>
      <c r="G1" s="212"/>
      <c r="H1" s="212"/>
      <c r="I1" s="212"/>
      <c r="J1" s="212"/>
      <c r="K1" s="212"/>
      <c r="L1" s="212"/>
      <c r="M1" s="212"/>
      <c r="N1" s="212"/>
      <c r="O1" s="212"/>
      <c r="T1"/>
    </row>
    <row r="2" spans="1:21" ht="15" x14ac:dyDescent="0.25">
      <c r="A2" s="773" t="s">
        <v>1668</v>
      </c>
      <c r="B2" s="43"/>
      <c r="D2" s="212"/>
      <c r="E2" s="126"/>
      <c r="F2" s="212"/>
      <c r="G2" s="212"/>
      <c r="H2" s="212"/>
      <c r="I2" s="126" t="s">
        <v>816</v>
      </c>
      <c r="J2" s="126"/>
      <c r="K2" s="126"/>
      <c r="L2" s="126"/>
      <c r="M2" s="126"/>
      <c r="N2" s="126"/>
      <c r="O2" s="126"/>
      <c r="P2" s="58" t="s">
        <v>137</v>
      </c>
      <c r="Q2" s="44" t="s">
        <v>1669</v>
      </c>
      <c r="R2" s="44"/>
    </row>
    <row r="3" spans="1:21" ht="13.5" thickBot="1" x14ac:dyDescent="0.25">
      <c r="A3" s="774"/>
      <c r="B3" s="4"/>
      <c r="C3" s="23"/>
      <c r="D3" s="23"/>
      <c r="E3" s="23"/>
      <c r="F3" s="23"/>
      <c r="G3" s="23"/>
      <c r="H3" s="23"/>
      <c r="I3" s="23"/>
      <c r="J3" s="23"/>
      <c r="K3" s="23"/>
      <c r="L3" s="23"/>
      <c r="M3" s="23"/>
      <c r="N3" s="23"/>
      <c r="O3" s="23"/>
      <c r="P3" s="4"/>
      <c r="Q3" s="23"/>
      <c r="R3" s="23"/>
      <c r="S3" s="4"/>
      <c r="T3" s="4"/>
    </row>
    <row r="4" spans="1:21"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1" x14ac:dyDescent="0.2">
      <c r="A5" s="776"/>
      <c r="B5" s="202"/>
      <c r="C5" s="113"/>
      <c r="D5" s="82"/>
      <c r="E5" s="105"/>
      <c r="F5" s="82"/>
      <c r="G5" s="82"/>
      <c r="H5" s="105"/>
      <c r="I5" s="247"/>
      <c r="J5" s="247"/>
      <c r="K5" s="247"/>
      <c r="L5" s="247"/>
      <c r="M5" s="247"/>
      <c r="N5" s="247"/>
      <c r="O5" s="247"/>
      <c r="P5" s="105" t="s">
        <v>819</v>
      </c>
      <c r="Q5" s="83" t="s">
        <v>137</v>
      </c>
      <c r="R5" s="83" t="s">
        <v>821</v>
      </c>
      <c r="S5" s="196" t="s">
        <v>822</v>
      </c>
    </row>
    <row r="6" spans="1:21" x14ac:dyDescent="0.2">
      <c r="A6" s="776"/>
      <c r="B6" s="202"/>
      <c r="C6" s="103"/>
      <c r="D6" s="113"/>
      <c r="E6" s="113"/>
      <c r="F6" s="113"/>
      <c r="G6" s="113"/>
      <c r="H6" s="113"/>
      <c r="I6" s="83"/>
      <c r="J6" s="83"/>
      <c r="K6" s="83"/>
      <c r="L6" s="83"/>
      <c r="M6" s="83"/>
      <c r="N6" s="83"/>
      <c r="O6" s="83"/>
      <c r="P6" s="82"/>
      <c r="Q6" s="83" t="s">
        <v>1670</v>
      </c>
      <c r="R6" s="83" t="s">
        <v>585</v>
      </c>
      <c r="S6" s="45" t="s">
        <v>824</v>
      </c>
    </row>
    <row r="7" spans="1:21" ht="13.5" thickBot="1" x14ac:dyDescent="0.25">
      <c r="A7" s="777" t="s">
        <v>825</v>
      </c>
      <c r="B7" s="78"/>
      <c r="C7" s="261" t="s">
        <v>267</v>
      </c>
      <c r="D7" s="261" t="s">
        <v>268</v>
      </c>
      <c r="E7" s="77" t="s">
        <v>269</v>
      </c>
      <c r="F7" s="77" t="s">
        <v>566</v>
      </c>
      <c r="G7" s="77" t="s">
        <v>567</v>
      </c>
      <c r="H7" s="77" t="s">
        <v>272</v>
      </c>
      <c r="I7" s="77" t="s">
        <v>273</v>
      </c>
      <c r="J7" s="77" t="s">
        <v>570</v>
      </c>
      <c r="K7" s="77" t="s">
        <v>275</v>
      </c>
      <c r="L7" s="77" t="s">
        <v>275</v>
      </c>
      <c r="M7" s="77" t="s">
        <v>276</v>
      </c>
      <c r="N7" s="77" t="s">
        <v>276</v>
      </c>
      <c r="O7" s="77" t="s">
        <v>277</v>
      </c>
      <c r="P7" s="122">
        <v>44926</v>
      </c>
      <c r="Q7" s="77" t="s">
        <v>1671</v>
      </c>
      <c r="R7" s="77"/>
      <c r="S7" s="9" t="s">
        <v>585</v>
      </c>
    </row>
    <row r="8" spans="1:21" ht="13.5" thickTop="1" x14ac:dyDescent="0.2">
      <c r="A8" s="778"/>
      <c r="B8" s="157"/>
      <c r="C8" s="115"/>
      <c r="D8" s="268"/>
      <c r="E8" s="268"/>
      <c r="F8" s="268"/>
      <c r="G8" s="268"/>
      <c r="H8" s="268"/>
      <c r="I8" s="213"/>
      <c r="J8" s="213"/>
      <c r="K8" s="213"/>
      <c r="L8" s="213"/>
      <c r="M8" s="213"/>
      <c r="N8" s="213"/>
      <c r="O8" s="213"/>
      <c r="P8" s="59"/>
      <c r="Q8" s="33"/>
      <c r="R8" s="33"/>
      <c r="S8" s="33"/>
    </row>
    <row r="9" spans="1:21" x14ac:dyDescent="0.2">
      <c r="A9" s="779">
        <v>5110</v>
      </c>
      <c r="B9" s="102" t="s">
        <v>1672</v>
      </c>
      <c r="C9" s="116">
        <v>296676.09999999998</v>
      </c>
      <c r="D9" s="13">
        <v>317703.17</v>
      </c>
      <c r="E9" s="13">
        <f>9155+388922.89</f>
        <v>398077.89</v>
      </c>
      <c r="F9" s="13">
        <f>11469+373319.32</f>
        <v>384788.32</v>
      </c>
      <c r="G9" s="13">
        <v>344810.16</v>
      </c>
      <c r="H9" s="13">
        <v>364652.43</v>
      </c>
      <c r="I9" s="128">
        <f>85.6+362920.23</f>
        <v>363005.82999999996</v>
      </c>
      <c r="J9" s="128">
        <v>374517.52</v>
      </c>
      <c r="K9" s="14">
        <v>402257</v>
      </c>
      <c r="L9" s="128">
        <v>368084.88</v>
      </c>
      <c r="M9" s="14">
        <v>432332</v>
      </c>
      <c r="N9" s="128">
        <v>395398.33</v>
      </c>
      <c r="O9" s="14">
        <f>692+2682+481993</f>
        <v>485367</v>
      </c>
      <c r="P9" s="13">
        <v>198580.36</v>
      </c>
      <c r="Q9" s="610">
        <f>ROUND((+SUM(P73:P82)),0)</f>
        <v>506684</v>
      </c>
      <c r="R9" s="14"/>
      <c r="S9" s="14"/>
    </row>
    <row r="10" spans="1:21" x14ac:dyDescent="0.2">
      <c r="A10" s="779">
        <v>5132</v>
      </c>
      <c r="B10" s="60" t="s">
        <v>1044</v>
      </c>
      <c r="C10" s="116">
        <v>40622.949999999997</v>
      </c>
      <c r="D10" s="13">
        <v>47734.400000000001</v>
      </c>
      <c r="E10" s="13">
        <v>53816.19</v>
      </c>
      <c r="F10" s="13">
        <v>49287.91</v>
      </c>
      <c r="G10" s="13">
        <v>41580.33</v>
      </c>
      <c r="H10" s="13">
        <v>37781.25</v>
      </c>
      <c r="I10" s="13">
        <v>37235.25</v>
      </c>
      <c r="J10" s="13">
        <v>30286.33</v>
      </c>
      <c r="K10" s="14">
        <v>45000</v>
      </c>
      <c r="L10" s="13">
        <v>43743.199999999997</v>
      </c>
      <c r="M10" s="14">
        <v>45000</v>
      </c>
      <c r="N10" s="13">
        <v>46700.07</v>
      </c>
      <c r="O10" s="14">
        <f>1401+45000</f>
        <v>46401</v>
      </c>
      <c r="P10" s="13">
        <v>16550.88</v>
      </c>
      <c r="Q10" s="14">
        <v>46401</v>
      </c>
      <c r="R10" s="14"/>
      <c r="S10" s="14"/>
    </row>
    <row r="11" spans="1:21" x14ac:dyDescent="0.2">
      <c r="A11" s="779">
        <v>5140</v>
      </c>
      <c r="B11" s="60" t="s">
        <v>1673</v>
      </c>
      <c r="C11" s="593">
        <v>8578.26</v>
      </c>
      <c r="D11" s="93">
        <v>7749.24</v>
      </c>
      <c r="E11" s="344">
        <f>-2212.7+8969.83</f>
        <v>6757.13</v>
      </c>
      <c r="F11" s="93">
        <f>-1514.61+8288.9</f>
        <v>6774.29</v>
      </c>
      <c r="G11" s="93">
        <v>11218.94</v>
      </c>
      <c r="H11" s="93">
        <v>11132.47</v>
      </c>
      <c r="I11" s="93">
        <f>4.3+10974.32</f>
        <v>10978.619999999999</v>
      </c>
      <c r="J11" s="93">
        <v>11145.71</v>
      </c>
      <c r="K11" s="57">
        <v>14000</v>
      </c>
      <c r="L11" s="93">
        <f>8785.81+1701+15+200</f>
        <v>10701.81</v>
      </c>
      <c r="M11" s="57">
        <v>14000</v>
      </c>
      <c r="N11" s="93">
        <f>891+9090.82</f>
        <v>9981.82</v>
      </c>
      <c r="O11" s="57">
        <v>14000</v>
      </c>
      <c r="P11" s="93">
        <f>11314.13+3078+60</f>
        <v>14452.13</v>
      </c>
      <c r="Q11" s="57">
        <v>14000</v>
      </c>
      <c r="R11" s="57"/>
      <c r="S11" s="57"/>
    </row>
    <row r="12" spans="1:21" x14ac:dyDescent="0.2">
      <c r="A12" s="779">
        <v>5193</v>
      </c>
      <c r="B12" s="60" t="s">
        <v>941</v>
      </c>
      <c r="C12" s="593"/>
      <c r="D12" s="93"/>
      <c r="E12" s="93"/>
      <c r="F12" s="93">
        <v>8903.26</v>
      </c>
      <c r="G12" s="93">
        <v>6177.6</v>
      </c>
      <c r="H12" s="93">
        <v>3999.44</v>
      </c>
      <c r="I12" s="93">
        <v>0</v>
      </c>
      <c r="J12" s="93">
        <v>1022.8</v>
      </c>
      <c r="K12" s="57"/>
      <c r="L12" s="889">
        <v>2878.39</v>
      </c>
      <c r="M12" s="57"/>
      <c r="N12" s="889">
        <v>573.55999999999995</v>
      </c>
      <c r="O12" s="57"/>
      <c r="P12" s="93"/>
      <c r="Q12" s="57"/>
      <c r="R12" s="57"/>
      <c r="S12" s="57"/>
    </row>
    <row r="13" spans="1:21" ht="13.5" thickBot="1" x14ac:dyDescent="0.25">
      <c r="A13" s="779">
        <v>5194</v>
      </c>
      <c r="B13" s="60" t="s">
        <v>942</v>
      </c>
      <c r="C13" s="594"/>
      <c r="D13" s="303"/>
      <c r="E13" s="303"/>
      <c r="F13" s="303">
        <v>3500</v>
      </c>
      <c r="G13" s="303">
        <v>1167.19</v>
      </c>
      <c r="H13" s="303"/>
      <c r="I13" s="303">
        <v>0</v>
      </c>
      <c r="J13" s="303">
        <v>3500</v>
      </c>
      <c r="K13" s="304"/>
      <c r="L13" s="890"/>
      <c r="M13" s="304"/>
      <c r="N13" s="890"/>
      <c r="O13" s="304"/>
      <c r="P13" s="303"/>
      <c r="Q13" s="304"/>
      <c r="R13" s="304"/>
      <c r="S13" s="304"/>
    </row>
    <row r="14" spans="1:21" x14ac:dyDescent="0.2">
      <c r="A14" s="779"/>
      <c r="B14" s="61" t="s">
        <v>828</v>
      </c>
      <c r="C14" s="118">
        <f t="shared" ref="C14:P14" si="0">SUM(C9:C13)</f>
        <v>345877.31</v>
      </c>
      <c r="D14" s="18">
        <f t="shared" si="0"/>
        <v>373186.81</v>
      </c>
      <c r="E14" s="18">
        <f t="shared" si="0"/>
        <v>458651.21</v>
      </c>
      <c r="F14" s="18">
        <f t="shared" si="0"/>
        <v>453253.77999999997</v>
      </c>
      <c r="G14" s="18">
        <f t="shared" si="0"/>
        <v>404954.22</v>
      </c>
      <c r="H14" s="18">
        <f t="shared" si="0"/>
        <v>417565.58999999997</v>
      </c>
      <c r="I14" s="18">
        <f t="shared" si="0"/>
        <v>411219.69999999995</v>
      </c>
      <c r="J14" s="18">
        <f t="shared" si="0"/>
        <v>420472.36000000004</v>
      </c>
      <c r="K14" s="34">
        <f t="shared" ref="K14:O14" si="1">SUM(K9:K13)</f>
        <v>461257</v>
      </c>
      <c r="L14" s="18">
        <f t="shared" si="1"/>
        <v>425408.28</v>
      </c>
      <c r="M14" s="34">
        <f t="shared" si="1"/>
        <v>491332</v>
      </c>
      <c r="N14" s="18">
        <f t="shared" si="1"/>
        <v>452653.78</v>
      </c>
      <c r="O14" s="34">
        <f t="shared" si="1"/>
        <v>545768</v>
      </c>
      <c r="P14" s="18">
        <f t="shared" si="0"/>
        <v>229583.37</v>
      </c>
      <c r="Q14" s="34">
        <f>SUM(Q9:Q13)</f>
        <v>567085</v>
      </c>
      <c r="R14" s="34">
        <f>+Q14</f>
        <v>567085</v>
      </c>
      <c r="S14" s="34">
        <f>+Q14</f>
        <v>567085</v>
      </c>
    </row>
    <row r="15" spans="1:21" x14ac:dyDescent="0.2">
      <c r="A15" s="779"/>
      <c r="B15" s="60"/>
      <c r="C15" s="116"/>
      <c r="D15" s="13"/>
      <c r="E15" s="13"/>
      <c r="F15" s="13"/>
      <c r="G15" s="13"/>
      <c r="H15" s="13"/>
      <c r="I15" s="13"/>
      <c r="J15" s="13"/>
      <c r="K15" s="14"/>
      <c r="L15" s="13"/>
      <c r="M15" s="14"/>
      <c r="N15" s="13"/>
      <c r="O15" s="14"/>
      <c r="P15" s="13"/>
      <c r="Q15" s="14"/>
      <c r="R15" s="14"/>
      <c r="S15" s="14"/>
      <c r="T15" s="212"/>
    </row>
    <row r="16" spans="1:21" x14ac:dyDescent="0.2">
      <c r="A16" s="779">
        <v>5211</v>
      </c>
      <c r="B16" s="60" t="s">
        <v>1674</v>
      </c>
      <c r="C16" s="116">
        <v>137014.16</v>
      </c>
      <c r="D16" s="13">
        <v>153979.65</v>
      </c>
      <c r="E16" s="13">
        <v>158236.51</v>
      </c>
      <c r="F16" s="13">
        <v>202830.2</v>
      </c>
      <c r="G16" s="13">
        <v>177304.13</v>
      </c>
      <c r="H16" s="13">
        <v>148421.29</v>
      </c>
      <c r="I16" s="13">
        <v>131404.39000000001</v>
      </c>
      <c r="J16" s="13">
        <v>117881.62</v>
      </c>
      <c r="K16" s="14">
        <v>140000</v>
      </c>
      <c r="L16" s="13">
        <v>116458.19</v>
      </c>
      <c r="M16" s="14">
        <v>140000</v>
      </c>
      <c r="N16" s="13">
        <v>116573.4</v>
      </c>
      <c r="O16" s="14">
        <f>50000+140000</f>
        <v>190000</v>
      </c>
      <c r="P16" s="13">
        <v>50707.14</v>
      </c>
      <c r="Q16" s="14">
        <v>173000</v>
      </c>
      <c r="R16" s="14"/>
      <c r="S16" s="14"/>
      <c r="T16" s="1">
        <f>+Q16-O16</f>
        <v>-17000</v>
      </c>
      <c r="U16" s="2"/>
    </row>
    <row r="17" spans="1:21" x14ac:dyDescent="0.2">
      <c r="A17" s="779">
        <v>5211.1000000000004</v>
      </c>
      <c r="B17" s="60" t="s">
        <v>1675</v>
      </c>
      <c r="C17" s="116">
        <v>18658.89</v>
      </c>
      <c r="D17" s="13">
        <v>22524.48</v>
      </c>
      <c r="E17" s="13">
        <v>20914.47</v>
      </c>
      <c r="F17" s="13">
        <v>19466.740000000002</v>
      </c>
      <c r="G17" s="13">
        <v>17307.36</v>
      </c>
      <c r="H17" s="13">
        <v>20107.810000000001</v>
      </c>
      <c r="I17" s="13">
        <v>22051.08</v>
      </c>
      <c r="J17" s="13">
        <v>20843.27</v>
      </c>
      <c r="K17" s="14">
        <v>23000</v>
      </c>
      <c r="L17" s="13">
        <v>19545.88</v>
      </c>
      <c r="M17" s="14">
        <v>23000</v>
      </c>
      <c r="N17" s="13">
        <v>21960.23</v>
      </c>
      <c r="O17" s="14">
        <f>5000+23000</f>
        <v>28000</v>
      </c>
      <c r="P17" s="13">
        <v>9644.0300000000007</v>
      </c>
      <c r="Q17" s="14">
        <v>31000</v>
      </c>
      <c r="R17" s="14"/>
      <c r="S17" s="14"/>
    </row>
    <row r="18" spans="1:21" x14ac:dyDescent="0.2">
      <c r="A18" s="779">
        <v>5213</v>
      </c>
      <c r="B18" s="60" t="s">
        <v>1676</v>
      </c>
      <c r="C18" s="116">
        <v>6649.98</v>
      </c>
      <c r="D18" s="13">
        <v>21358.57</v>
      </c>
      <c r="E18" s="13">
        <v>11430.85</v>
      </c>
      <c r="F18" s="13">
        <v>12732.56</v>
      </c>
      <c r="G18" s="13">
        <v>9500</v>
      </c>
      <c r="H18" s="13">
        <v>14721.35</v>
      </c>
      <c r="I18" s="13">
        <v>16367.06</v>
      </c>
      <c r="J18" s="13">
        <v>16335.31</v>
      </c>
      <c r="K18" s="14">
        <v>16000</v>
      </c>
      <c r="L18" s="128">
        <v>20823.25</v>
      </c>
      <c r="M18" s="14">
        <v>16500</v>
      </c>
      <c r="N18" s="128">
        <v>14686.13</v>
      </c>
      <c r="O18" s="14">
        <v>16500</v>
      </c>
      <c r="P18" s="13">
        <v>29912.47</v>
      </c>
      <c r="Q18" s="14">
        <v>35700</v>
      </c>
      <c r="R18" s="14"/>
      <c r="S18" s="14"/>
      <c r="U18" s="2"/>
    </row>
    <row r="19" spans="1:21" x14ac:dyDescent="0.2">
      <c r="A19" s="779">
        <v>5280</v>
      </c>
      <c r="B19" s="12" t="s">
        <v>1677</v>
      </c>
      <c r="C19" s="13">
        <v>134216.60999999999</v>
      </c>
      <c r="D19" s="13">
        <v>17243.32</v>
      </c>
      <c r="E19" s="13">
        <v>23212.07</v>
      </c>
      <c r="F19" s="13">
        <v>19009.61</v>
      </c>
      <c r="G19" s="13">
        <v>116440.22</v>
      </c>
      <c r="H19" s="13">
        <v>347935.71</v>
      </c>
      <c r="I19" s="13">
        <v>245056.56</v>
      </c>
      <c r="J19" s="13">
        <v>211337.24</v>
      </c>
      <c r="K19" s="14">
        <v>170000</v>
      </c>
      <c r="L19" s="128">
        <v>200533.18</v>
      </c>
      <c r="M19" s="14">
        <v>170000</v>
      </c>
      <c r="N19" s="128">
        <v>169428.66</v>
      </c>
      <c r="O19" s="14">
        <v>321000</v>
      </c>
      <c r="P19" s="13">
        <v>137932.28</v>
      </c>
      <c r="Q19" s="14">
        <v>318000</v>
      </c>
      <c r="R19" s="14"/>
      <c r="S19" s="14"/>
      <c r="U19" s="2"/>
    </row>
    <row r="20" spans="1:21" x14ac:dyDescent="0.2">
      <c r="A20" s="779">
        <v>5300</v>
      </c>
      <c r="B20" s="12" t="s">
        <v>1678</v>
      </c>
      <c r="C20" s="13">
        <v>35721.64</v>
      </c>
      <c r="D20" s="13">
        <v>47452.11</v>
      </c>
      <c r="E20" s="13">
        <v>53067.38</v>
      </c>
      <c r="F20" s="13">
        <v>67725.37</v>
      </c>
      <c r="G20" s="13">
        <v>127093.29</v>
      </c>
      <c r="H20" s="13">
        <v>72531.63</v>
      </c>
      <c r="I20" s="13">
        <f>668.5+247.93+118988.1</f>
        <v>119904.53</v>
      </c>
      <c r="J20" s="13">
        <v>84086.18</v>
      </c>
      <c r="K20" s="14">
        <v>80000</v>
      </c>
      <c r="L20" s="128">
        <v>66549.98</v>
      </c>
      <c r="M20" s="14">
        <v>74000</v>
      </c>
      <c r="N20" s="128">
        <v>37011.85</v>
      </c>
      <c r="O20" s="14">
        <v>44000</v>
      </c>
      <c r="P20" s="13">
        <v>16253.77</v>
      </c>
      <c r="Q20" s="14">
        <v>44000</v>
      </c>
      <c r="R20" s="14"/>
      <c r="S20" s="14"/>
      <c r="U20" s="2"/>
    </row>
    <row r="21" spans="1:21" x14ac:dyDescent="0.2">
      <c r="A21" s="779">
        <v>5301</v>
      </c>
      <c r="B21" s="12" t="s">
        <v>1679</v>
      </c>
      <c r="C21" s="13"/>
      <c r="D21" s="13"/>
      <c r="E21" s="13"/>
      <c r="F21" s="13"/>
      <c r="G21" s="13"/>
      <c r="H21" s="13"/>
      <c r="I21" s="13"/>
      <c r="J21" s="13"/>
      <c r="K21" s="14"/>
      <c r="L21" s="128">
        <v>5455.82</v>
      </c>
      <c r="M21" s="14">
        <v>6000</v>
      </c>
      <c r="N21" s="128">
        <v>19994.330000000002</v>
      </c>
      <c r="O21" s="14">
        <v>7200</v>
      </c>
      <c r="P21" s="13">
        <v>9869.06</v>
      </c>
      <c r="Q21" s="14">
        <v>7200</v>
      </c>
      <c r="R21" s="14"/>
      <c r="S21" s="14"/>
      <c r="U21" s="2"/>
    </row>
    <row r="22" spans="1:21" x14ac:dyDescent="0.2">
      <c r="A22" s="779">
        <v>5304</v>
      </c>
      <c r="B22" s="12" t="s">
        <v>1680</v>
      </c>
      <c r="C22" s="13"/>
      <c r="D22" s="13"/>
      <c r="E22" s="13"/>
      <c r="F22" s="13"/>
      <c r="G22" s="13"/>
      <c r="H22" s="13"/>
      <c r="I22" s="13"/>
      <c r="J22" s="13"/>
      <c r="K22" s="14"/>
      <c r="L22" s="128">
        <v>212.54</v>
      </c>
      <c r="M22" s="14"/>
      <c r="N22" s="128">
        <v>33.61</v>
      </c>
      <c r="O22" s="14">
        <v>500</v>
      </c>
      <c r="P22" s="13">
        <v>101.65</v>
      </c>
      <c r="Q22" s="14">
        <v>500</v>
      </c>
      <c r="R22" s="14"/>
      <c r="S22" s="14"/>
      <c r="U22" s="2"/>
    </row>
    <row r="23" spans="1:21" x14ac:dyDescent="0.2">
      <c r="A23" s="779">
        <v>5305</v>
      </c>
      <c r="B23" s="12" t="s">
        <v>1681</v>
      </c>
      <c r="C23" s="13"/>
      <c r="D23" s="13"/>
      <c r="E23" s="13"/>
      <c r="F23" s="13"/>
      <c r="G23" s="13"/>
      <c r="H23" s="13"/>
      <c r="I23" s="13"/>
      <c r="J23" s="13"/>
      <c r="K23" s="14"/>
      <c r="L23" s="128">
        <v>30602.77</v>
      </c>
      <c r="M23" s="14"/>
      <c r="N23" s="128">
        <v>49669.85</v>
      </c>
      <c r="O23" s="14">
        <v>35000</v>
      </c>
      <c r="P23" s="13">
        <v>9550.2199999999993</v>
      </c>
      <c r="Q23" s="14">
        <v>35000</v>
      </c>
      <c r="R23" s="14"/>
      <c r="S23" s="14"/>
      <c r="U23" s="2"/>
    </row>
    <row r="24" spans="1:21" x14ac:dyDescent="0.2">
      <c r="A24" s="779">
        <v>5310</v>
      </c>
      <c r="B24" s="12" t="s">
        <v>1682</v>
      </c>
      <c r="C24" s="13">
        <v>12172.69</v>
      </c>
      <c r="D24" s="13">
        <v>14914.04</v>
      </c>
      <c r="E24" s="13">
        <v>14098.49</v>
      </c>
      <c r="F24" s="13">
        <v>21070.639999999999</v>
      </c>
      <c r="G24" s="13">
        <v>5527.94</v>
      </c>
      <c r="H24" s="13">
        <v>6258.04</v>
      </c>
      <c r="I24" s="13">
        <v>7562.31</v>
      </c>
      <c r="J24" s="13">
        <v>3632.98</v>
      </c>
      <c r="K24" s="14">
        <v>6000</v>
      </c>
      <c r="L24" s="13">
        <v>14806.16</v>
      </c>
      <c r="M24" s="14">
        <v>6000</v>
      </c>
      <c r="N24" s="13">
        <v>25182.74</v>
      </c>
      <c r="O24" s="14">
        <v>6000</v>
      </c>
      <c r="P24" s="13">
        <v>11951.23</v>
      </c>
      <c r="Q24" s="14">
        <v>6000</v>
      </c>
      <c r="R24" s="14"/>
      <c r="S24" s="14"/>
      <c r="U24" s="2"/>
    </row>
    <row r="25" spans="1:21" x14ac:dyDescent="0.2">
      <c r="A25" s="779">
        <v>5320</v>
      </c>
      <c r="B25" s="12" t="s">
        <v>1683</v>
      </c>
      <c r="C25" s="13">
        <v>4819.55</v>
      </c>
      <c r="D25" s="13">
        <v>3932.01</v>
      </c>
      <c r="E25" s="13">
        <v>3421.26</v>
      </c>
      <c r="F25" s="13">
        <v>4986.45</v>
      </c>
      <c r="G25" s="13">
        <v>370</v>
      </c>
      <c r="H25" s="13">
        <v>2304.7600000000002</v>
      </c>
      <c r="I25" s="13">
        <v>3057.15</v>
      </c>
      <c r="J25" s="13">
        <v>8948.39</v>
      </c>
      <c r="K25" s="14">
        <v>5000</v>
      </c>
      <c r="L25" s="13">
        <v>10328.93</v>
      </c>
      <c r="M25" s="14">
        <v>5000</v>
      </c>
      <c r="N25" s="13">
        <v>8719.49</v>
      </c>
      <c r="O25" s="14">
        <v>5000</v>
      </c>
      <c r="P25" s="13">
        <v>3159.86</v>
      </c>
      <c r="Q25" s="14">
        <v>5000</v>
      </c>
      <c r="R25" s="14"/>
      <c r="S25" s="14"/>
      <c r="U25" s="2"/>
    </row>
    <row r="26" spans="1:21" x14ac:dyDescent="0.2">
      <c r="A26" s="779">
        <v>5340</v>
      </c>
      <c r="B26" s="12" t="s">
        <v>1684</v>
      </c>
      <c r="C26" s="13">
        <v>4512.16</v>
      </c>
      <c r="D26" s="13">
        <v>5927.79</v>
      </c>
      <c r="E26" s="13">
        <v>4900.01</v>
      </c>
      <c r="F26" s="13">
        <v>6659.89</v>
      </c>
      <c r="G26" s="13">
        <v>10068.68</v>
      </c>
      <c r="H26" s="13">
        <v>6947.79</v>
      </c>
      <c r="I26" s="13">
        <v>5122.66</v>
      </c>
      <c r="J26" s="13">
        <v>7895.55</v>
      </c>
      <c r="K26" s="14">
        <v>5500</v>
      </c>
      <c r="L26" s="13">
        <v>12827.09</v>
      </c>
      <c r="M26" s="14">
        <v>6500</v>
      </c>
      <c r="N26" s="13">
        <v>3870.16</v>
      </c>
      <c r="O26" s="14">
        <v>6500</v>
      </c>
      <c r="P26" s="13">
        <v>965.95</v>
      </c>
      <c r="Q26" s="14">
        <v>6500</v>
      </c>
      <c r="R26" s="14"/>
      <c r="S26" s="14"/>
      <c r="U26" s="2"/>
    </row>
    <row r="27" spans="1:21" x14ac:dyDescent="0.2">
      <c r="A27" s="779">
        <v>5360</v>
      </c>
      <c r="B27" s="12" t="s">
        <v>1685</v>
      </c>
      <c r="C27" s="13">
        <v>9859.64</v>
      </c>
      <c r="D27" s="13">
        <v>5291.42</v>
      </c>
      <c r="E27" s="13">
        <v>8758.2900000000009</v>
      </c>
      <c r="F27" s="13">
        <v>2497.3200000000002</v>
      </c>
      <c r="G27" s="13">
        <v>438.84</v>
      </c>
      <c r="H27" s="13">
        <v>833.51</v>
      </c>
      <c r="I27" s="13">
        <v>2535.92</v>
      </c>
      <c r="J27" s="13">
        <v>370.47</v>
      </c>
      <c r="K27" s="14">
        <v>4000</v>
      </c>
      <c r="L27" s="13">
        <v>3472.83</v>
      </c>
      <c r="M27" s="14">
        <v>2500</v>
      </c>
      <c r="N27" s="13">
        <v>8530.2999999999993</v>
      </c>
      <c r="O27" s="14">
        <v>2500</v>
      </c>
      <c r="P27" s="13">
        <v>11852.49</v>
      </c>
      <c r="Q27" s="14">
        <v>5000</v>
      </c>
      <c r="R27" s="14"/>
      <c r="S27" s="14"/>
      <c r="U27" s="2"/>
    </row>
    <row r="28" spans="1:21" x14ac:dyDescent="0.2">
      <c r="A28" s="779">
        <v>5370</v>
      </c>
      <c r="B28" s="12" t="s">
        <v>1686</v>
      </c>
      <c r="C28" s="13">
        <v>39750.15</v>
      </c>
      <c r="D28" s="13">
        <v>52934.559999999998</v>
      </c>
      <c r="E28" s="13">
        <v>37319.800000000003</v>
      </c>
      <c r="F28" s="13">
        <v>33062.550000000003</v>
      </c>
      <c r="G28" s="13">
        <v>20465.38</v>
      </c>
      <c r="H28" s="13">
        <v>11041.44</v>
      </c>
      <c r="I28" s="13">
        <v>3300.07</v>
      </c>
      <c r="J28" s="13">
        <v>6677.25</v>
      </c>
      <c r="K28" s="14">
        <v>18000</v>
      </c>
      <c r="L28" s="13">
        <f>742.19+14873.95</f>
        <v>15616.140000000001</v>
      </c>
      <c r="M28" s="14">
        <v>13500</v>
      </c>
      <c r="N28" s="13">
        <v>17069.759999999998</v>
      </c>
      <c r="O28" s="14">
        <v>16000</v>
      </c>
      <c r="P28" s="13">
        <v>12351.63</v>
      </c>
      <c r="Q28" s="14">
        <v>16000</v>
      </c>
      <c r="R28" s="14"/>
      <c r="S28" s="14"/>
      <c r="U28" s="2"/>
    </row>
    <row r="29" spans="1:21" x14ac:dyDescent="0.2">
      <c r="A29" s="779">
        <v>5371</v>
      </c>
      <c r="B29" s="12" t="s">
        <v>1687</v>
      </c>
      <c r="C29" s="13"/>
      <c r="D29" s="13"/>
      <c r="E29" s="13"/>
      <c r="F29" s="13"/>
      <c r="G29" s="13"/>
      <c r="H29" s="13"/>
      <c r="I29" s="13"/>
      <c r="J29" s="13"/>
      <c r="K29" s="14"/>
      <c r="L29" s="13">
        <v>7829.94</v>
      </c>
      <c r="M29" s="14">
        <v>6000</v>
      </c>
      <c r="N29" s="13">
        <v>10988.28</v>
      </c>
      <c r="O29" s="14">
        <v>6000</v>
      </c>
      <c r="P29" s="13">
        <v>72.94</v>
      </c>
      <c r="Q29" s="14">
        <v>6000</v>
      </c>
      <c r="R29" s="14"/>
      <c r="S29" s="14"/>
      <c r="U29" s="2"/>
    </row>
    <row r="30" spans="1:21" x14ac:dyDescent="0.2">
      <c r="A30" s="779">
        <v>5400</v>
      </c>
      <c r="B30" s="12" t="s">
        <v>1688</v>
      </c>
      <c r="C30" s="13">
        <v>126571.34</v>
      </c>
      <c r="D30" s="13">
        <v>194414.73</v>
      </c>
      <c r="E30" s="13">
        <v>187781.86</v>
      </c>
      <c r="F30" s="13">
        <v>161595.32999999999</v>
      </c>
      <c r="G30" s="13">
        <v>145944.88</v>
      </c>
      <c r="H30" s="13">
        <v>83636.39</v>
      </c>
      <c r="I30" s="13">
        <v>108153.09</v>
      </c>
      <c r="J30" s="13">
        <v>130627.74</v>
      </c>
      <c r="K30" s="14">
        <v>120000</v>
      </c>
      <c r="L30" s="13">
        <v>25710.06</v>
      </c>
      <c r="M30" s="14">
        <v>116000</v>
      </c>
      <c r="N30" s="13">
        <v>7827.55</v>
      </c>
      <c r="O30" s="14">
        <v>72500</v>
      </c>
      <c r="P30" s="13">
        <v>21947.01</v>
      </c>
      <c r="Q30" s="14">
        <v>60000</v>
      </c>
      <c r="R30" s="14"/>
      <c r="S30" s="14"/>
      <c r="U30" s="2"/>
    </row>
    <row r="31" spans="1:21" x14ac:dyDescent="0.2">
      <c r="A31" s="779">
        <v>5401</v>
      </c>
      <c r="B31" s="12" t="s">
        <v>1689</v>
      </c>
      <c r="C31" s="13"/>
      <c r="D31" s="13"/>
      <c r="E31" s="13"/>
      <c r="F31" s="13"/>
      <c r="G31" s="13"/>
      <c r="H31" s="13"/>
      <c r="I31" s="13"/>
      <c r="J31" s="13"/>
      <c r="K31" s="14"/>
      <c r="L31" s="13">
        <v>3312.65</v>
      </c>
      <c r="M31" s="14"/>
      <c r="N31" s="13">
        <v>22014.17</v>
      </c>
      <c r="O31" s="14">
        <v>5000</v>
      </c>
      <c r="P31" s="13"/>
      <c r="Q31" s="14">
        <v>5000</v>
      </c>
      <c r="R31" s="14"/>
      <c r="S31" s="14"/>
      <c r="U31" s="2"/>
    </row>
    <row r="32" spans="1:21" x14ac:dyDescent="0.2">
      <c r="A32" s="779">
        <v>5402</v>
      </c>
      <c r="B32" s="12" t="s">
        <v>1690</v>
      </c>
      <c r="C32" s="13"/>
      <c r="D32" s="13"/>
      <c r="E32" s="13"/>
      <c r="F32" s="13"/>
      <c r="G32" s="13"/>
      <c r="H32" s="13"/>
      <c r="I32" s="13"/>
      <c r="J32" s="13"/>
      <c r="K32" s="14"/>
      <c r="L32" s="13">
        <v>27708.65</v>
      </c>
      <c r="M32" s="14"/>
      <c r="N32" s="13">
        <v>19379.96</v>
      </c>
      <c r="O32" s="14">
        <v>30000</v>
      </c>
      <c r="P32" s="13">
        <v>1913.76</v>
      </c>
      <c r="Q32" s="14">
        <v>23000</v>
      </c>
      <c r="R32" s="14"/>
      <c r="S32" s="14"/>
      <c r="U32" s="2"/>
    </row>
    <row r="33" spans="1:21" x14ac:dyDescent="0.2">
      <c r="A33" s="779">
        <v>5403</v>
      </c>
      <c r="B33" s="12" t="s">
        <v>1691</v>
      </c>
      <c r="C33" s="13"/>
      <c r="D33" s="13"/>
      <c r="E33" s="13"/>
      <c r="F33" s="13"/>
      <c r="G33" s="13"/>
      <c r="H33" s="13"/>
      <c r="I33" s="13"/>
      <c r="J33" s="13"/>
      <c r="K33" s="14"/>
      <c r="L33" s="13">
        <v>6345.81</v>
      </c>
      <c r="M33" s="14"/>
      <c r="N33" s="13">
        <v>7318.88</v>
      </c>
      <c r="O33" s="14">
        <v>7000</v>
      </c>
      <c r="P33" s="13">
        <v>4514.3100000000004</v>
      </c>
      <c r="Q33" s="14">
        <v>7000</v>
      </c>
      <c r="R33" s="14"/>
      <c r="S33" s="14"/>
      <c r="U33" s="2"/>
    </row>
    <row r="34" spans="1:21" hidden="1" x14ac:dyDescent="0.2">
      <c r="A34" s="779">
        <v>5401</v>
      </c>
      <c r="B34" s="12" t="s">
        <v>1689</v>
      </c>
      <c r="C34" s="13"/>
      <c r="D34" s="13"/>
      <c r="E34" s="13"/>
      <c r="F34" s="13"/>
      <c r="G34" s="13"/>
      <c r="H34" s="13"/>
      <c r="I34" s="13"/>
      <c r="J34" s="13"/>
      <c r="K34" s="14"/>
      <c r="L34" s="13"/>
      <c r="M34" s="14">
        <f t="shared" ref="M34:M45" si="2">ROUND((+I34*1.01),0)</f>
        <v>0</v>
      </c>
      <c r="N34" s="13"/>
      <c r="O34" s="14">
        <f>ROUND((+I34*1.01),0)</f>
        <v>0</v>
      </c>
      <c r="P34" s="13"/>
      <c r="Q34" s="14">
        <f>ROUND((+K34*1.01),0)</f>
        <v>0</v>
      </c>
      <c r="R34" s="14"/>
      <c r="S34" s="14"/>
      <c r="U34" s="2"/>
    </row>
    <row r="35" spans="1:21" hidden="1" x14ac:dyDescent="0.2">
      <c r="A35" s="779">
        <v>5402</v>
      </c>
      <c r="B35" s="12" t="s">
        <v>1692</v>
      </c>
      <c r="C35" s="13"/>
      <c r="D35" s="13"/>
      <c r="E35" s="13"/>
      <c r="F35" s="13"/>
      <c r="G35" s="13"/>
      <c r="H35" s="13"/>
      <c r="I35" s="13"/>
      <c r="J35" s="13"/>
      <c r="K35" s="14"/>
      <c r="L35" s="13"/>
      <c r="M35" s="14">
        <f t="shared" si="2"/>
        <v>0</v>
      </c>
      <c r="N35" s="13"/>
      <c r="O35" s="14">
        <f>ROUND((+I35*1.01),0)</f>
        <v>0</v>
      </c>
      <c r="P35" s="13"/>
      <c r="Q35" s="14">
        <f>ROUND((+K35*1.01),0)</f>
        <v>0</v>
      </c>
      <c r="R35" s="14"/>
      <c r="S35" s="14"/>
      <c r="U35" s="2"/>
    </row>
    <row r="36" spans="1:21" hidden="1" x14ac:dyDescent="0.2">
      <c r="A36" s="779">
        <v>5403</v>
      </c>
      <c r="B36" s="12" t="s">
        <v>1691</v>
      </c>
      <c r="C36" s="13"/>
      <c r="D36" s="13"/>
      <c r="E36" s="13"/>
      <c r="F36" s="13"/>
      <c r="G36" s="13"/>
      <c r="H36" s="13"/>
      <c r="I36" s="13"/>
      <c r="J36" s="13"/>
      <c r="K36" s="14"/>
      <c r="L36" s="13"/>
      <c r="M36" s="14">
        <f t="shared" si="2"/>
        <v>0</v>
      </c>
      <c r="N36" s="13"/>
      <c r="O36" s="14">
        <f>ROUND((+I36*1.01),0)</f>
        <v>0</v>
      </c>
      <c r="P36" s="13"/>
      <c r="Q36" s="14">
        <f>ROUND((+K36*1.01),0)</f>
        <v>0</v>
      </c>
      <c r="R36" s="14"/>
      <c r="S36" s="14"/>
      <c r="U36" s="2"/>
    </row>
    <row r="37" spans="1:21" x14ac:dyDescent="0.2">
      <c r="A37" s="779">
        <v>5404</v>
      </c>
      <c r="B37" s="12" t="s">
        <v>1693</v>
      </c>
      <c r="C37" s="13">
        <v>32931.160000000003</v>
      </c>
      <c r="D37" s="13">
        <v>34304.69</v>
      </c>
      <c r="E37" s="13">
        <v>88858.54</v>
      </c>
      <c r="F37" s="13">
        <v>47817.16</v>
      </c>
      <c r="G37" s="13">
        <v>23258.93</v>
      </c>
      <c r="H37" s="13">
        <v>10008.66</v>
      </c>
      <c r="I37" s="13">
        <v>2276.17</v>
      </c>
      <c r="J37" s="13">
        <v>61810.96</v>
      </c>
      <c r="K37" s="14">
        <v>20000</v>
      </c>
      <c r="L37" s="13">
        <v>7122.36</v>
      </c>
      <c r="M37" s="14">
        <v>20000</v>
      </c>
      <c r="N37" s="13">
        <v>32650.69</v>
      </c>
      <c r="O37" s="14">
        <v>20000</v>
      </c>
      <c r="P37" s="13">
        <v>6383.56</v>
      </c>
      <c r="Q37" s="14">
        <v>20000</v>
      </c>
      <c r="R37" s="14"/>
      <c r="S37" s="14"/>
      <c r="U37" s="2"/>
    </row>
    <row r="38" spans="1:21" x14ac:dyDescent="0.2">
      <c r="A38" s="779">
        <v>5406</v>
      </c>
      <c r="B38" s="12" t="s">
        <v>1694</v>
      </c>
      <c r="C38" s="13"/>
      <c r="D38" s="13"/>
      <c r="E38" s="13"/>
      <c r="F38" s="13"/>
      <c r="G38" s="13"/>
      <c r="H38" s="13"/>
      <c r="I38" s="13"/>
      <c r="J38" s="13"/>
      <c r="K38" s="14"/>
      <c r="L38" s="13">
        <v>1528.49</v>
      </c>
      <c r="M38" s="14">
        <v>3000</v>
      </c>
      <c r="N38" s="13">
        <v>6049.43</v>
      </c>
      <c r="O38" s="14">
        <v>3000</v>
      </c>
      <c r="P38" s="13">
        <v>7844.69</v>
      </c>
      <c r="Q38" s="14">
        <v>10000</v>
      </c>
      <c r="R38" s="14"/>
      <c r="S38" s="14"/>
      <c r="U38" s="2"/>
    </row>
    <row r="39" spans="1:21" x14ac:dyDescent="0.2">
      <c r="A39" s="779">
        <v>5407</v>
      </c>
      <c r="B39" s="12" t="s">
        <v>1695</v>
      </c>
      <c r="C39" s="13"/>
      <c r="D39" s="13"/>
      <c r="E39" s="13"/>
      <c r="F39" s="13"/>
      <c r="G39" s="13"/>
      <c r="H39" s="13"/>
      <c r="I39" s="13"/>
      <c r="J39" s="13"/>
      <c r="K39" s="14"/>
      <c r="L39" s="13">
        <v>1187.33</v>
      </c>
      <c r="M39" s="14">
        <f t="shared" si="2"/>
        <v>0</v>
      </c>
      <c r="N39" s="13">
        <v>8708.18</v>
      </c>
      <c r="O39" s="14">
        <v>1500</v>
      </c>
      <c r="P39" s="13">
        <v>468.02</v>
      </c>
      <c r="Q39" s="14">
        <v>1500</v>
      </c>
      <c r="R39" s="14"/>
      <c r="S39" s="14"/>
      <c r="U39" s="2"/>
    </row>
    <row r="40" spans="1:21" x14ac:dyDescent="0.2">
      <c r="A40" s="779">
        <v>5408</v>
      </c>
      <c r="B40" s="12" t="s">
        <v>1696</v>
      </c>
      <c r="C40" s="13"/>
      <c r="D40" s="13"/>
      <c r="E40" s="13"/>
      <c r="F40" s="13"/>
      <c r="G40" s="13"/>
      <c r="H40" s="13"/>
      <c r="I40" s="13"/>
      <c r="J40" s="13"/>
      <c r="K40" s="14"/>
      <c r="L40" s="13">
        <v>304.92</v>
      </c>
      <c r="M40" s="14">
        <v>1000</v>
      </c>
      <c r="N40" s="13">
        <v>495.23</v>
      </c>
      <c r="O40" s="14">
        <v>1000</v>
      </c>
      <c r="P40" s="13">
        <v>500</v>
      </c>
      <c r="Q40" s="14">
        <v>1000</v>
      </c>
      <c r="R40" s="14"/>
      <c r="S40" s="14"/>
      <c r="U40" s="2"/>
    </row>
    <row r="41" spans="1:21" x14ac:dyDescent="0.2">
      <c r="A41" s="779">
        <v>5409</v>
      </c>
      <c r="B41" s="12" t="s">
        <v>1697</v>
      </c>
      <c r="C41" s="13"/>
      <c r="D41" s="13"/>
      <c r="E41" s="13"/>
      <c r="F41" s="13"/>
      <c r="G41" s="13"/>
      <c r="H41" s="13"/>
      <c r="I41" s="13"/>
      <c r="J41" s="13"/>
      <c r="K41" s="14"/>
      <c r="L41" s="13">
        <v>10685.36</v>
      </c>
      <c r="M41" s="14"/>
      <c r="N41" s="13">
        <v>3015.93</v>
      </c>
      <c r="O41" s="14">
        <v>10000</v>
      </c>
      <c r="P41" s="13">
        <v>1355.6</v>
      </c>
      <c r="Q41" s="14">
        <v>10000</v>
      </c>
      <c r="R41" s="14"/>
      <c r="S41" s="14"/>
      <c r="U41" s="2"/>
    </row>
    <row r="42" spans="1:21" x14ac:dyDescent="0.2">
      <c r="A42" s="779">
        <v>5410</v>
      </c>
      <c r="B42" s="12" t="s">
        <v>1698</v>
      </c>
      <c r="C42" s="13">
        <v>21656.47</v>
      </c>
      <c r="D42" s="13">
        <v>25981.439999999999</v>
      </c>
      <c r="E42" s="13">
        <v>46877.97</v>
      </c>
      <c r="F42" s="13">
        <v>12200.02</v>
      </c>
      <c r="G42" s="13">
        <v>8605.7999999999993</v>
      </c>
      <c r="H42" s="13">
        <v>19472.38</v>
      </c>
      <c r="I42" s="13">
        <v>31174.57</v>
      </c>
      <c r="J42" s="13">
        <v>57417.25</v>
      </c>
      <c r="K42" s="14">
        <v>30000</v>
      </c>
      <c r="L42" s="13">
        <v>26884.77</v>
      </c>
      <c r="M42" s="14">
        <v>30000</v>
      </c>
      <c r="N42" s="13">
        <v>57237.17</v>
      </c>
      <c r="O42" s="14">
        <v>30000</v>
      </c>
      <c r="P42" s="13">
        <v>17452.2</v>
      </c>
      <c r="Q42" s="14">
        <v>40000</v>
      </c>
      <c r="R42" s="14"/>
      <c r="S42" s="14"/>
      <c r="U42" s="2"/>
    </row>
    <row r="43" spans="1:21" x14ac:dyDescent="0.2">
      <c r="A43" s="779">
        <v>5411</v>
      </c>
      <c r="B43" s="12" t="s">
        <v>1699</v>
      </c>
      <c r="C43" s="13"/>
      <c r="D43" s="13"/>
      <c r="E43" s="13"/>
      <c r="F43" s="13"/>
      <c r="G43" s="13"/>
      <c r="H43" s="13"/>
      <c r="I43" s="13"/>
      <c r="J43" s="13"/>
      <c r="K43" s="14">
        <v>10000</v>
      </c>
      <c r="L43" s="13">
        <v>30782.02</v>
      </c>
      <c r="M43" s="14">
        <v>10000</v>
      </c>
      <c r="N43" s="13">
        <v>23308.19</v>
      </c>
      <c r="O43" s="14">
        <v>10000</v>
      </c>
      <c r="P43" s="13">
        <v>4201.51</v>
      </c>
      <c r="Q43" s="14">
        <v>10000</v>
      </c>
      <c r="R43" s="14"/>
      <c r="S43" s="14"/>
      <c r="U43" s="2"/>
    </row>
    <row r="44" spans="1:21" x14ac:dyDescent="0.2">
      <c r="A44" s="779">
        <v>5415</v>
      </c>
      <c r="B44" s="12" t="s">
        <v>1307</v>
      </c>
      <c r="C44" s="13"/>
      <c r="D44" s="13"/>
      <c r="E44" s="13"/>
      <c r="F44" s="13"/>
      <c r="G44" s="13"/>
      <c r="H44" s="13"/>
      <c r="I44" s="13"/>
      <c r="J44" s="13"/>
      <c r="K44" s="14"/>
      <c r="L44" s="13">
        <v>2565.2399999999998</v>
      </c>
      <c r="M44" s="14">
        <f t="shared" si="2"/>
        <v>0</v>
      </c>
      <c r="N44" s="13">
        <v>1965.51</v>
      </c>
      <c r="O44" s="14">
        <v>4000</v>
      </c>
      <c r="P44" s="13"/>
      <c r="Q44" s="14">
        <v>4000</v>
      </c>
      <c r="R44" s="14"/>
      <c r="S44" s="14"/>
      <c r="U44" s="2"/>
    </row>
    <row r="45" spans="1:21" x14ac:dyDescent="0.2">
      <c r="A45" s="779">
        <v>5418</v>
      </c>
      <c r="B45" s="12" t="s">
        <v>1700</v>
      </c>
      <c r="C45" s="13"/>
      <c r="D45" s="13"/>
      <c r="E45" s="13"/>
      <c r="F45" s="13"/>
      <c r="G45" s="13"/>
      <c r="H45" s="13"/>
      <c r="I45" s="13"/>
      <c r="J45" s="13"/>
      <c r="K45" s="14"/>
      <c r="L45" s="13">
        <v>10413.18</v>
      </c>
      <c r="M45" s="14">
        <f t="shared" si="2"/>
        <v>0</v>
      </c>
      <c r="N45" s="13">
        <v>13567.16</v>
      </c>
      <c r="O45" s="14">
        <v>20000</v>
      </c>
      <c r="P45" s="13">
        <v>10860.2</v>
      </c>
      <c r="Q45" s="14">
        <v>20000</v>
      </c>
      <c r="R45" s="14"/>
      <c r="S45" s="14"/>
      <c r="U45" s="2"/>
    </row>
    <row r="46" spans="1:21" x14ac:dyDescent="0.2">
      <c r="A46" s="779">
        <v>5430</v>
      </c>
      <c r="B46" s="12" t="s">
        <v>1701</v>
      </c>
      <c r="C46" s="13">
        <v>16058.02</v>
      </c>
      <c r="D46" s="13">
        <v>23466.39</v>
      </c>
      <c r="E46" s="13">
        <v>24610.799999999999</v>
      </c>
      <c r="F46" s="13">
        <v>55782.86</v>
      </c>
      <c r="G46" s="13">
        <v>16029</v>
      </c>
      <c r="H46" s="13">
        <v>705</v>
      </c>
      <c r="I46" s="13">
        <v>2195.85</v>
      </c>
      <c r="J46" s="13">
        <v>16468.03</v>
      </c>
      <c r="K46" s="14">
        <v>20000</v>
      </c>
      <c r="L46" s="13">
        <v>15671.5</v>
      </c>
      <c r="M46" s="14">
        <v>20000</v>
      </c>
      <c r="N46" s="13">
        <v>16053</v>
      </c>
      <c r="O46" s="14">
        <v>20000</v>
      </c>
      <c r="P46" s="13">
        <v>7332</v>
      </c>
      <c r="Q46" s="1126"/>
      <c r="R46" s="14"/>
      <c r="S46" s="14"/>
      <c r="U46" s="2"/>
    </row>
    <row r="47" spans="1:21" x14ac:dyDescent="0.2">
      <c r="A47" s="779">
        <v>5440</v>
      </c>
      <c r="B47" s="12" t="s">
        <v>1702</v>
      </c>
      <c r="C47" s="13">
        <v>46269.23</v>
      </c>
      <c r="D47" s="13">
        <v>31458.29</v>
      </c>
      <c r="E47" s="13">
        <v>19023.48</v>
      </c>
      <c r="F47" s="13">
        <v>30718.17</v>
      </c>
      <c r="G47" s="13">
        <v>67408.289999999994</v>
      </c>
      <c r="H47" s="13">
        <v>26522.48</v>
      </c>
      <c r="I47" s="13">
        <f>140+218+130.08+47257.64</f>
        <v>47745.72</v>
      </c>
      <c r="J47" s="13">
        <v>31422.400000000001</v>
      </c>
      <c r="K47" s="14">
        <v>35000</v>
      </c>
      <c r="L47" s="13">
        <v>7344.51</v>
      </c>
      <c r="M47" s="14">
        <v>29000</v>
      </c>
      <c r="N47" s="13">
        <v>32143.93</v>
      </c>
      <c r="O47" s="14">
        <v>19000</v>
      </c>
      <c r="P47" s="13">
        <v>8235.5</v>
      </c>
      <c r="Q47" s="14">
        <v>19000</v>
      </c>
      <c r="R47" s="14"/>
      <c r="S47" s="14"/>
      <c r="U47" s="2"/>
    </row>
    <row r="48" spans="1:21" x14ac:dyDescent="0.2">
      <c r="A48" s="779">
        <v>5446</v>
      </c>
      <c r="B48" s="12" t="s">
        <v>1703</v>
      </c>
      <c r="C48" s="13"/>
      <c r="D48" s="13"/>
      <c r="E48" s="13"/>
      <c r="F48" s="13"/>
      <c r="G48" s="13"/>
      <c r="H48" s="13"/>
      <c r="I48" s="13"/>
      <c r="J48" s="13"/>
      <c r="K48" s="14"/>
      <c r="L48" s="13">
        <v>8951.2199999999993</v>
      </c>
      <c r="M48" s="14">
        <v>6000</v>
      </c>
      <c r="N48" s="13">
        <v>21430.98</v>
      </c>
      <c r="O48" s="14">
        <v>12000</v>
      </c>
      <c r="P48" s="13">
        <v>5957.6</v>
      </c>
      <c r="Q48" s="14">
        <v>12000</v>
      </c>
      <c r="R48" s="14"/>
      <c r="S48" s="14"/>
      <c r="U48" s="2"/>
    </row>
    <row r="49" spans="1:21" x14ac:dyDescent="0.2">
      <c r="A49" s="779">
        <v>5470</v>
      </c>
      <c r="B49" s="12" t="s">
        <v>1704</v>
      </c>
      <c r="C49" s="13"/>
      <c r="D49" s="13"/>
      <c r="E49" s="13"/>
      <c r="F49" s="13"/>
      <c r="G49" s="13"/>
      <c r="H49" s="13"/>
      <c r="I49" s="13">
        <v>29042</v>
      </c>
      <c r="J49" s="13">
        <v>52923.28</v>
      </c>
      <c r="K49" s="14">
        <v>60000</v>
      </c>
      <c r="L49" s="13">
        <v>42409.71</v>
      </c>
      <c r="M49" s="14">
        <v>60000</v>
      </c>
      <c r="N49" s="13">
        <v>40929.5</v>
      </c>
      <c r="O49" s="14">
        <v>30000</v>
      </c>
      <c r="P49" s="13">
        <v>33607.760000000002</v>
      </c>
      <c r="Q49" s="14">
        <v>30000</v>
      </c>
      <c r="R49" s="14"/>
      <c r="S49" s="14"/>
      <c r="U49" s="2"/>
    </row>
    <row r="50" spans="1:21" x14ac:dyDescent="0.2">
      <c r="A50" s="779">
        <v>5480</v>
      </c>
      <c r="B50" s="12" t="s">
        <v>1705</v>
      </c>
      <c r="C50" s="13">
        <v>11760.01</v>
      </c>
      <c r="D50" s="13">
        <v>11814.95</v>
      </c>
      <c r="E50" s="13">
        <v>9174.5300000000007</v>
      </c>
      <c r="F50" s="13">
        <v>8255.25</v>
      </c>
      <c r="G50" s="13">
        <v>2520.9499999999998</v>
      </c>
      <c r="H50" s="13">
        <v>3482.22</v>
      </c>
      <c r="I50" s="13">
        <v>2718.38</v>
      </c>
      <c r="J50" s="13">
        <v>4500.5600000000004</v>
      </c>
      <c r="K50" s="14">
        <v>6000</v>
      </c>
      <c r="L50" s="13">
        <v>4664.33</v>
      </c>
      <c r="M50" s="14">
        <v>6000</v>
      </c>
      <c r="N50" s="13">
        <v>3434.3</v>
      </c>
      <c r="O50" s="14">
        <v>6000</v>
      </c>
      <c r="P50" s="13">
        <v>1873.4</v>
      </c>
      <c r="Q50" s="14">
        <v>6000</v>
      </c>
      <c r="R50" s="14"/>
      <c r="S50" s="14"/>
      <c r="U50" s="2"/>
    </row>
    <row r="51" spans="1:21" x14ac:dyDescent="0.2">
      <c r="A51" s="779">
        <v>5582</v>
      </c>
      <c r="B51" s="12" t="s">
        <v>1170</v>
      </c>
      <c r="C51" s="13"/>
      <c r="D51" s="13"/>
      <c r="E51" s="127">
        <v>2212.6999999999998</v>
      </c>
      <c r="F51" s="13">
        <v>1514.61</v>
      </c>
      <c r="G51" s="13">
        <v>379.24</v>
      </c>
      <c r="H51" s="13">
        <v>1023.51</v>
      </c>
      <c r="I51" s="13">
        <v>220.23</v>
      </c>
      <c r="J51" s="13">
        <v>952.64</v>
      </c>
      <c r="K51" s="14">
        <v>4000</v>
      </c>
      <c r="L51" s="13">
        <v>3322.24</v>
      </c>
      <c r="M51" s="14">
        <v>4200</v>
      </c>
      <c r="N51" s="13">
        <v>4486.79</v>
      </c>
      <c r="O51" s="14">
        <f>500+4200</f>
        <v>4700</v>
      </c>
      <c r="P51" s="13">
        <v>3034.1</v>
      </c>
      <c r="Q51" s="14">
        <v>9000</v>
      </c>
      <c r="R51" s="14"/>
      <c r="S51" s="14"/>
      <c r="U51" s="2"/>
    </row>
    <row r="52" spans="1:21" x14ac:dyDescent="0.2">
      <c r="A52" s="779">
        <v>5740</v>
      </c>
      <c r="B52" s="12" t="s">
        <v>1610</v>
      </c>
      <c r="C52" s="13">
        <v>6951.15</v>
      </c>
      <c r="D52" s="13">
        <v>6305.91</v>
      </c>
      <c r="E52" s="13">
        <v>7591.82</v>
      </c>
      <c r="F52" s="13">
        <v>7971.28</v>
      </c>
      <c r="G52" s="13">
        <v>10517.6</v>
      </c>
      <c r="H52" s="13">
        <v>10436</v>
      </c>
      <c r="I52" s="13">
        <v>17776</v>
      </c>
      <c r="J52" s="13">
        <v>18246.73</v>
      </c>
      <c r="K52" s="14">
        <v>20000</v>
      </c>
      <c r="L52" s="13">
        <v>21834</v>
      </c>
      <c r="M52" s="14">
        <v>25000</v>
      </c>
      <c r="N52" s="13">
        <v>24037.65</v>
      </c>
      <c r="O52" s="14">
        <v>25000</v>
      </c>
      <c r="P52" s="13">
        <v>20460</v>
      </c>
      <c r="Q52" s="14">
        <v>25000</v>
      </c>
      <c r="R52" s="14"/>
      <c r="S52" s="14"/>
      <c r="U52" s="2"/>
    </row>
    <row r="53" spans="1:21" x14ac:dyDescent="0.2">
      <c r="A53" s="779">
        <v>5790</v>
      </c>
      <c r="B53" s="12" t="s">
        <v>1643</v>
      </c>
      <c r="C53" s="13">
        <v>38596</v>
      </c>
      <c r="D53" s="13">
        <v>39392</v>
      </c>
      <c r="E53" s="13">
        <v>41414</v>
      </c>
      <c r="F53" s="13">
        <v>42591</v>
      </c>
      <c r="G53" s="13">
        <v>43023</v>
      </c>
      <c r="H53" s="13">
        <v>46615</v>
      </c>
      <c r="I53" s="128">
        <v>48296</v>
      </c>
      <c r="J53" s="128">
        <v>48712</v>
      </c>
      <c r="K53" s="14">
        <v>51506</v>
      </c>
      <c r="L53" s="128">
        <v>51506</v>
      </c>
      <c r="M53" s="14">
        <v>54087</v>
      </c>
      <c r="N53" s="128">
        <v>54087</v>
      </c>
      <c r="O53" s="14">
        <v>49590</v>
      </c>
      <c r="P53" s="13">
        <v>49590</v>
      </c>
      <c r="Q53" s="610">
        <f>+Overhead!D12</f>
        <v>52512</v>
      </c>
      <c r="R53" s="14"/>
      <c r="S53" s="14"/>
      <c r="U53" s="2"/>
    </row>
    <row r="54" spans="1:21" x14ac:dyDescent="0.2">
      <c r="A54" s="779">
        <v>5791</v>
      </c>
      <c r="B54" s="12" t="s">
        <v>1706</v>
      </c>
      <c r="C54" s="13">
        <v>3000</v>
      </c>
      <c r="D54" s="13">
        <v>4000</v>
      </c>
      <c r="E54" s="13">
        <v>5000</v>
      </c>
      <c r="F54" s="13">
        <v>5500</v>
      </c>
      <c r="G54" s="13">
        <v>5500</v>
      </c>
      <c r="H54" s="13">
        <v>5500</v>
      </c>
      <c r="I54" s="13">
        <v>5500</v>
      </c>
      <c r="J54" s="13">
        <v>11000</v>
      </c>
      <c r="K54" s="14">
        <v>5500</v>
      </c>
      <c r="L54" s="13"/>
      <c r="M54" s="730">
        <v>5500</v>
      </c>
      <c r="N54" s="24">
        <v>5500</v>
      </c>
      <c r="O54" s="730">
        <v>5500</v>
      </c>
      <c r="P54" s="13"/>
      <c r="Q54" s="730">
        <v>5500</v>
      </c>
      <c r="R54" s="25"/>
      <c r="S54" s="14"/>
      <c r="U54" s="2"/>
    </row>
    <row r="55" spans="1:21" x14ac:dyDescent="0.2">
      <c r="A55" s="779">
        <v>5795</v>
      </c>
      <c r="B55" s="12" t="s">
        <v>1707</v>
      </c>
      <c r="C55" s="13">
        <v>179806</v>
      </c>
      <c r="D55" s="13">
        <v>184545</v>
      </c>
      <c r="E55" s="13">
        <v>189158.6</v>
      </c>
      <c r="F55" s="13">
        <v>193887.56</v>
      </c>
      <c r="G55" s="13">
        <v>198743.77</v>
      </c>
      <c r="H55" s="13">
        <v>203703.14</v>
      </c>
      <c r="I55" s="13">
        <f>52198.93+52198.93+52198.93+104069.34-I56</f>
        <v>208795.72</v>
      </c>
      <c r="J55" s="13">
        <v>214015</v>
      </c>
      <c r="K55" s="14">
        <v>220000</v>
      </c>
      <c r="L55" s="13">
        <v>219365.4</v>
      </c>
      <c r="M55" s="14">
        <v>220000</v>
      </c>
      <c r="N55" s="13">
        <v>224849</v>
      </c>
      <c r="O55" s="14">
        <v>220000</v>
      </c>
      <c r="P55" s="13">
        <v>115235</v>
      </c>
      <c r="Q55" s="14">
        <v>236232</v>
      </c>
      <c r="R55" s="14"/>
      <c r="S55" s="14"/>
      <c r="U55" s="2"/>
    </row>
    <row r="56" spans="1:21" x14ac:dyDescent="0.2">
      <c r="A56" s="798">
        <v>5796</v>
      </c>
      <c r="B56" s="60" t="s">
        <v>1708</v>
      </c>
      <c r="C56" s="13"/>
      <c r="D56" s="13"/>
      <c r="E56" s="13"/>
      <c r="F56" s="13"/>
      <c r="G56" s="13"/>
      <c r="H56" s="13"/>
      <c r="I56" s="13">
        <v>51870.41</v>
      </c>
      <c r="J56" s="13"/>
      <c r="K56" s="14">
        <v>55000</v>
      </c>
      <c r="L56" s="13"/>
      <c r="M56" s="14">
        <v>55000</v>
      </c>
      <c r="N56" s="13">
        <v>39507.51</v>
      </c>
      <c r="O56" s="14">
        <v>0</v>
      </c>
      <c r="P56" s="13"/>
      <c r="Q56" s="14">
        <v>55000</v>
      </c>
      <c r="R56" s="14"/>
      <c r="S56" s="14"/>
      <c r="U56" s="2"/>
    </row>
    <row r="57" spans="1:21" hidden="1" x14ac:dyDescent="0.2">
      <c r="A57" s="798"/>
      <c r="B57" s="60" t="s">
        <v>1709</v>
      </c>
      <c r="C57" s="13"/>
      <c r="D57" s="13">
        <v>57682.44</v>
      </c>
      <c r="E57" s="13"/>
      <c r="F57" s="13"/>
      <c r="G57" s="13"/>
      <c r="H57" s="13"/>
      <c r="I57" s="13"/>
      <c r="J57" s="13"/>
      <c r="K57" s="14"/>
      <c r="L57" s="13"/>
      <c r="M57" s="14"/>
      <c r="N57" s="13"/>
      <c r="O57" s="14"/>
      <c r="P57" s="13"/>
      <c r="Q57" s="14"/>
      <c r="R57" s="14"/>
      <c r="S57" s="14"/>
      <c r="U57" s="2"/>
    </row>
    <row r="58" spans="1:21" ht="13.5" thickBot="1" x14ac:dyDescent="0.25">
      <c r="A58" s="798">
        <v>5780</v>
      </c>
      <c r="B58" s="60" t="s">
        <v>1710</v>
      </c>
      <c r="C58" s="128"/>
      <c r="D58" s="128"/>
      <c r="E58" s="128"/>
      <c r="F58" s="128"/>
      <c r="G58" s="128"/>
      <c r="H58" s="128"/>
      <c r="I58" s="270"/>
      <c r="J58" s="270"/>
      <c r="K58" s="16"/>
      <c r="L58" s="270"/>
      <c r="M58" s="16">
        <v>68172</v>
      </c>
      <c r="N58" s="270"/>
      <c r="O58" s="16">
        <v>68172</v>
      </c>
      <c r="P58" s="270"/>
      <c r="Q58" s="16">
        <v>98000</v>
      </c>
      <c r="R58" s="16"/>
      <c r="S58" s="16"/>
      <c r="T58" s="608" t="s">
        <v>1711</v>
      </c>
      <c r="U58" s="2"/>
    </row>
    <row r="59" spans="1:21" x14ac:dyDescent="0.2">
      <c r="A59" s="799"/>
      <c r="B59" s="732" t="s">
        <v>838</v>
      </c>
      <c r="C59" s="28">
        <f t="shared" ref="C59:H59" si="3">SUM(C16:C57)</f>
        <v>886974.85000000009</v>
      </c>
      <c r="D59" s="28">
        <f t="shared" si="3"/>
        <v>958923.7899999998</v>
      </c>
      <c r="E59" s="28">
        <f t="shared" si="3"/>
        <v>957063.42999999993</v>
      </c>
      <c r="F59" s="28">
        <f t="shared" si="3"/>
        <v>957874.57000000007</v>
      </c>
      <c r="G59" s="28">
        <f t="shared" si="3"/>
        <v>1006447.3</v>
      </c>
      <c r="H59" s="28">
        <f t="shared" si="3"/>
        <v>1042208.1100000001</v>
      </c>
      <c r="I59" s="28">
        <f>SUM(I16:I58)</f>
        <v>1112125.8699999999</v>
      </c>
      <c r="J59" s="28">
        <f>SUM(J16:J58)</f>
        <v>1126104.8500000001</v>
      </c>
      <c r="K59" s="880">
        <f>SUM(K16:K58)</f>
        <v>1124506</v>
      </c>
      <c r="L59" s="28">
        <f>SUM(L16:L57)</f>
        <v>1054682.45</v>
      </c>
      <c r="M59" s="880">
        <f>SUM(M16:M58)</f>
        <v>1201959</v>
      </c>
      <c r="N59" s="28">
        <f>SUM(N16:N57)</f>
        <v>1173716.5000000002</v>
      </c>
      <c r="O59" s="880">
        <f>SUM(O16:O58)</f>
        <v>1358162</v>
      </c>
      <c r="P59" s="28">
        <f>SUM(P16:P58)</f>
        <v>627090.93999999994</v>
      </c>
      <c r="Q59" s="880">
        <f>SUM(Q16:Q58)</f>
        <v>1448644</v>
      </c>
      <c r="R59" s="880">
        <f>+Q59</f>
        <v>1448644</v>
      </c>
      <c r="S59" s="29">
        <f>+Q59</f>
        <v>1448644</v>
      </c>
      <c r="U59" s="2"/>
    </row>
    <row r="60" spans="1:21" x14ac:dyDescent="0.2">
      <c r="A60" s="798"/>
      <c r="B60" s="61"/>
      <c r="C60" s="13"/>
      <c r="D60" s="13"/>
      <c r="E60" s="13"/>
      <c r="F60" s="13"/>
      <c r="G60" s="13"/>
      <c r="H60" s="13"/>
      <c r="I60" s="13"/>
      <c r="J60" s="13"/>
      <c r="K60" s="14"/>
      <c r="L60" s="13"/>
      <c r="M60" s="14"/>
      <c r="N60" s="13"/>
      <c r="O60" s="14"/>
      <c r="P60" s="13"/>
      <c r="Q60" s="14"/>
      <c r="R60" s="14"/>
      <c r="S60" s="14"/>
      <c r="U60" s="2"/>
    </row>
    <row r="61" spans="1:21" x14ac:dyDescent="0.2">
      <c r="A61" s="798">
        <v>5800</v>
      </c>
      <c r="B61" s="60" t="s">
        <v>1712</v>
      </c>
      <c r="C61" s="13"/>
      <c r="D61" s="13"/>
      <c r="E61" s="13"/>
      <c r="F61" s="13"/>
      <c r="G61" s="13"/>
      <c r="H61" s="13"/>
      <c r="I61" s="13"/>
      <c r="J61" s="13"/>
      <c r="K61" s="14"/>
      <c r="L61" s="13"/>
      <c r="M61" s="14">
        <v>58500</v>
      </c>
      <c r="N61" s="13">
        <v>36282.39</v>
      </c>
      <c r="O61" s="14">
        <v>58500</v>
      </c>
      <c r="P61" s="13">
        <v>24188.26</v>
      </c>
      <c r="Q61" s="14">
        <v>58500</v>
      </c>
      <c r="R61" s="14">
        <f>+Q61</f>
        <v>58500</v>
      </c>
      <c r="S61" s="14">
        <f>+Q61</f>
        <v>58500</v>
      </c>
      <c r="U61" s="2"/>
    </row>
    <row r="62" spans="1:21" x14ac:dyDescent="0.2">
      <c r="A62" s="800"/>
      <c r="B62" s="17" t="s">
        <v>952</v>
      </c>
      <c r="C62" s="35"/>
      <c r="D62" s="35"/>
      <c r="E62" s="35"/>
      <c r="F62" s="35"/>
      <c r="G62" s="35"/>
      <c r="H62" s="35"/>
      <c r="I62" s="35"/>
      <c r="J62" s="35"/>
      <c r="K62" s="36"/>
      <c r="L62" s="35"/>
      <c r="M62" s="36"/>
      <c r="N62" s="35"/>
      <c r="O62" s="36"/>
      <c r="P62" s="35"/>
      <c r="Q62" s="36"/>
      <c r="R62" s="36"/>
      <c r="S62" s="36"/>
      <c r="U62" s="2"/>
    </row>
    <row r="63" spans="1:21" ht="13.5" thickBot="1" x14ac:dyDescent="0.25">
      <c r="A63" s="779"/>
      <c r="B63" s="12"/>
      <c r="C63" s="35"/>
      <c r="D63" s="35"/>
      <c r="E63" s="35"/>
      <c r="F63" s="35"/>
      <c r="G63" s="35"/>
      <c r="H63" s="35"/>
      <c r="I63" s="15"/>
      <c r="J63" s="15"/>
      <c r="K63" s="16"/>
      <c r="L63" s="15"/>
      <c r="M63" s="16"/>
      <c r="N63" s="15"/>
      <c r="O63" s="16"/>
      <c r="P63" s="15"/>
      <c r="Q63" s="16"/>
      <c r="R63" s="16"/>
      <c r="S63" s="16"/>
    </row>
    <row r="64" spans="1:21" ht="13.5" thickBot="1" x14ac:dyDescent="0.25">
      <c r="A64" s="780"/>
      <c r="B64" s="20" t="s">
        <v>677</v>
      </c>
      <c r="C64" s="21">
        <f t="shared" ref="C64:H64" si="4">+C59+C14</f>
        <v>1232852.1600000001</v>
      </c>
      <c r="D64" s="21">
        <f t="shared" si="4"/>
        <v>1332110.5999999999</v>
      </c>
      <c r="E64" s="21">
        <f t="shared" si="4"/>
        <v>1415714.64</v>
      </c>
      <c r="F64" s="21">
        <f t="shared" si="4"/>
        <v>1411128.35</v>
      </c>
      <c r="G64" s="21">
        <f t="shared" si="4"/>
        <v>1411401.52</v>
      </c>
      <c r="H64" s="21">
        <f t="shared" si="4"/>
        <v>1459773.7000000002</v>
      </c>
      <c r="I64" s="733">
        <f t="shared" ref="I64:S64" si="5">+I59+I14+I61</f>
        <v>1523345.5699999998</v>
      </c>
      <c r="J64" s="733">
        <f t="shared" si="5"/>
        <v>1546577.2100000002</v>
      </c>
      <c r="K64" s="734">
        <f t="shared" si="5"/>
        <v>1585763</v>
      </c>
      <c r="L64" s="733">
        <f t="shared" si="5"/>
        <v>1480090.73</v>
      </c>
      <c r="M64" s="734">
        <f t="shared" si="5"/>
        <v>1751791</v>
      </c>
      <c r="N64" s="733">
        <f t="shared" ref="N64" si="6">+N59+N14+N61</f>
        <v>1662652.6700000002</v>
      </c>
      <c r="O64" s="734">
        <f t="shared" si="5"/>
        <v>1962430</v>
      </c>
      <c r="P64" s="733">
        <f t="shared" si="5"/>
        <v>880862.57</v>
      </c>
      <c r="Q64" s="734">
        <f>+Q59+Q14+Q61</f>
        <v>2074229</v>
      </c>
      <c r="R64" s="734">
        <f t="shared" si="5"/>
        <v>2074229</v>
      </c>
      <c r="S64" s="734">
        <f t="shared" si="5"/>
        <v>2074229</v>
      </c>
    </row>
    <row r="65" spans="1:23" ht="16.5" thickTop="1" x14ac:dyDescent="0.25">
      <c r="A65" s="1128">
        <v>44936</v>
      </c>
      <c r="B65" s="1081" t="s">
        <v>2405</v>
      </c>
      <c r="C65" s="23"/>
      <c r="D65" s="23"/>
      <c r="E65" s="23"/>
      <c r="F65" s="23"/>
      <c r="G65" s="23"/>
      <c r="H65" s="23"/>
      <c r="I65" s="23"/>
      <c r="J65" s="23"/>
      <c r="K65" s="23"/>
      <c r="L65" s="23"/>
      <c r="M65" s="23"/>
      <c r="N65" s="23"/>
      <c r="O65" s="23"/>
      <c r="P65" s="199" t="s">
        <v>843</v>
      </c>
      <c r="Q65" s="1116">
        <f>+Q64-O64</f>
        <v>111799</v>
      </c>
      <c r="R65" s="1117">
        <f>ROUND((+Q65/O64),4)</f>
        <v>5.7000000000000002E-2</v>
      </c>
      <c r="S65" s="742">
        <f>+P81/Q64</f>
        <v>2.3234464468484435E-2</v>
      </c>
      <c r="T65" s="23"/>
      <c r="U65" s="4"/>
      <c r="V65" s="201"/>
    </row>
    <row r="66" spans="1:23" ht="15.75" x14ac:dyDescent="0.25">
      <c r="A66" s="162">
        <v>44994</v>
      </c>
      <c r="B66" s="4" t="s">
        <v>2539</v>
      </c>
      <c r="C66" s="23"/>
      <c r="D66" s="23"/>
      <c r="E66" s="23"/>
      <c r="F66" s="23"/>
      <c r="G66" s="23"/>
      <c r="H66" s="23"/>
      <c r="I66" s="23"/>
      <c r="J66" s="23"/>
      <c r="K66" s="23"/>
      <c r="L66" s="23"/>
      <c r="M66" s="23"/>
      <c r="N66" s="23"/>
      <c r="O66" s="23"/>
      <c r="P66" s="4"/>
      <c r="Q66" s="23"/>
      <c r="R66" s="23"/>
      <c r="S66" s="742"/>
      <c r="T66" s="23"/>
      <c r="U66" s="4"/>
      <c r="V66" s="201"/>
    </row>
    <row r="67" spans="1:23" ht="15.75" x14ac:dyDescent="0.25">
      <c r="B67" s="4"/>
      <c r="C67" s="23"/>
      <c r="D67" s="23"/>
      <c r="E67" s="23"/>
      <c r="F67" s="23"/>
      <c r="G67" s="23"/>
      <c r="H67" s="23"/>
      <c r="I67" s="23"/>
      <c r="J67" s="23"/>
      <c r="K67" s="23"/>
      <c r="L67" s="23"/>
      <c r="M67" s="23"/>
      <c r="N67" s="23"/>
      <c r="O67" s="23"/>
      <c r="P67" s="4"/>
      <c r="Q67" s="23"/>
      <c r="R67" s="23"/>
      <c r="S67" s="742"/>
      <c r="T67" s="23"/>
      <c r="U67" s="4"/>
      <c r="V67" s="201"/>
    </row>
    <row r="68" spans="1:23" x14ac:dyDescent="0.2">
      <c r="A68" s="774" t="s">
        <v>911</v>
      </c>
      <c r="B68" s="4"/>
      <c r="D68" s="212"/>
      <c r="E68" s="212"/>
      <c r="F68" s="212"/>
      <c r="G68" s="212"/>
      <c r="H68" s="212"/>
      <c r="I68" s="212"/>
      <c r="J68" s="212"/>
      <c r="K68" s="212"/>
      <c r="L68" s="212"/>
      <c r="M68" s="212"/>
      <c r="N68" s="212"/>
      <c r="O68" s="212"/>
      <c r="P68" t="s">
        <v>1713</v>
      </c>
      <c r="Q68" s="307">
        <f>+P81/Q65</f>
        <v>0.43107362319877635</v>
      </c>
      <c r="R68" s="307"/>
    </row>
    <row r="69" spans="1:23" x14ac:dyDescent="0.2">
      <c r="A69" s="774"/>
      <c r="B69" s="4"/>
      <c r="D69" s="212"/>
      <c r="E69" s="212"/>
      <c r="F69" s="212"/>
      <c r="G69" s="212"/>
      <c r="H69" s="212"/>
      <c r="I69" s="212"/>
      <c r="J69" s="212"/>
      <c r="K69" s="212"/>
      <c r="L69" s="212"/>
      <c r="M69" s="212"/>
      <c r="N69" s="212"/>
      <c r="O69" s="212"/>
      <c r="P69" t="s">
        <v>1714</v>
      </c>
      <c r="Q69" s="968">
        <f>+Q19-O19</f>
        <v>-3000</v>
      </c>
      <c r="R69" s="968"/>
      <c r="S69" s="307">
        <f>+Q19/Q64</f>
        <v>0.15330997686369249</v>
      </c>
    </row>
    <row r="70" spans="1:23" ht="13.5" thickBot="1" x14ac:dyDescent="0.25">
      <c r="A70" s="774"/>
      <c r="B70" s="220" t="s">
        <v>1715</v>
      </c>
      <c r="D70" s="1"/>
      <c r="E70" s="1"/>
      <c r="F70" s="1"/>
      <c r="G70" s="1"/>
      <c r="H70" s="1"/>
      <c r="I70"/>
      <c r="J70"/>
      <c r="K70"/>
      <c r="L70"/>
      <c r="M70"/>
      <c r="N70"/>
      <c r="O70"/>
      <c r="Q70" s="967">
        <f>+Q69/Q65</f>
        <v>-2.6833871501534004E-2</v>
      </c>
      <c r="R70" s="967"/>
      <c r="S70"/>
      <c r="T70" s="318"/>
      <c r="U70" s="4"/>
    </row>
    <row r="71" spans="1:23" ht="13.5" thickTop="1" x14ac:dyDescent="0.2">
      <c r="A71" s="781" t="s">
        <v>872</v>
      </c>
      <c r="B71" s="98"/>
      <c r="D71" s="212"/>
      <c r="E71" s="212"/>
      <c r="F71" s="212"/>
      <c r="G71" s="212"/>
      <c r="H71" s="212"/>
      <c r="I71" s="212"/>
      <c r="J71" s="212"/>
      <c r="K71" s="212"/>
      <c r="L71" s="212"/>
      <c r="M71" s="269" t="s">
        <v>873</v>
      </c>
      <c r="N71" s="138" t="s">
        <v>1716</v>
      </c>
      <c r="O71" s="150" t="s">
        <v>1215</v>
      </c>
      <c r="P71" s="150" t="s">
        <v>875</v>
      </c>
      <c r="Q71" s="220" t="s">
        <v>1717</v>
      </c>
      <c r="R71" s="783" t="s">
        <v>27</v>
      </c>
      <c r="T71" s="4"/>
    </row>
    <row r="72" spans="1:23" ht="13.5" thickBot="1" x14ac:dyDescent="0.25">
      <c r="A72" s="782" t="s">
        <v>877</v>
      </c>
      <c r="B72" s="100" t="s">
        <v>878</v>
      </c>
      <c r="D72" s="212"/>
      <c r="E72" s="212"/>
      <c r="F72" s="212"/>
      <c r="G72" s="212"/>
      <c r="H72" s="212"/>
      <c r="I72" s="212"/>
      <c r="J72" s="212"/>
      <c r="K72" s="212"/>
      <c r="L72" s="212"/>
      <c r="M72" s="287">
        <v>45108</v>
      </c>
      <c r="N72" s="358" t="s">
        <v>879</v>
      </c>
      <c r="O72" s="142" t="s">
        <v>1718</v>
      </c>
      <c r="P72" s="146" t="s">
        <v>881</v>
      </c>
      <c r="Q72" s="783"/>
      <c r="R72" s="783"/>
      <c r="T72"/>
    </row>
    <row r="73" spans="1:23" ht="13.5" thickTop="1" x14ac:dyDescent="0.2">
      <c r="A73" s="54">
        <v>43906</v>
      </c>
      <c r="B73" s="1068" t="s">
        <v>1719</v>
      </c>
      <c r="D73" s="212"/>
      <c r="E73" s="212"/>
      <c r="F73" s="212"/>
      <c r="G73" s="212"/>
      <c r="H73" s="212"/>
      <c r="I73" s="212"/>
      <c r="J73" s="212"/>
      <c r="K73" s="212"/>
      <c r="L73" s="212"/>
      <c r="M73" s="357" t="s">
        <v>1720</v>
      </c>
      <c r="N73" s="128"/>
      <c r="O73" s="14"/>
      <c r="P73" s="137">
        <f>+'NAGE &amp; Non-Union Wages'!I12</f>
        <v>96280</v>
      </c>
      <c r="Q73" s="783"/>
      <c r="R73" s="783"/>
      <c r="T73" s="4"/>
      <c r="U73" s="635"/>
      <c r="V73" s="149"/>
    </row>
    <row r="74" spans="1:23" x14ac:dyDescent="0.2">
      <c r="A74" s="54">
        <v>44354</v>
      </c>
      <c r="B74" s="61" t="s">
        <v>1721</v>
      </c>
      <c r="D74" s="212"/>
      <c r="E74" s="212"/>
      <c r="F74" s="212"/>
      <c r="G74" s="212"/>
      <c r="H74" s="212"/>
      <c r="I74" s="212"/>
      <c r="J74" s="212"/>
      <c r="K74" s="212"/>
      <c r="L74" s="212"/>
      <c r="M74" s="359" t="s">
        <v>1482</v>
      </c>
      <c r="N74" s="729">
        <f>+'NAGE &amp; Non-Union Wages'!F5</f>
        <v>20.76</v>
      </c>
      <c r="O74" s="226">
        <v>2088</v>
      </c>
      <c r="P74" s="137">
        <f t="shared" ref="P74:P81" si="7">ROUND((+O74*N74),2)</f>
        <v>43346.879999999997</v>
      </c>
      <c r="Q74" s="783">
        <v>2</v>
      </c>
      <c r="R74" s="783"/>
      <c r="T74" s="4"/>
      <c r="U74" s="636"/>
      <c r="V74" s="149"/>
      <c r="W74" s="74"/>
    </row>
    <row r="75" spans="1:23" x14ac:dyDescent="0.2">
      <c r="A75" s="54">
        <v>43360</v>
      </c>
      <c r="B75" s="61" t="s">
        <v>1722</v>
      </c>
      <c r="C75" s="283"/>
      <c r="D75" s="345"/>
      <c r="E75" s="345"/>
      <c r="F75" s="345"/>
      <c r="G75" s="345"/>
      <c r="H75" s="345"/>
      <c r="I75" s="345"/>
      <c r="J75" s="345"/>
      <c r="K75" s="212"/>
      <c r="L75" s="212"/>
      <c r="M75" s="359" t="s">
        <v>1723</v>
      </c>
      <c r="N75" s="729">
        <f>+'NAGE &amp; Non-Union Wages'!E20</f>
        <v>31.2</v>
      </c>
      <c r="O75" s="226">
        <f>+'To Do and Changes'!$E$23</f>
        <v>2080</v>
      </c>
      <c r="P75" s="137">
        <f t="shared" si="7"/>
        <v>64896</v>
      </c>
      <c r="Q75" s="783">
        <v>5</v>
      </c>
      <c r="R75" s="783">
        <v>300</v>
      </c>
      <c r="T75" s="4"/>
      <c r="U75" s="635"/>
      <c r="V75" s="149"/>
    </row>
    <row r="76" spans="1:23" x14ac:dyDescent="0.2">
      <c r="A76" s="829">
        <v>43711</v>
      </c>
      <c r="B76" s="60" t="s">
        <v>1724</v>
      </c>
      <c r="D76" s="212"/>
      <c r="E76" s="212"/>
      <c r="F76" s="212"/>
      <c r="G76" s="212"/>
      <c r="H76" s="212"/>
      <c r="I76" s="212"/>
      <c r="J76" s="212"/>
      <c r="K76" s="212"/>
      <c r="L76" s="212"/>
      <c r="M76" s="359" t="s">
        <v>1725</v>
      </c>
      <c r="N76" s="729">
        <f>+'UE Wages'!D10</f>
        <v>25.13</v>
      </c>
      <c r="O76" s="226">
        <f>+'To Do and Changes'!$E$23</f>
        <v>2080</v>
      </c>
      <c r="P76" s="137">
        <f t="shared" si="7"/>
        <v>52270.400000000001</v>
      </c>
      <c r="Q76" s="783">
        <v>4</v>
      </c>
      <c r="R76" s="783"/>
      <c r="T76" s="4"/>
      <c r="U76" s="635"/>
      <c r="V76" s="149"/>
    </row>
    <row r="77" spans="1:23" x14ac:dyDescent="0.2">
      <c r="A77" s="54">
        <v>41010</v>
      </c>
      <c r="B77" s="60" t="s">
        <v>1726</v>
      </c>
      <c r="D77" s="212"/>
      <c r="E77" s="212"/>
      <c r="F77" s="212"/>
      <c r="G77" s="212"/>
      <c r="H77" s="212"/>
      <c r="I77" s="212"/>
      <c r="J77" s="212"/>
      <c r="K77" s="212"/>
      <c r="L77" s="212"/>
      <c r="M77" s="359" t="s">
        <v>889</v>
      </c>
      <c r="N77" s="729">
        <f>+'UE Wages'!L10</f>
        <v>30.04</v>
      </c>
      <c r="O77" s="226">
        <f>+'To Do and Changes'!$E$23</f>
        <v>2080</v>
      </c>
      <c r="P77" s="137">
        <f t="shared" si="7"/>
        <v>62483.199999999997</v>
      </c>
      <c r="Q77" s="783">
        <v>12</v>
      </c>
      <c r="R77" s="783">
        <v>500</v>
      </c>
      <c r="T77" s="4"/>
      <c r="U77" s="635"/>
      <c r="V77" s="149"/>
    </row>
    <row r="78" spans="1:23" x14ac:dyDescent="0.2">
      <c r="A78" s="54">
        <v>44095</v>
      </c>
      <c r="B78" s="489" t="s">
        <v>1727</v>
      </c>
      <c r="C78" s="283"/>
      <c r="D78" s="345"/>
      <c r="E78" s="212"/>
      <c r="F78" s="212"/>
      <c r="G78" s="212"/>
      <c r="H78" s="212"/>
      <c r="I78" s="212"/>
      <c r="J78" s="212"/>
      <c r="K78" s="212"/>
      <c r="L78" s="212"/>
      <c r="M78" s="634" t="s">
        <v>1231</v>
      </c>
      <c r="N78" s="729">
        <f>+'UE Wages'!D9</f>
        <v>23.29</v>
      </c>
      <c r="O78" s="226">
        <f>+'To Do and Changes'!$E$23</f>
        <v>2080</v>
      </c>
      <c r="P78" s="137">
        <f t="shared" si="7"/>
        <v>48443.199999999997</v>
      </c>
      <c r="Q78" s="783">
        <v>2</v>
      </c>
      <c r="R78" s="783"/>
      <c r="T78" s="4"/>
      <c r="U78" s="637"/>
      <c r="V78" s="149"/>
    </row>
    <row r="79" spans="1:23" x14ac:dyDescent="0.2">
      <c r="A79" s="829">
        <v>44858</v>
      </c>
      <c r="B79" s="489" t="s">
        <v>1728</v>
      </c>
      <c r="C79" s="241"/>
      <c r="D79" s="1099"/>
      <c r="E79" s="1099"/>
      <c r="F79" s="1099"/>
      <c r="G79" s="1099"/>
      <c r="H79" s="345"/>
      <c r="I79" s="345"/>
      <c r="J79" s="345"/>
      <c r="K79" s="345"/>
      <c r="L79" s="345"/>
      <c r="M79" s="1106" t="s">
        <v>2308</v>
      </c>
      <c r="N79" s="729">
        <f>+'UE Wages'!D9</f>
        <v>23.29</v>
      </c>
      <c r="O79" s="226">
        <f>+'To Do and Changes'!$E$23</f>
        <v>2080</v>
      </c>
      <c r="P79" s="137">
        <f t="shared" si="7"/>
        <v>48443.199999999997</v>
      </c>
      <c r="Q79" s="783"/>
      <c r="R79" s="783"/>
      <c r="T79" s="4"/>
      <c r="U79" s="635"/>
      <c r="V79" s="149"/>
    </row>
    <row r="80" spans="1:23" x14ac:dyDescent="0.2">
      <c r="A80" s="829"/>
      <c r="B80" s="60" t="s">
        <v>1729</v>
      </c>
      <c r="C80" s="241"/>
      <c r="D80" s="1099"/>
      <c r="E80" s="1099"/>
      <c r="F80" s="1099"/>
      <c r="G80" s="1099"/>
      <c r="H80" s="345"/>
      <c r="I80" s="345"/>
      <c r="J80" s="345"/>
      <c r="K80" s="345"/>
      <c r="L80" s="345"/>
      <c r="M80" s="1106" t="s">
        <v>2250</v>
      </c>
      <c r="N80" s="729">
        <f>+'UE Wages'!E7</f>
        <v>20.350000000000001</v>
      </c>
      <c r="O80" s="226">
        <f>+'To Do and Changes'!$E$23</f>
        <v>2080</v>
      </c>
      <c r="P80" s="137">
        <f t="shared" si="7"/>
        <v>42328</v>
      </c>
      <c r="Q80" s="783"/>
      <c r="R80" s="783"/>
      <c r="T80" s="4"/>
      <c r="U80" s="635"/>
      <c r="V80" s="149"/>
    </row>
    <row r="81" spans="1:25" x14ac:dyDescent="0.2">
      <c r="A81" s="829">
        <v>44508</v>
      </c>
      <c r="B81" s="61" t="s">
        <v>1730</v>
      </c>
      <c r="C81" s="241"/>
      <c r="D81" s="1099"/>
      <c r="E81" s="1099"/>
      <c r="F81" s="1099"/>
      <c r="G81" s="1099"/>
      <c r="H81" s="345"/>
      <c r="I81" s="212"/>
      <c r="J81" s="212"/>
      <c r="K81" s="212"/>
      <c r="L81" s="212"/>
      <c r="M81" s="357" t="s">
        <v>1231</v>
      </c>
      <c r="N81" s="729">
        <f>+'NAGE &amp; Non-Union Wages'!D7</f>
        <v>23.17</v>
      </c>
      <c r="O81" s="226">
        <f>+'To Do and Changes'!$E$23</f>
        <v>2080</v>
      </c>
      <c r="P81" s="137">
        <f t="shared" si="7"/>
        <v>48193.599999999999</v>
      </c>
      <c r="Q81"/>
      <c r="R81" s="783"/>
      <c r="T81" s="4"/>
      <c r="U81" s="635"/>
      <c r="V81" s="149"/>
    </row>
    <row r="82" spans="1:25" x14ac:dyDescent="0.2">
      <c r="A82" s="774"/>
      <c r="B82" s="4" t="s">
        <v>940</v>
      </c>
      <c r="D82" s="1"/>
      <c r="E82" s="1"/>
      <c r="F82" s="212"/>
      <c r="G82" s="212"/>
      <c r="H82" s="212"/>
      <c r="I82" s="283"/>
      <c r="J82" s="283"/>
      <c r="K82"/>
      <c r="L82"/>
      <c r="M82"/>
      <c r="N82"/>
      <c r="O82"/>
      <c r="Q82"/>
      <c r="R82"/>
      <c r="S82"/>
      <c r="T82"/>
      <c r="W82" s="74"/>
    </row>
    <row r="83" spans="1:25" x14ac:dyDescent="0.2">
      <c r="A83" s="774"/>
      <c r="B83" s="4"/>
      <c r="D83" s="1"/>
      <c r="E83" s="1"/>
      <c r="F83" s="212"/>
      <c r="G83" s="212"/>
      <c r="H83" s="212"/>
      <c r="I83" s="283"/>
      <c r="J83" s="283"/>
      <c r="K83"/>
      <c r="L83"/>
      <c r="M83"/>
      <c r="N83"/>
      <c r="O83"/>
      <c r="Q83"/>
      <c r="R83"/>
      <c r="S83"/>
      <c r="T83"/>
      <c r="W83" s="74"/>
    </row>
    <row r="84" spans="1:25" x14ac:dyDescent="0.2">
      <c r="A84" s="1159" t="s">
        <v>2542</v>
      </c>
      <c r="B84" s="1160"/>
      <c r="C84" s="212"/>
      <c r="D84" s="212"/>
      <c r="E84" s="212"/>
      <c r="F84" s="212"/>
      <c r="G84" s="212"/>
      <c r="H84" s="212"/>
      <c r="I84" s="212"/>
      <c r="J84" s="212"/>
      <c r="K84" s="212"/>
      <c r="L84" s="212"/>
      <c r="M84" s="212"/>
      <c r="N84" s="212"/>
      <c r="O84" s="212"/>
      <c r="P84" s="956">
        <f>SUM(P73:P82)</f>
        <v>506684.48</v>
      </c>
      <c r="T84" s="120"/>
      <c r="W84" s="74"/>
    </row>
    <row r="85" spans="1:25" x14ac:dyDescent="0.2">
      <c r="B85" s="4"/>
      <c r="C85" s="212"/>
      <c r="D85" s="212"/>
      <c r="E85" s="212"/>
      <c r="F85" s="212"/>
      <c r="G85" s="212"/>
      <c r="H85" s="212"/>
      <c r="I85" s="212"/>
      <c r="J85" s="212"/>
      <c r="K85" s="212"/>
      <c r="L85" s="212"/>
      <c r="M85" s="212"/>
      <c r="N85" s="212"/>
      <c r="O85" s="212"/>
      <c r="T85" s="24"/>
      <c r="V85" s="149"/>
    </row>
    <row r="86" spans="1:25" ht="13.5" thickBot="1" x14ac:dyDescent="0.25">
      <c r="A86" s="774" t="s">
        <v>1731</v>
      </c>
      <c r="B86" s="4"/>
      <c r="C86" s="212"/>
      <c r="D86" s="212"/>
      <c r="E86" s="212"/>
      <c r="F86" s="212"/>
      <c r="G86" s="212"/>
      <c r="H86" s="212"/>
      <c r="I86" s="212"/>
      <c r="J86" s="212"/>
      <c r="K86" s="212"/>
      <c r="L86" s="212"/>
      <c r="M86" s="212"/>
      <c r="N86" s="212"/>
      <c r="O86" s="212"/>
      <c r="T86" s="120"/>
      <c r="Y86" s="149"/>
    </row>
    <row r="87" spans="1:25" ht="13.5" thickTop="1" x14ac:dyDescent="0.2">
      <c r="A87" s="789"/>
      <c r="B87" s="1122" t="s">
        <v>2386</v>
      </c>
      <c r="C87" s="368" t="s">
        <v>280</v>
      </c>
      <c r="D87" s="369" t="s">
        <v>280</v>
      </c>
      <c r="E87" s="369" t="s">
        <v>280</v>
      </c>
      <c r="F87" s="212"/>
      <c r="G87" s="212"/>
      <c r="H87" s="212"/>
      <c r="I87" s="212"/>
      <c r="J87" s="212"/>
      <c r="K87" s="212"/>
      <c r="L87" s="212"/>
      <c r="M87" s="370" t="s">
        <v>279</v>
      </c>
      <c r="N87" s="371" t="s">
        <v>826</v>
      </c>
      <c r="O87" s="372" t="s">
        <v>840</v>
      </c>
      <c r="P87" s="371" t="s">
        <v>841</v>
      </c>
      <c r="Q87" s="373"/>
      <c r="R87" s="569"/>
      <c r="S87" s="372"/>
    </row>
    <row r="88" spans="1:25" ht="13.5" thickBot="1" x14ac:dyDescent="0.25">
      <c r="A88" s="790" t="s">
        <v>825</v>
      </c>
      <c r="B88" s="374"/>
      <c r="C88" s="421" t="s">
        <v>267</v>
      </c>
      <c r="D88" s="421" t="s">
        <v>268</v>
      </c>
      <c r="E88" s="377" t="s">
        <v>269</v>
      </c>
      <c r="F88" s="212"/>
      <c r="G88" s="212"/>
      <c r="H88" s="212"/>
      <c r="I88" s="212"/>
      <c r="J88" s="212"/>
      <c r="K88" s="212"/>
      <c r="L88" s="212"/>
      <c r="M88" s="377" t="s">
        <v>277</v>
      </c>
      <c r="N88" s="377" t="s">
        <v>571</v>
      </c>
      <c r="O88" s="434" t="s">
        <v>843</v>
      </c>
      <c r="P88" s="435" t="s">
        <v>843</v>
      </c>
      <c r="Q88" s="436" t="s">
        <v>844</v>
      </c>
      <c r="R88" s="1020"/>
      <c r="S88" s="433"/>
    </row>
    <row r="89" spans="1:25" ht="13.5" thickTop="1" x14ac:dyDescent="0.2">
      <c r="A89" s="794"/>
      <c r="B89" s="401"/>
      <c r="C89" s="402"/>
      <c r="D89" s="403"/>
      <c r="E89" s="403"/>
      <c r="F89" s="212"/>
      <c r="G89" s="212"/>
      <c r="H89" s="212"/>
      <c r="I89" s="212"/>
      <c r="J89" s="212"/>
      <c r="K89" s="212"/>
      <c r="L89" s="212"/>
      <c r="M89" s="437"/>
      <c r="N89" s="438"/>
      <c r="O89" s="437"/>
      <c r="P89" s="439"/>
      <c r="Q89" s="1138"/>
      <c r="R89" s="1139"/>
      <c r="S89" s="1140"/>
    </row>
    <row r="90" spans="1:25" x14ac:dyDescent="0.2">
      <c r="A90" s="795">
        <v>5110</v>
      </c>
      <c r="B90" s="418" t="s">
        <v>1672</v>
      </c>
      <c r="C90" s="391">
        <v>296676.09999999998</v>
      </c>
      <c r="D90" s="391">
        <v>317703.17</v>
      </c>
      <c r="E90" s="391">
        <f>9155+388922.89</f>
        <v>398077.89</v>
      </c>
      <c r="F90" s="212"/>
      <c r="G90" s="212"/>
      <c r="H90" s="212"/>
      <c r="I90" s="212"/>
      <c r="J90" s="212"/>
      <c r="K90" s="212"/>
      <c r="L90" s="212"/>
      <c r="M90" s="610">
        <f>+O9+3597+13151</f>
        <v>502115</v>
      </c>
      <c r="N90" s="920">
        <f>+Q9</f>
        <v>506684</v>
      </c>
      <c r="O90" s="390">
        <f t="shared" ref="O90:O133" si="8">+N90-M90</f>
        <v>4569</v>
      </c>
      <c r="P90" s="1137">
        <f t="shared" ref="P90:P133" si="9">IF(M90+N90&lt;&gt;0,IF(M90&lt;&gt;0,IF(O90&lt;&gt;0,ROUND((+O90/M90),4),""),1),"")</f>
        <v>9.1000000000000004E-3</v>
      </c>
      <c r="Q90" s="735" t="s">
        <v>2484</v>
      </c>
      <c r="R90" s="1023"/>
      <c r="S90" s="425"/>
    </row>
    <row r="91" spans="1:25" x14ac:dyDescent="0.2">
      <c r="A91" s="795">
        <v>5132</v>
      </c>
      <c r="B91" s="387" t="s">
        <v>1044</v>
      </c>
      <c r="C91" s="391">
        <v>40622.949999999997</v>
      </c>
      <c r="D91" s="391">
        <v>47734.400000000001</v>
      </c>
      <c r="E91" s="391">
        <v>53816.19</v>
      </c>
      <c r="F91" s="212"/>
      <c r="G91" s="212"/>
      <c r="H91" s="212"/>
      <c r="I91" s="212"/>
      <c r="J91" s="212"/>
      <c r="K91" s="212"/>
      <c r="L91" s="212"/>
      <c r="M91" s="390">
        <f>+O10</f>
        <v>46401</v>
      </c>
      <c r="N91" s="411">
        <f>+Q10</f>
        <v>46401</v>
      </c>
      <c r="O91" s="390">
        <f t="shared" si="8"/>
        <v>0</v>
      </c>
      <c r="P91" s="1137" t="str">
        <f t="shared" si="9"/>
        <v/>
      </c>
      <c r="Q91" s="1146" t="s">
        <v>2481</v>
      </c>
      <c r="R91" s="1144"/>
      <c r="S91" s="1147"/>
    </row>
    <row r="92" spans="1:25" x14ac:dyDescent="0.2">
      <c r="A92" s="795">
        <v>5140</v>
      </c>
      <c r="B92" s="387" t="s">
        <v>1673</v>
      </c>
      <c r="C92" s="440">
        <v>8578.26</v>
      </c>
      <c r="D92" s="440">
        <v>7749.24</v>
      </c>
      <c r="E92" s="441">
        <f>-2212.7+8969.83</f>
        <v>6757.13</v>
      </c>
      <c r="F92" s="212"/>
      <c r="G92" s="212"/>
      <c r="H92" s="212"/>
      <c r="I92" s="212"/>
      <c r="J92" s="212"/>
      <c r="K92" s="212"/>
      <c r="L92" s="212"/>
      <c r="M92" s="610">
        <f>+O11+5670</f>
        <v>19670</v>
      </c>
      <c r="N92" s="411">
        <f>+Q11</f>
        <v>14000</v>
      </c>
      <c r="O92" s="390">
        <f t="shared" si="8"/>
        <v>-5670</v>
      </c>
      <c r="P92" s="1137">
        <f t="shared" si="9"/>
        <v>-0.2883</v>
      </c>
      <c r="Q92" s="1148" t="s">
        <v>2483</v>
      </c>
      <c r="R92" s="1145"/>
      <c r="S92" s="1149"/>
    </row>
    <row r="93" spans="1:25" x14ac:dyDescent="0.2">
      <c r="A93" s="795">
        <v>5193</v>
      </c>
      <c r="B93" s="387" t="s">
        <v>941</v>
      </c>
      <c r="C93" s="440"/>
      <c r="D93" s="440"/>
      <c r="E93" s="440"/>
      <c r="F93" s="212"/>
      <c r="G93" s="212"/>
      <c r="H93" s="212"/>
      <c r="I93" s="212"/>
      <c r="J93" s="212"/>
      <c r="K93" s="212"/>
      <c r="L93" s="212"/>
      <c r="M93" s="390">
        <f>+O12</f>
        <v>0</v>
      </c>
      <c r="N93" s="411">
        <f>+Q12</f>
        <v>0</v>
      </c>
      <c r="O93" s="390">
        <f t="shared" si="8"/>
        <v>0</v>
      </c>
      <c r="P93" s="1137" t="str">
        <f t="shared" si="9"/>
        <v/>
      </c>
      <c r="Q93" s="1141" t="s">
        <v>2482</v>
      </c>
      <c r="R93" s="1142"/>
      <c r="S93" s="1143"/>
    </row>
    <row r="94" spans="1:25" ht="13.5" thickBot="1" x14ac:dyDescent="0.25">
      <c r="A94" s="795">
        <v>5194</v>
      </c>
      <c r="B94" s="387" t="s">
        <v>942</v>
      </c>
      <c r="C94" s="443"/>
      <c r="D94" s="443"/>
      <c r="E94" s="443"/>
      <c r="F94" s="212"/>
      <c r="G94" s="212"/>
      <c r="H94" s="212"/>
      <c r="I94" s="212"/>
      <c r="J94" s="212"/>
      <c r="K94" s="212"/>
      <c r="L94" s="212"/>
      <c r="M94" s="390">
        <f>+O13</f>
        <v>0</v>
      </c>
      <c r="N94" s="411">
        <f>+Q13</f>
        <v>0</v>
      </c>
      <c r="O94" s="390">
        <f t="shared" si="8"/>
        <v>0</v>
      </c>
      <c r="P94" s="392" t="str">
        <f t="shared" si="9"/>
        <v/>
      </c>
      <c r="Q94" s="1141"/>
      <c r="R94" s="1142"/>
      <c r="S94" s="1143"/>
    </row>
    <row r="95" spans="1:25" x14ac:dyDescent="0.2">
      <c r="A95" s="795">
        <f t="shared" ref="A95:B112" si="10">+A16</f>
        <v>5211</v>
      </c>
      <c r="B95" s="795" t="str">
        <f t="shared" si="10"/>
        <v>Electricity TP</v>
      </c>
      <c r="C95" s="731"/>
      <c r="D95" s="731"/>
      <c r="E95" s="731"/>
      <c r="F95" s="212"/>
      <c r="G95" s="212"/>
      <c r="H95" s="212"/>
      <c r="I95" s="212"/>
      <c r="J95" s="212"/>
      <c r="K95" s="212"/>
      <c r="L95" s="212"/>
      <c r="M95" s="390">
        <f t="shared" ref="M95:M112" si="11">+O16</f>
        <v>190000</v>
      </c>
      <c r="N95" s="411">
        <f t="shared" ref="N95:N112" si="12">+Q16</f>
        <v>173000</v>
      </c>
      <c r="O95" s="390">
        <f t="shared" si="8"/>
        <v>-17000</v>
      </c>
      <c r="P95" s="392">
        <f t="shared" si="9"/>
        <v>-8.9499999999999996E-2</v>
      </c>
      <c r="Q95" s="494" t="s">
        <v>2155</v>
      </c>
      <c r="R95" s="1022"/>
      <c r="S95" s="442"/>
    </row>
    <row r="96" spans="1:25" x14ac:dyDescent="0.2">
      <c r="A96" s="795">
        <f t="shared" si="10"/>
        <v>5211.1000000000004</v>
      </c>
      <c r="B96" s="795" t="str">
        <f t="shared" si="10"/>
        <v>Electricity PS</v>
      </c>
      <c r="C96" s="731"/>
      <c r="D96" s="731"/>
      <c r="E96" s="731"/>
      <c r="F96" s="212"/>
      <c r="G96" s="212"/>
      <c r="H96" s="212"/>
      <c r="I96" s="212"/>
      <c r="J96" s="212"/>
      <c r="K96" s="212"/>
      <c r="L96" s="212"/>
      <c r="M96" s="390">
        <f t="shared" si="11"/>
        <v>28000</v>
      </c>
      <c r="N96" s="411">
        <f t="shared" si="12"/>
        <v>31000</v>
      </c>
      <c r="O96" s="390">
        <f t="shared" si="8"/>
        <v>3000</v>
      </c>
      <c r="P96" s="392">
        <f t="shared" si="9"/>
        <v>0.1071</v>
      </c>
      <c r="Q96" s="494" t="s">
        <v>2155</v>
      </c>
      <c r="R96" s="1022"/>
      <c r="S96" s="442"/>
    </row>
    <row r="97" spans="1:19" x14ac:dyDescent="0.2">
      <c r="A97" s="795">
        <f t="shared" si="10"/>
        <v>5213</v>
      </c>
      <c r="B97" s="795" t="str">
        <f t="shared" si="10"/>
        <v xml:space="preserve">Heating Oil </v>
      </c>
      <c r="C97" s="731"/>
      <c r="D97" s="731"/>
      <c r="E97" s="731"/>
      <c r="F97" s="212"/>
      <c r="G97" s="212"/>
      <c r="H97" s="212"/>
      <c r="I97" s="212"/>
      <c r="J97" s="212"/>
      <c r="K97" s="212"/>
      <c r="L97" s="212"/>
      <c r="M97" s="390">
        <f t="shared" si="11"/>
        <v>16500</v>
      </c>
      <c r="N97" s="411">
        <f t="shared" si="12"/>
        <v>35700</v>
      </c>
      <c r="O97" s="390">
        <f t="shared" si="8"/>
        <v>19200</v>
      </c>
      <c r="P97" s="392">
        <f t="shared" si="9"/>
        <v>1.1636</v>
      </c>
      <c r="Q97" s="494" t="s">
        <v>2251</v>
      </c>
      <c r="R97" s="1022"/>
      <c r="S97" s="442"/>
    </row>
    <row r="98" spans="1:19" x14ac:dyDescent="0.2">
      <c r="A98" s="795">
        <f t="shared" si="10"/>
        <v>5280</v>
      </c>
      <c r="B98" s="795" t="str">
        <f t="shared" si="10"/>
        <v>Solid Waste Disposal</v>
      </c>
      <c r="C98" s="731"/>
      <c r="D98" s="731"/>
      <c r="E98" s="731"/>
      <c r="F98" s="212"/>
      <c r="G98" s="212"/>
      <c r="H98" s="212"/>
      <c r="I98" s="212"/>
      <c r="J98" s="212"/>
      <c r="K98" s="212"/>
      <c r="L98" s="212"/>
      <c r="M98" s="390">
        <f t="shared" si="11"/>
        <v>321000</v>
      </c>
      <c r="N98" s="411">
        <f t="shared" si="12"/>
        <v>318000</v>
      </c>
      <c r="O98" s="390">
        <f t="shared" si="8"/>
        <v>-3000</v>
      </c>
      <c r="P98" s="392">
        <f t="shared" si="9"/>
        <v>-9.2999999999999992E-3</v>
      </c>
      <c r="Q98" s="494" t="s">
        <v>2252</v>
      </c>
      <c r="R98" s="1022"/>
      <c r="S98" s="442"/>
    </row>
    <row r="99" spans="1:19" x14ac:dyDescent="0.2">
      <c r="A99" s="795">
        <f t="shared" si="10"/>
        <v>5300</v>
      </c>
      <c r="B99" s="795" t="str">
        <f t="shared" si="10"/>
        <v>Professional Services</v>
      </c>
      <c r="C99" s="731"/>
      <c r="D99" s="731"/>
      <c r="E99" s="731"/>
      <c r="F99" s="212"/>
      <c r="G99" s="212"/>
      <c r="H99" s="212"/>
      <c r="I99" s="212"/>
      <c r="J99" s="212"/>
      <c r="K99" s="212"/>
      <c r="L99" s="212"/>
      <c r="M99" s="390">
        <f t="shared" si="11"/>
        <v>44000</v>
      </c>
      <c r="N99" s="411">
        <f t="shared" si="12"/>
        <v>44000</v>
      </c>
      <c r="O99" s="390">
        <f t="shared" si="8"/>
        <v>0</v>
      </c>
      <c r="P99" s="392" t="str">
        <f t="shared" si="9"/>
        <v/>
      </c>
      <c r="Q99" s="494"/>
      <c r="R99" s="1022"/>
      <c r="S99" s="442"/>
    </row>
    <row r="100" spans="1:19" x14ac:dyDescent="0.2">
      <c r="A100" s="795">
        <f t="shared" si="10"/>
        <v>5301</v>
      </c>
      <c r="B100" s="795" t="str">
        <f t="shared" si="10"/>
        <v>Contracted Lab</v>
      </c>
      <c r="C100" s="731"/>
      <c r="D100" s="731"/>
      <c r="E100" s="731"/>
      <c r="F100" s="212"/>
      <c r="G100" s="212"/>
      <c r="H100" s="212"/>
      <c r="I100" s="212"/>
      <c r="J100" s="212"/>
      <c r="K100" s="212"/>
      <c r="L100" s="212"/>
      <c r="M100" s="390">
        <f t="shared" si="11"/>
        <v>7200</v>
      </c>
      <c r="N100" s="411">
        <f t="shared" si="12"/>
        <v>7200</v>
      </c>
      <c r="O100" s="390">
        <f t="shared" si="8"/>
        <v>0</v>
      </c>
      <c r="P100" s="392" t="str">
        <f t="shared" si="9"/>
        <v/>
      </c>
      <c r="Q100" s="494"/>
      <c r="R100" s="1022"/>
      <c r="S100" s="442"/>
    </row>
    <row r="101" spans="1:19" x14ac:dyDescent="0.2">
      <c r="A101" s="795">
        <f t="shared" si="10"/>
        <v>5304</v>
      </c>
      <c r="B101" s="795" t="str">
        <f t="shared" si="10"/>
        <v>Industrial Pretreatment</v>
      </c>
      <c r="C101" s="731"/>
      <c r="D101" s="731"/>
      <c r="E101" s="731"/>
      <c r="F101" s="212"/>
      <c r="G101" s="212"/>
      <c r="H101" s="212"/>
      <c r="I101" s="212"/>
      <c r="J101" s="212"/>
      <c r="K101" s="212"/>
      <c r="L101" s="212"/>
      <c r="M101" s="390">
        <f t="shared" si="11"/>
        <v>500</v>
      </c>
      <c r="N101" s="411">
        <f t="shared" si="12"/>
        <v>500</v>
      </c>
      <c r="O101" s="390">
        <f t="shared" si="8"/>
        <v>0</v>
      </c>
      <c r="P101" s="392" t="str">
        <f t="shared" si="9"/>
        <v/>
      </c>
      <c r="Q101" s="494"/>
      <c r="R101" s="1022"/>
      <c r="S101" s="442"/>
    </row>
    <row r="102" spans="1:19" x14ac:dyDescent="0.2">
      <c r="A102" s="795">
        <f t="shared" si="10"/>
        <v>5305</v>
      </c>
      <c r="B102" s="795" t="str">
        <f t="shared" si="10"/>
        <v>SCADA Controls</v>
      </c>
      <c r="C102" s="731"/>
      <c r="D102" s="731"/>
      <c r="E102" s="731"/>
      <c r="F102" s="212"/>
      <c r="G102" s="212"/>
      <c r="H102" s="212"/>
      <c r="I102" s="212"/>
      <c r="J102" s="212"/>
      <c r="K102" s="212"/>
      <c r="L102" s="212"/>
      <c r="M102" s="390">
        <f t="shared" si="11"/>
        <v>35000</v>
      </c>
      <c r="N102" s="411">
        <f t="shared" si="12"/>
        <v>35000</v>
      </c>
      <c r="O102" s="390">
        <f t="shared" si="8"/>
        <v>0</v>
      </c>
      <c r="P102" s="392" t="str">
        <f t="shared" si="9"/>
        <v/>
      </c>
      <c r="Q102" s="494"/>
      <c r="R102" s="1022"/>
      <c r="S102" s="442"/>
    </row>
    <row r="103" spans="1:19" x14ac:dyDescent="0.2">
      <c r="A103" s="795">
        <f t="shared" si="10"/>
        <v>5310</v>
      </c>
      <c r="B103" s="795" t="str">
        <f t="shared" si="10"/>
        <v>Safety Expenses</v>
      </c>
      <c r="C103" s="731"/>
      <c r="D103" s="731"/>
      <c r="E103" s="731"/>
      <c r="F103" s="212"/>
      <c r="G103" s="212"/>
      <c r="H103" s="212"/>
      <c r="I103" s="212"/>
      <c r="J103" s="212"/>
      <c r="K103" s="212"/>
      <c r="L103" s="212"/>
      <c r="M103" s="390">
        <f t="shared" si="11"/>
        <v>6000</v>
      </c>
      <c r="N103" s="411">
        <f t="shared" si="12"/>
        <v>6000</v>
      </c>
      <c r="O103" s="390">
        <f t="shared" si="8"/>
        <v>0</v>
      </c>
      <c r="P103" s="392" t="str">
        <f t="shared" si="9"/>
        <v/>
      </c>
      <c r="Q103" s="494"/>
      <c r="R103" s="1022"/>
      <c r="S103" s="442"/>
    </row>
    <row r="104" spans="1:19" x14ac:dyDescent="0.2">
      <c r="A104" s="795">
        <f t="shared" si="10"/>
        <v>5320</v>
      </c>
      <c r="B104" s="795" t="str">
        <f t="shared" si="10"/>
        <v>Professional Development</v>
      </c>
      <c r="C104" s="731"/>
      <c r="D104" s="731"/>
      <c r="E104" s="731"/>
      <c r="F104" s="212"/>
      <c r="G104" s="212"/>
      <c r="H104" s="212"/>
      <c r="I104" s="212"/>
      <c r="J104" s="212"/>
      <c r="K104" s="212"/>
      <c r="L104" s="212"/>
      <c r="M104" s="390">
        <f t="shared" si="11"/>
        <v>5000</v>
      </c>
      <c r="N104" s="411">
        <f t="shared" si="12"/>
        <v>5000</v>
      </c>
      <c r="O104" s="390">
        <f t="shared" si="8"/>
        <v>0</v>
      </c>
      <c r="P104" s="392" t="str">
        <f t="shared" si="9"/>
        <v/>
      </c>
      <c r="Q104" s="494"/>
      <c r="R104" s="1022"/>
      <c r="S104" s="442"/>
    </row>
    <row r="105" spans="1:19" x14ac:dyDescent="0.2">
      <c r="A105" s="795">
        <f t="shared" si="10"/>
        <v>5340</v>
      </c>
      <c r="B105" s="795" t="str">
        <f t="shared" si="10"/>
        <v>Computer/Office Exp</v>
      </c>
      <c r="C105" s="731"/>
      <c r="D105" s="731"/>
      <c r="E105" s="731"/>
      <c r="F105" s="212"/>
      <c r="G105" s="212"/>
      <c r="H105" s="212"/>
      <c r="I105" s="212"/>
      <c r="J105" s="212"/>
      <c r="K105" s="212"/>
      <c r="L105" s="212"/>
      <c r="M105" s="390">
        <f t="shared" si="11"/>
        <v>6500</v>
      </c>
      <c r="N105" s="411">
        <f t="shared" si="12"/>
        <v>6500</v>
      </c>
      <c r="O105" s="390">
        <f t="shared" si="8"/>
        <v>0</v>
      </c>
      <c r="P105" s="392" t="str">
        <f t="shared" si="9"/>
        <v/>
      </c>
      <c r="Q105" s="494"/>
      <c r="R105" s="1022"/>
      <c r="S105" s="442"/>
    </row>
    <row r="106" spans="1:19" x14ac:dyDescent="0.2">
      <c r="A106" s="795">
        <f t="shared" si="10"/>
        <v>5360</v>
      </c>
      <c r="B106" s="795" t="str">
        <f t="shared" si="10"/>
        <v xml:space="preserve">Grounds </v>
      </c>
      <c r="C106" s="731"/>
      <c r="D106" s="731"/>
      <c r="E106" s="731"/>
      <c r="F106" s="212"/>
      <c r="G106" s="212"/>
      <c r="H106" s="212"/>
      <c r="I106" s="212"/>
      <c r="J106" s="212"/>
      <c r="K106" s="212"/>
      <c r="L106" s="212"/>
      <c r="M106" s="390">
        <f t="shared" si="11"/>
        <v>2500</v>
      </c>
      <c r="N106" s="411">
        <f t="shared" si="12"/>
        <v>5000</v>
      </c>
      <c r="O106" s="390">
        <f t="shared" si="8"/>
        <v>2500</v>
      </c>
      <c r="P106" s="392">
        <f t="shared" si="9"/>
        <v>1</v>
      </c>
      <c r="Q106" s="494" t="s">
        <v>2253</v>
      </c>
      <c r="R106" s="1022"/>
      <c r="S106" s="442"/>
    </row>
    <row r="107" spans="1:19" x14ac:dyDescent="0.2">
      <c r="A107" s="795">
        <f t="shared" si="10"/>
        <v>5370</v>
      </c>
      <c r="B107" s="795" t="str">
        <f t="shared" si="10"/>
        <v xml:space="preserve">Buildings </v>
      </c>
      <c r="C107" s="731"/>
      <c r="D107" s="731"/>
      <c r="E107" s="731"/>
      <c r="F107" s="212"/>
      <c r="G107" s="212"/>
      <c r="H107" s="212"/>
      <c r="I107" s="212"/>
      <c r="J107" s="212"/>
      <c r="K107" s="212"/>
      <c r="L107" s="212"/>
      <c r="M107" s="390">
        <f t="shared" si="11"/>
        <v>16000</v>
      </c>
      <c r="N107" s="411">
        <f t="shared" si="12"/>
        <v>16000</v>
      </c>
      <c r="O107" s="390">
        <f t="shared" si="8"/>
        <v>0</v>
      </c>
      <c r="P107" s="392" t="str">
        <f t="shared" si="9"/>
        <v/>
      </c>
      <c r="Q107" s="494"/>
      <c r="R107" s="1022"/>
      <c r="S107" s="442"/>
    </row>
    <row r="108" spans="1:19" x14ac:dyDescent="0.2">
      <c r="A108" s="795">
        <f t="shared" si="10"/>
        <v>5371</v>
      </c>
      <c r="B108" s="795" t="str">
        <f t="shared" si="10"/>
        <v>HVAC</v>
      </c>
      <c r="C108" s="731"/>
      <c r="D108" s="731"/>
      <c r="E108" s="731"/>
      <c r="F108" s="212"/>
      <c r="G108" s="212"/>
      <c r="H108" s="212"/>
      <c r="I108" s="212"/>
      <c r="J108" s="212"/>
      <c r="K108" s="212"/>
      <c r="L108" s="212"/>
      <c r="M108" s="390">
        <f t="shared" si="11"/>
        <v>6000</v>
      </c>
      <c r="N108" s="411">
        <f t="shared" si="12"/>
        <v>6000</v>
      </c>
      <c r="O108" s="390">
        <f t="shared" si="8"/>
        <v>0</v>
      </c>
      <c r="P108" s="392" t="str">
        <f t="shared" si="9"/>
        <v/>
      </c>
      <c r="Q108" s="494"/>
      <c r="R108" s="1022"/>
      <c r="S108" s="442"/>
    </row>
    <row r="109" spans="1:19" x14ac:dyDescent="0.2">
      <c r="A109" s="795">
        <f t="shared" si="10"/>
        <v>5400</v>
      </c>
      <c r="B109" s="795" t="str">
        <f t="shared" si="10"/>
        <v>Equipment</v>
      </c>
      <c r="C109" s="731"/>
      <c r="D109" s="731"/>
      <c r="E109" s="731"/>
      <c r="F109" s="212"/>
      <c r="G109" s="212"/>
      <c r="H109" s="212"/>
      <c r="I109" s="212"/>
      <c r="J109" s="212"/>
      <c r="K109" s="212"/>
      <c r="L109" s="212"/>
      <c r="M109" s="390">
        <f t="shared" si="11"/>
        <v>72500</v>
      </c>
      <c r="N109" s="411">
        <f t="shared" si="12"/>
        <v>60000</v>
      </c>
      <c r="O109" s="390">
        <f t="shared" si="8"/>
        <v>-12500</v>
      </c>
      <c r="P109" s="392">
        <f t="shared" si="9"/>
        <v>-0.1724</v>
      </c>
      <c r="Q109" s="494" t="s">
        <v>2254</v>
      </c>
      <c r="R109" s="1022"/>
      <c r="S109" s="442"/>
    </row>
    <row r="110" spans="1:19" x14ac:dyDescent="0.2">
      <c r="A110" s="795">
        <f t="shared" si="10"/>
        <v>5401</v>
      </c>
      <c r="B110" s="795" t="str">
        <f t="shared" si="10"/>
        <v>Preliminary Equip/Headworks</v>
      </c>
      <c r="C110" s="731"/>
      <c r="D110" s="731"/>
      <c r="E110" s="731"/>
      <c r="F110" s="212"/>
      <c r="G110" s="212"/>
      <c r="H110" s="212"/>
      <c r="I110" s="212"/>
      <c r="J110" s="212"/>
      <c r="K110" s="212"/>
      <c r="L110" s="212"/>
      <c r="M110" s="390">
        <f t="shared" si="11"/>
        <v>5000</v>
      </c>
      <c r="N110" s="411">
        <f t="shared" si="12"/>
        <v>5000</v>
      </c>
      <c r="O110" s="390">
        <f t="shared" si="8"/>
        <v>0</v>
      </c>
      <c r="P110" s="392" t="str">
        <f t="shared" si="9"/>
        <v/>
      </c>
      <c r="Q110" s="494"/>
      <c r="R110" s="1022"/>
      <c r="S110" s="442"/>
    </row>
    <row r="111" spans="1:19" x14ac:dyDescent="0.2">
      <c r="A111" s="795">
        <f t="shared" si="10"/>
        <v>5402</v>
      </c>
      <c r="B111" s="795" t="str">
        <f t="shared" si="10"/>
        <v>Primary Equipment</v>
      </c>
      <c r="C111" s="731"/>
      <c r="D111" s="731"/>
      <c r="E111" s="731"/>
      <c r="F111" s="212"/>
      <c r="G111" s="212"/>
      <c r="H111" s="212"/>
      <c r="I111" s="212"/>
      <c r="J111" s="212"/>
      <c r="K111" s="212"/>
      <c r="L111" s="212"/>
      <c r="M111" s="390">
        <f t="shared" si="11"/>
        <v>30000</v>
      </c>
      <c r="N111" s="411">
        <f t="shared" si="12"/>
        <v>23000</v>
      </c>
      <c r="O111" s="390">
        <f t="shared" si="8"/>
        <v>-7000</v>
      </c>
      <c r="P111" s="392">
        <f t="shared" si="9"/>
        <v>-0.23330000000000001</v>
      </c>
      <c r="Q111" s="494" t="s">
        <v>2255</v>
      </c>
      <c r="R111" s="1022"/>
      <c r="S111" s="442"/>
    </row>
    <row r="112" spans="1:19" x14ac:dyDescent="0.2">
      <c r="A112" s="795">
        <f t="shared" si="10"/>
        <v>5403</v>
      </c>
      <c r="B112" s="795" t="str">
        <f t="shared" si="10"/>
        <v>Secondary Equipment</v>
      </c>
      <c r="C112" s="731"/>
      <c r="D112" s="731"/>
      <c r="E112" s="731"/>
      <c r="F112" s="212"/>
      <c r="G112" s="212"/>
      <c r="H112" s="212"/>
      <c r="I112" s="212"/>
      <c r="J112" s="212"/>
      <c r="K112" s="212"/>
      <c r="L112" s="212"/>
      <c r="M112" s="390">
        <f t="shared" si="11"/>
        <v>7000</v>
      </c>
      <c r="N112" s="411">
        <f t="shared" si="12"/>
        <v>7000</v>
      </c>
      <c r="O112" s="390">
        <f t="shared" si="8"/>
        <v>0</v>
      </c>
      <c r="P112" s="392" t="str">
        <f t="shared" si="9"/>
        <v/>
      </c>
      <c r="Q112" s="494"/>
      <c r="R112" s="1022"/>
      <c r="S112" s="442"/>
    </row>
    <row r="113" spans="1:19" x14ac:dyDescent="0.2">
      <c r="A113" s="795">
        <f t="shared" ref="A113:B113" si="13">+A37</f>
        <v>5404</v>
      </c>
      <c r="B113" s="795" t="str">
        <f t="shared" si="13"/>
        <v xml:space="preserve">Sludge Equipment </v>
      </c>
      <c r="C113" s="731"/>
      <c r="D113" s="731"/>
      <c r="E113" s="731"/>
      <c r="F113" s="212"/>
      <c r="G113" s="212"/>
      <c r="H113" s="212"/>
      <c r="I113" s="212"/>
      <c r="J113" s="212"/>
      <c r="K113" s="212"/>
      <c r="L113" s="212"/>
      <c r="M113" s="390">
        <f t="shared" ref="M113:M132" si="14">+O37</f>
        <v>20000</v>
      </c>
      <c r="N113" s="411">
        <f t="shared" ref="N113:N132" si="15">+Q37</f>
        <v>20000</v>
      </c>
      <c r="O113" s="390">
        <f t="shared" si="8"/>
        <v>0</v>
      </c>
      <c r="P113" s="392" t="str">
        <f t="shared" si="9"/>
        <v/>
      </c>
      <c r="Q113" s="494"/>
      <c r="R113" s="1022"/>
      <c r="S113" s="442"/>
    </row>
    <row r="114" spans="1:19" x14ac:dyDescent="0.2">
      <c r="A114" s="795">
        <f t="shared" ref="A114:B114" si="16">+A38</f>
        <v>5406</v>
      </c>
      <c r="B114" s="795" t="str">
        <f t="shared" si="16"/>
        <v>Water &amp; Hydrants</v>
      </c>
      <c r="C114" s="731"/>
      <c r="D114" s="731"/>
      <c r="E114" s="731"/>
      <c r="F114" s="212"/>
      <c r="G114" s="212"/>
      <c r="H114" s="212"/>
      <c r="I114" s="212"/>
      <c r="J114" s="212"/>
      <c r="K114" s="212"/>
      <c r="L114" s="212"/>
      <c r="M114" s="390">
        <f t="shared" si="14"/>
        <v>3000</v>
      </c>
      <c r="N114" s="411">
        <f t="shared" si="15"/>
        <v>10000</v>
      </c>
      <c r="O114" s="390">
        <f t="shared" si="8"/>
        <v>7000</v>
      </c>
      <c r="P114" s="392">
        <f t="shared" si="9"/>
        <v>2.3332999999999999</v>
      </c>
      <c r="Q114" s="494" t="s">
        <v>2256</v>
      </c>
      <c r="R114" s="1022"/>
      <c r="S114" s="442"/>
    </row>
    <row r="115" spans="1:19" x14ac:dyDescent="0.2">
      <c r="A115" s="795">
        <f t="shared" ref="A115:B115" si="17">+A39</f>
        <v>5407</v>
      </c>
      <c r="B115" s="795" t="str">
        <f t="shared" si="17"/>
        <v>Primary Effluent Screw Pumps</v>
      </c>
      <c r="C115" s="731"/>
      <c r="D115" s="731"/>
      <c r="E115" s="731"/>
      <c r="F115" s="212"/>
      <c r="G115" s="212"/>
      <c r="H115" s="212"/>
      <c r="I115" s="212"/>
      <c r="J115" s="212"/>
      <c r="K115" s="212"/>
      <c r="L115" s="212"/>
      <c r="M115" s="390">
        <f t="shared" si="14"/>
        <v>1500</v>
      </c>
      <c r="N115" s="411">
        <f t="shared" si="15"/>
        <v>1500</v>
      </c>
      <c r="O115" s="390">
        <f t="shared" si="8"/>
        <v>0</v>
      </c>
      <c r="P115" s="392" t="str">
        <f t="shared" si="9"/>
        <v/>
      </c>
      <c r="Q115" s="494"/>
      <c r="R115" s="1022"/>
      <c r="S115" s="442"/>
    </row>
    <row r="116" spans="1:19" x14ac:dyDescent="0.2">
      <c r="A116" s="795">
        <f t="shared" ref="A116:B116" si="18">+A40</f>
        <v>5408</v>
      </c>
      <c r="B116" s="795" t="str">
        <f t="shared" si="18"/>
        <v>Septage Handling</v>
      </c>
      <c r="C116" s="731"/>
      <c r="D116" s="731"/>
      <c r="E116" s="731"/>
      <c r="F116" s="212"/>
      <c r="G116" s="212"/>
      <c r="H116" s="212"/>
      <c r="I116" s="212"/>
      <c r="J116" s="212"/>
      <c r="K116" s="212"/>
      <c r="L116" s="212"/>
      <c r="M116" s="390">
        <f t="shared" si="14"/>
        <v>1000</v>
      </c>
      <c r="N116" s="411">
        <f t="shared" si="15"/>
        <v>1000</v>
      </c>
      <c r="O116" s="390">
        <f t="shared" si="8"/>
        <v>0</v>
      </c>
      <c r="P116" s="392" t="str">
        <f t="shared" si="9"/>
        <v/>
      </c>
      <c r="Q116" s="494"/>
      <c r="R116" s="1022"/>
      <c r="S116" s="442"/>
    </row>
    <row r="117" spans="1:19" x14ac:dyDescent="0.2">
      <c r="A117" s="795">
        <f t="shared" ref="A117:B117" si="19">+A41</f>
        <v>5409</v>
      </c>
      <c r="B117" s="795" t="str">
        <f t="shared" si="19"/>
        <v>Odor Control</v>
      </c>
      <c r="C117" s="731"/>
      <c r="D117" s="731"/>
      <c r="E117" s="731"/>
      <c r="F117" s="212"/>
      <c r="G117" s="212"/>
      <c r="H117" s="212"/>
      <c r="I117" s="212"/>
      <c r="J117" s="212"/>
      <c r="K117" s="212"/>
      <c r="L117" s="212"/>
      <c r="M117" s="390">
        <f t="shared" si="14"/>
        <v>10000</v>
      </c>
      <c r="N117" s="411">
        <f t="shared" si="15"/>
        <v>10000</v>
      </c>
      <c r="O117" s="390">
        <f t="shared" si="8"/>
        <v>0</v>
      </c>
      <c r="P117" s="392" t="str">
        <f t="shared" si="9"/>
        <v/>
      </c>
      <c r="Q117" s="494"/>
      <c r="R117" s="1022"/>
      <c r="S117" s="442"/>
    </row>
    <row r="118" spans="1:19" x14ac:dyDescent="0.2">
      <c r="A118" s="795">
        <f t="shared" ref="A118:B118" si="20">+A42</f>
        <v>5410</v>
      </c>
      <c r="B118" s="795" t="str">
        <f t="shared" si="20"/>
        <v>Pump Station</v>
      </c>
      <c r="C118" s="731"/>
      <c r="D118" s="731"/>
      <c r="E118" s="731"/>
      <c r="F118" s="212"/>
      <c r="G118" s="212"/>
      <c r="H118" s="212"/>
      <c r="I118" s="212"/>
      <c r="J118" s="212"/>
      <c r="K118" s="212"/>
      <c r="L118" s="212"/>
      <c r="M118" s="390">
        <f t="shared" si="14"/>
        <v>30000</v>
      </c>
      <c r="N118" s="411">
        <f t="shared" si="15"/>
        <v>40000</v>
      </c>
      <c r="O118" s="390">
        <f t="shared" si="8"/>
        <v>10000</v>
      </c>
      <c r="P118" s="392">
        <f t="shared" si="9"/>
        <v>0.33329999999999999</v>
      </c>
      <c r="Q118" s="494" t="s">
        <v>2253</v>
      </c>
      <c r="R118" s="1022"/>
      <c r="S118" s="442"/>
    </row>
    <row r="119" spans="1:19" x14ac:dyDescent="0.2">
      <c r="A119" s="795">
        <f t="shared" ref="A119:B119" si="21">+A43</f>
        <v>5411</v>
      </c>
      <c r="B119" s="795" t="str">
        <f t="shared" si="21"/>
        <v>Communications</v>
      </c>
      <c r="C119" s="731"/>
      <c r="D119" s="731"/>
      <c r="E119" s="731"/>
      <c r="F119" s="212"/>
      <c r="G119" s="212"/>
      <c r="H119" s="212"/>
      <c r="I119" s="212"/>
      <c r="J119" s="212"/>
      <c r="K119" s="212"/>
      <c r="L119" s="212"/>
      <c r="M119" s="390">
        <f t="shared" si="14"/>
        <v>10000</v>
      </c>
      <c r="N119" s="411">
        <f t="shared" si="15"/>
        <v>10000</v>
      </c>
      <c r="O119" s="390">
        <f t="shared" si="8"/>
        <v>0</v>
      </c>
      <c r="P119" s="392" t="str">
        <f t="shared" si="9"/>
        <v/>
      </c>
      <c r="Q119" s="494"/>
      <c r="R119" s="1022"/>
      <c r="S119" s="442"/>
    </row>
    <row r="120" spans="1:19" x14ac:dyDescent="0.2">
      <c r="A120" s="795">
        <f t="shared" ref="A120:B120" si="22">+A44</f>
        <v>5415</v>
      </c>
      <c r="B120" s="795" t="str">
        <f t="shared" si="22"/>
        <v>Oil &amp; Lubricants</v>
      </c>
      <c r="C120" s="731"/>
      <c r="D120" s="731"/>
      <c r="E120" s="731"/>
      <c r="F120" s="212"/>
      <c r="G120" s="212"/>
      <c r="H120" s="212"/>
      <c r="I120" s="212"/>
      <c r="J120" s="212"/>
      <c r="K120" s="212"/>
      <c r="L120" s="212"/>
      <c r="M120" s="390">
        <f t="shared" si="14"/>
        <v>4000</v>
      </c>
      <c r="N120" s="411">
        <f t="shared" si="15"/>
        <v>4000</v>
      </c>
      <c r="O120" s="390">
        <f t="shared" si="8"/>
        <v>0</v>
      </c>
      <c r="P120" s="392" t="str">
        <f t="shared" si="9"/>
        <v/>
      </c>
      <c r="Q120" s="494"/>
      <c r="R120" s="1022"/>
      <c r="S120" s="442"/>
    </row>
    <row r="121" spans="1:19" x14ac:dyDescent="0.2">
      <c r="A121" s="795">
        <f t="shared" ref="A121:B121" si="23">+A45</f>
        <v>5418</v>
      </c>
      <c r="B121" s="795" t="str">
        <f t="shared" si="23"/>
        <v>Chlorination</v>
      </c>
      <c r="C121" s="731"/>
      <c r="D121" s="731"/>
      <c r="E121" s="731"/>
      <c r="F121" s="212"/>
      <c r="G121" s="212"/>
      <c r="H121" s="212"/>
      <c r="I121" s="212"/>
      <c r="J121" s="212"/>
      <c r="K121" s="212"/>
      <c r="L121" s="212"/>
      <c r="M121" s="390">
        <f t="shared" si="14"/>
        <v>20000</v>
      </c>
      <c r="N121" s="411">
        <f t="shared" si="15"/>
        <v>20000</v>
      </c>
      <c r="O121" s="390">
        <f t="shared" si="8"/>
        <v>0</v>
      </c>
      <c r="P121" s="392" t="str">
        <f t="shared" si="9"/>
        <v/>
      </c>
      <c r="Q121" s="494"/>
      <c r="R121" s="1022"/>
      <c r="S121" s="442"/>
    </row>
    <row r="122" spans="1:19" x14ac:dyDescent="0.2">
      <c r="A122" s="795">
        <f t="shared" ref="A122:B122" si="24">+A46</f>
        <v>5430</v>
      </c>
      <c r="B122" s="795" t="str">
        <f t="shared" si="24"/>
        <v>CSO</v>
      </c>
      <c r="C122" s="731"/>
      <c r="D122" s="731"/>
      <c r="E122" s="731"/>
      <c r="F122" s="212"/>
      <c r="G122" s="212"/>
      <c r="H122" s="212"/>
      <c r="I122" s="212"/>
      <c r="J122" s="212"/>
      <c r="K122" s="212"/>
      <c r="L122" s="212"/>
      <c r="M122" s="390">
        <f t="shared" si="14"/>
        <v>20000</v>
      </c>
      <c r="N122" s="411">
        <f t="shared" si="15"/>
        <v>0</v>
      </c>
      <c r="O122" s="390">
        <f t="shared" si="8"/>
        <v>-20000</v>
      </c>
      <c r="P122" s="392">
        <f t="shared" si="9"/>
        <v>-1</v>
      </c>
      <c r="Q122" s="494"/>
      <c r="R122" s="1022"/>
      <c r="S122" s="442"/>
    </row>
    <row r="123" spans="1:19" x14ac:dyDescent="0.2">
      <c r="A123" s="795">
        <f t="shared" ref="A123:B123" si="25">+A47</f>
        <v>5440</v>
      </c>
      <c r="B123" s="795" t="str">
        <f t="shared" si="25"/>
        <v>Other operational Supplies</v>
      </c>
      <c r="C123" s="731"/>
      <c r="D123" s="731"/>
      <c r="E123" s="731"/>
      <c r="F123" s="212"/>
      <c r="G123" s="212"/>
      <c r="H123" s="212"/>
      <c r="I123" s="212"/>
      <c r="J123" s="212"/>
      <c r="K123" s="212"/>
      <c r="L123" s="212"/>
      <c r="M123" s="390">
        <f t="shared" si="14"/>
        <v>19000</v>
      </c>
      <c r="N123" s="411">
        <f t="shared" si="15"/>
        <v>19000</v>
      </c>
      <c r="O123" s="390">
        <f t="shared" si="8"/>
        <v>0</v>
      </c>
      <c r="P123" s="392" t="str">
        <f t="shared" si="9"/>
        <v/>
      </c>
      <c r="Q123" s="494"/>
      <c r="R123" s="1022"/>
      <c r="S123" s="442"/>
    </row>
    <row r="124" spans="1:19" x14ac:dyDescent="0.2">
      <c r="A124" s="795">
        <f t="shared" ref="A124:B124" si="26">+A48</f>
        <v>5446</v>
      </c>
      <c r="B124" s="795" t="str">
        <f t="shared" si="26"/>
        <v>Lab Supplies</v>
      </c>
      <c r="C124" s="731"/>
      <c r="D124" s="731"/>
      <c r="E124" s="731"/>
      <c r="F124" s="212"/>
      <c r="G124" s="212"/>
      <c r="H124" s="212"/>
      <c r="I124" s="212"/>
      <c r="J124" s="212"/>
      <c r="K124" s="212"/>
      <c r="L124" s="212"/>
      <c r="M124" s="390">
        <f t="shared" si="14"/>
        <v>12000</v>
      </c>
      <c r="N124" s="411">
        <f t="shared" si="15"/>
        <v>12000</v>
      </c>
      <c r="O124" s="390">
        <f t="shared" si="8"/>
        <v>0</v>
      </c>
      <c r="P124" s="392" t="str">
        <f t="shared" si="9"/>
        <v/>
      </c>
      <c r="Q124" s="494"/>
      <c r="R124" s="1022"/>
      <c r="S124" s="442"/>
    </row>
    <row r="125" spans="1:19" x14ac:dyDescent="0.2">
      <c r="A125" s="795">
        <f t="shared" ref="A125:B125" si="27">+A49</f>
        <v>5470</v>
      </c>
      <c r="B125" s="795" t="str">
        <f t="shared" si="27"/>
        <v>Chemicals (orig budg incl in 5280, 5440)</v>
      </c>
      <c r="C125" s="731"/>
      <c r="D125" s="731"/>
      <c r="E125" s="731"/>
      <c r="F125" s="212"/>
      <c r="G125" s="212"/>
      <c r="H125" s="212"/>
      <c r="I125" s="212"/>
      <c r="J125" s="212"/>
      <c r="K125" s="212"/>
      <c r="L125" s="212"/>
      <c r="M125" s="390">
        <f t="shared" si="14"/>
        <v>30000</v>
      </c>
      <c r="N125" s="411">
        <f t="shared" si="15"/>
        <v>30000</v>
      </c>
      <c r="O125" s="390">
        <f t="shared" si="8"/>
        <v>0</v>
      </c>
      <c r="P125" s="392" t="str">
        <f t="shared" si="9"/>
        <v/>
      </c>
      <c r="Q125" s="494"/>
      <c r="R125" s="1022"/>
      <c r="S125" s="442"/>
    </row>
    <row r="126" spans="1:19" x14ac:dyDescent="0.2">
      <c r="A126" s="795">
        <f t="shared" ref="A126:B126" si="28">+A50</f>
        <v>5480</v>
      </c>
      <c r="B126" s="795" t="str">
        <f t="shared" si="28"/>
        <v>Vehicle Supplies Pickups</v>
      </c>
      <c r="C126" s="731"/>
      <c r="D126" s="731"/>
      <c r="E126" s="731"/>
      <c r="F126" s="212"/>
      <c r="G126" s="212"/>
      <c r="H126" s="212"/>
      <c r="I126" s="212"/>
      <c r="J126" s="212"/>
      <c r="K126" s="212"/>
      <c r="L126" s="212"/>
      <c r="M126" s="390">
        <f t="shared" si="14"/>
        <v>6000</v>
      </c>
      <c r="N126" s="411">
        <f t="shared" si="15"/>
        <v>6000</v>
      </c>
      <c r="O126" s="390">
        <f t="shared" si="8"/>
        <v>0</v>
      </c>
      <c r="P126" s="392" t="str">
        <f t="shared" si="9"/>
        <v/>
      </c>
      <c r="Q126" s="494"/>
      <c r="R126" s="1022"/>
      <c r="S126" s="442"/>
    </row>
    <row r="127" spans="1:19" x14ac:dyDescent="0.2">
      <c r="A127" s="795">
        <f t="shared" ref="A127:B127" si="29">+A51</f>
        <v>5582</v>
      </c>
      <c r="B127" s="795" t="str">
        <f t="shared" si="29"/>
        <v>Uniforms/Clothing</v>
      </c>
      <c r="C127" s="731"/>
      <c r="D127" s="731"/>
      <c r="E127" s="731"/>
      <c r="F127" s="212"/>
      <c r="G127" s="212"/>
      <c r="H127" s="212"/>
      <c r="I127" s="212"/>
      <c r="J127" s="212"/>
      <c r="K127" s="212"/>
      <c r="L127" s="212"/>
      <c r="M127" s="390">
        <f t="shared" si="14"/>
        <v>4700</v>
      </c>
      <c r="N127" s="411">
        <f t="shared" si="15"/>
        <v>9000</v>
      </c>
      <c r="O127" s="390">
        <f t="shared" si="8"/>
        <v>4300</v>
      </c>
      <c r="P127" s="392">
        <f t="shared" si="9"/>
        <v>0.91490000000000005</v>
      </c>
      <c r="Q127" s="494" t="s">
        <v>2257</v>
      </c>
      <c r="R127" s="1022"/>
      <c r="S127" s="442"/>
    </row>
    <row r="128" spans="1:19" x14ac:dyDescent="0.2">
      <c r="A128" s="795">
        <f t="shared" ref="A128:B128" si="30">+A52</f>
        <v>5740</v>
      </c>
      <c r="B128" s="795" t="str">
        <f t="shared" si="30"/>
        <v>General Insurance</v>
      </c>
      <c r="C128" s="731"/>
      <c r="D128" s="731"/>
      <c r="E128" s="731"/>
      <c r="F128" s="212"/>
      <c r="G128" s="212"/>
      <c r="H128" s="212"/>
      <c r="I128" s="212"/>
      <c r="J128" s="212"/>
      <c r="K128" s="212"/>
      <c r="L128" s="212"/>
      <c r="M128" s="390">
        <f t="shared" si="14"/>
        <v>25000</v>
      </c>
      <c r="N128" s="411">
        <f t="shared" si="15"/>
        <v>25000</v>
      </c>
      <c r="O128" s="390">
        <f t="shared" si="8"/>
        <v>0</v>
      </c>
      <c r="P128" s="392" t="str">
        <f t="shared" si="9"/>
        <v/>
      </c>
      <c r="Q128" s="494"/>
      <c r="R128" s="1022"/>
      <c r="S128" s="442"/>
    </row>
    <row r="129" spans="1:19" x14ac:dyDescent="0.2">
      <c r="A129" s="795">
        <f t="shared" ref="A129:B129" si="31">+A53</f>
        <v>5790</v>
      </c>
      <c r="B129" s="795" t="str">
        <f t="shared" si="31"/>
        <v>Town Overhead</v>
      </c>
      <c r="C129" s="731"/>
      <c r="D129" s="731"/>
      <c r="E129" s="731"/>
      <c r="F129" s="212"/>
      <c r="G129" s="212"/>
      <c r="H129" s="212"/>
      <c r="I129" s="212"/>
      <c r="J129" s="212"/>
      <c r="K129" s="212"/>
      <c r="L129" s="212"/>
      <c r="M129" s="390">
        <f t="shared" si="14"/>
        <v>49590</v>
      </c>
      <c r="N129" s="411">
        <f t="shared" si="15"/>
        <v>52512</v>
      </c>
      <c r="O129" s="390">
        <f t="shared" si="8"/>
        <v>2922</v>
      </c>
      <c r="P129" s="392">
        <f t="shared" si="9"/>
        <v>5.8900000000000001E-2</v>
      </c>
      <c r="Q129" s="494" t="s">
        <v>2258</v>
      </c>
      <c r="R129" s="1022"/>
      <c r="S129" s="442"/>
    </row>
    <row r="130" spans="1:19" x14ac:dyDescent="0.2">
      <c r="A130" s="795">
        <f t="shared" ref="A130:B130" si="32">+A54</f>
        <v>5791</v>
      </c>
      <c r="B130" s="795" t="str">
        <f t="shared" si="32"/>
        <v>TFFD Overhead</v>
      </c>
      <c r="C130" s="731"/>
      <c r="D130" s="731"/>
      <c r="E130" s="731"/>
      <c r="F130" s="212"/>
      <c r="G130" s="212"/>
      <c r="H130" s="212"/>
      <c r="I130" s="212"/>
      <c r="J130" s="212"/>
      <c r="K130" s="212"/>
      <c r="L130" s="212"/>
      <c r="M130" s="390">
        <f t="shared" si="14"/>
        <v>5500</v>
      </c>
      <c r="N130" s="411">
        <f t="shared" si="15"/>
        <v>5500</v>
      </c>
      <c r="O130" s="390">
        <f t="shared" si="8"/>
        <v>0</v>
      </c>
      <c r="P130" s="392" t="str">
        <f t="shared" si="9"/>
        <v/>
      </c>
      <c r="Q130" s="494"/>
      <c r="R130" s="1022"/>
      <c r="S130" s="442"/>
    </row>
    <row r="131" spans="1:19" x14ac:dyDescent="0.2">
      <c r="A131" s="795">
        <f t="shared" ref="A131:B131" si="33">+A55</f>
        <v>5795</v>
      </c>
      <c r="B131" s="795" t="str">
        <f t="shared" si="33"/>
        <v>Millers Falls Assessment</v>
      </c>
      <c r="C131" s="731"/>
      <c r="D131" s="731"/>
      <c r="E131" s="731"/>
      <c r="F131" s="212"/>
      <c r="G131" s="212"/>
      <c r="H131" s="212"/>
      <c r="I131" s="212"/>
      <c r="J131" s="212"/>
      <c r="K131" s="212"/>
      <c r="L131" s="212"/>
      <c r="M131" s="390">
        <f t="shared" si="14"/>
        <v>220000</v>
      </c>
      <c r="N131" s="411">
        <f t="shared" si="15"/>
        <v>236232</v>
      </c>
      <c r="O131" s="390">
        <f t="shared" si="8"/>
        <v>16232</v>
      </c>
      <c r="P131" s="392">
        <f t="shared" si="9"/>
        <v>7.3800000000000004E-2</v>
      </c>
      <c r="Q131" s="494"/>
      <c r="R131" s="1022"/>
      <c r="S131" s="442"/>
    </row>
    <row r="132" spans="1:19" x14ac:dyDescent="0.2">
      <c r="A132" s="795">
        <f t="shared" ref="A132:B132" si="34">+A56</f>
        <v>5796</v>
      </c>
      <c r="B132" s="795" t="str">
        <f t="shared" si="34"/>
        <v>Millers Falls Overage Charge</v>
      </c>
      <c r="C132" s="731"/>
      <c r="D132" s="731"/>
      <c r="E132" s="731"/>
      <c r="F132" s="212"/>
      <c r="G132" s="212"/>
      <c r="H132" s="212"/>
      <c r="I132" s="212"/>
      <c r="J132" s="212"/>
      <c r="K132" s="212"/>
      <c r="L132" s="212"/>
      <c r="M132" s="390">
        <f t="shared" si="14"/>
        <v>0</v>
      </c>
      <c r="N132" s="411">
        <f t="shared" si="15"/>
        <v>55000</v>
      </c>
      <c r="O132" s="390">
        <f t="shared" si="8"/>
        <v>55000</v>
      </c>
      <c r="P132" s="392">
        <f t="shared" si="9"/>
        <v>1</v>
      </c>
      <c r="Q132" s="735"/>
      <c r="R132" s="1023"/>
      <c r="S132" s="425"/>
    </row>
    <row r="133" spans="1:19" x14ac:dyDescent="0.2">
      <c r="A133" s="795">
        <f t="shared" ref="A133:B133" si="35">+A58</f>
        <v>5780</v>
      </c>
      <c r="B133" s="795" t="str">
        <f t="shared" si="35"/>
        <v>Budgeted Surplus</v>
      </c>
      <c r="C133" s="731"/>
      <c r="D133" s="731"/>
      <c r="E133" s="731"/>
      <c r="F133" s="212"/>
      <c r="G133" s="212"/>
      <c r="H133" s="212"/>
      <c r="I133" s="212"/>
      <c r="J133" s="212"/>
      <c r="K133" s="212"/>
      <c r="L133" s="212"/>
      <c r="M133" s="390">
        <f>+O58</f>
        <v>68172</v>
      </c>
      <c r="N133" s="411">
        <f>+Q58</f>
        <v>98000</v>
      </c>
      <c r="O133" s="390">
        <f t="shared" si="8"/>
        <v>29828</v>
      </c>
      <c r="P133" s="392">
        <f t="shared" si="9"/>
        <v>0.4375</v>
      </c>
      <c r="Q133" s="495"/>
      <c r="R133" s="1021"/>
      <c r="S133" s="386"/>
    </row>
    <row r="134" spans="1:19" x14ac:dyDescent="0.2">
      <c r="A134" s="795"/>
      <c r="B134" s="795"/>
      <c r="C134" s="731"/>
      <c r="D134" s="731"/>
      <c r="E134" s="731"/>
      <c r="F134" s="212"/>
      <c r="G134" s="212"/>
      <c r="H134" s="212"/>
      <c r="I134" s="212"/>
      <c r="J134" s="212"/>
      <c r="K134" s="212"/>
      <c r="L134" s="212"/>
      <c r="M134" s="390"/>
      <c r="N134" s="411"/>
      <c r="O134" s="390"/>
      <c r="P134" s="392"/>
      <c r="Q134" s="495"/>
      <c r="R134" s="1021"/>
      <c r="S134" s="386"/>
    </row>
    <row r="135" spans="1:19" x14ac:dyDescent="0.2">
      <c r="A135" s="774"/>
      <c r="B135" s="4" t="s">
        <v>846</v>
      </c>
      <c r="C135" s="23"/>
      <c r="D135" s="23"/>
      <c r="E135" s="23"/>
      <c r="F135" s="23"/>
      <c r="G135" s="23"/>
      <c r="H135" s="212"/>
      <c r="I135" s="212"/>
      <c r="J135" s="212"/>
      <c r="K135" s="212"/>
      <c r="L135" s="212"/>
      <c r="M135" s="616">
        <f>SUM(M90:M134)</f>
        <v>1926348</v>
      </c>
      <c r="N135" s="616">
        <f>SUM(N90:N134)</f>
        <v>2015729</v>
      </c>
      <c r="O135" s="616">
        <f>SUM(O90:O134)</f>
        <v>89381</v>
      </c>
      <c r="P135" s="617">
        <f>IF(M135+N135&lt;&gt;0,IF(M135&lt;&gt;0,IF(O135&lt;&gt;0,ROUND((+O135/M135),4),""),1),"")</f>
        <v>4.6399999999999997E-2</v>
      </c>
    </row>
    <row r="136" spans="1:19" x14ac:dyDescent="0.2">
      <c r="D136" s="212"/>
      <c r="E136" s="212"/>
      <c r="F136" s="212"/>
      <c r="G136" s="212"/>
      <c r="H136" s="212"/>
      <c r="I136" s="212">
        <f>+K64</f>
        <v>1585763</v>
      </c>
      <c r="J136" s="212"/>
      <c r="K136" s="212"/>
      <c r="L136" s="212"/>
      <c r="M136" s="212"/>
      <c r="N136" s="212"/>
      <c r="O136" s="212"/>
    </row>
  </sheetData>
  <phoneticPr fontId="0" type="noConversion"/>
  <hyperlinks>
    <hyperlink ref="A1" location="'Working Budget with funding det'!A1" display="Main " xr:uid="{00000000-0004-0000-3900-000000000000}"/>
    <hyperlink ref="B1" location="'Table of Contents'!A1" display="TOC" xr:uid="{00000000-0004-0000-3900-000001000000}"/>
  </hyperlinks>
  <pageMargins left="0.75" right="0.75" top="1" bottom="1" header="0.5" footer="0.5"/>
  <pageSetup scale="88" fitToHeight="4" orientation="landscape" r:id="rId1"/>
  <headerFooter alignWithMargins="0">
    <oddFooter>&amp;L&amp;D     &amp;T&amp;C&amp;F&amp;R&amp;A   &amp;P</oddFooter>
  </headerFooter>
  <rowBreaks count="1" manualBreakCount="1">
    <brk id="69" max="16"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50"/>
  </sheetPr>
  <dimension ref="A1:W164"/>
  <sheetViews>
    <sheetView zoomScaleNormal="100" workbookViewId="0">
      <selection activeCell="Q10" sqref="Q10"/>
    </sheetView>
  </sheetViews>
  <sheetFormatPr defaultRowHeight="12.75" x14ac:dyDescent="0.2"/>
  <cols>
    <col min="1" max="1" width="8.83203125" style="783"/>
    <col min="2" max="2" width="36.6640625" customWidth="1"/>
    <col min="3" max="3" width="14.5" style="1" hidden="1" customWidth="1"/>
    <col min="4" max="12" width="14.5" style="106" hidden="1" customWidth="1"/>
    <col min="13" max="15" width="14.5" style="106" customWidth="1"/>
    <col min="16" max="16" width="14.5" customWidth="1"/>
    <col min="17" max="19" width="14.5" style="1" customWidth="1"/>
    <col min="20" max="22" width="14.5" customWidth="1"/>
    <col min="23" max="23" width="14.6640625" style="2" customWidth="1"/>
  </cols>
  <sheetData>
    <row r="1" spans="1:22" x14ac:dyDescent="0.2">
      <c r="A1" s="772" t="s">
        <v>847</v>
      </c>
      <c r="B1" s="308" t="s">
        <v>197</v>
      </c>
      <c r="D1" s="212"/>
      <c r="E1" s="212"/>
      <c r="F1" s="212"/>
      <c r="G1" s="212"/>
      <c r="H1" s="212"/>
      <c r="I1" s="212"/>
      <c r="J1" s="212"/>
      <c r="K1" s="212"/>
      <c r="L1" s="212"/>
      <c r="M1" s="212"/>
      <c r="N1" s="212"/>
      <c r="O1" s="212"/>
      <c r="S1"/>
    </row>
    <row r="2" spans="1:22" ht="15" x14ac:dyDescent="0.25">
      <c r="A2" s="773" t="s">
        <v>1668</v>
      </c>
      <c r="B2" s="43"/>
      <c r="D2" s="212"/>
      <c r="E2" s="126"/>
      <c r="F2" s="212"/>
      <c r="G2" s="212"/>
      <c r="H2" s="212"/>
      <c r="I2" s="126" t="s">
        <v>816</v>
      </c>
      <c r="J2" s="58"/>
      <c r="K2" s="58"/>
      <c r="L2" s="58"/>
      <c r="M2" s="58"/>
      <c r="N2" s="58"/>
      <c r="O2" s="58"/>
      <c r="P2" s="1"/>
      <c r="Q2" s="44" t="s">
        <v>1732</v>
      </c>
      <c r="R2" s="44"/>
    </row>
    <row r="3" spans="1:22" ht="13.5" thickBot="1" x14ac:dyDescent="0.25">
      <c r="A3" s="774"/>
      <c r="B3" s="4"/>
      <c r="C3" s="23"/>
      <c r="D3" s="23"/>
      <c r="E3" s="23"/>
      <c r="F3" s="23"/>
      <c r="G3" s="23"/>
      <c r="H3" s="23"/>
      <c r="I3" s="23"/>
      <c r="J3" s="23"/>
      <c r="K3" s="23"/>
      <c r="L3" s="23"/>
      <c r="M3" s="23"/>
      <c r="N3" s="23"/>
      <c r="O3" s="23"/>
      <c r="P3" s="4"/>
      <c r="Q3" s="23"/>
      <c r="R3" s="23"/>
      <c r="S3" s="4"/>
      <c r="V3" s="4"/>
    </row>
    <row r="4" spans="1:22"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row>
    <row r="5" spans="1:22" x14ac:dyDescent="0.2">
      <c r="A5" s="776"/>
      <c r="B5" s="202"/>
      <c r="C5" s="113"/>
      <c r="D5" s="82"/>
      <c r="E5" s="105"/>
      <c r="F5" s="82"/>
      <c r="G5" s="82"/>
      <c r="H5" s="105"/>
      <c r="I5" s="247"/>
      <c r="J5" s="247"/>
      <c r="K5" s="247"/>
      <c r="L5" s="247"/>
      <c r="M5" s="247"/>
      <c r="N5" s="247"/>
      <c r="O5" s="247"/>
      <c r="P5" s="105" t="s">
        <v>819</v>
      </c>
      <c r="Q5" s="83" t="s">
        <v>820</v>
      </c>
      <c r="R5" s="83" t="s">
        <v>821</v>
      </c>
      <c r="S5" s="196" t="s">
        <v>822</v>
      </c>
    </row>
    <row r="6" spans="1:22" x14ac:dyDescent="0.2">
      <c r="A6" s="776"/>
      <c r="B6" s="202"/>
      <c r="C6" s="113"/>
      <c r="D6" s="113"/>
      <c r="E6" s="113"/>
      <c r="F6" s="82"/>
      <c r="G6" s="113"/>
      <c r="H6" s="113"/>
      <c r="I6" s="83"/>
      <c r="J6" s="83"/>
      <c r="K6" s="83"/>
      <c r="L6" s="83"/>
      <c r="M6" s="83"/>
      <c r="N6" s="83"/>
      <c r="O6" s="83"/>
      <c r="P6" s="113"/>
      <c r="Q6" s="83" t="s">
        <v>823</v>
      </c>
      <c r="R6" s="83" t="s">
        <v>585</v>
      </c>
      <c r="S6" s="45" t="s">
        <v>824</v>
      </c>
    </row>
    <row r="7" spans="1:22"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row>
    <row r="8" spans="1:22" ht="13.5" thickTop="1" x14ac:dyDescent="0.2">
      <c r="A8" s="796"/>
      <c r="B8" s="203"/>
      <c r="C8" s="118"/>
      <c r="D8" s="18"/>
      <c r="E8" s="18"/>
      <c r="F8" s="18"/>
      <c r="G8" s="18"/>
      <c r="H8" s="18"/>
      <c r="I8" s="19"/>
      <c r="J8" s="19"/>
      <c r="K8" s="19"/>
      <c r="L8" s="19"/>
      <c r="M8" s="19"/>
      <c r="N8" s="19"/>
      <c r="O8" s="19"/>
      <c r="P8" s="18"/>
      <c r="Q8" s="19"/>
      <c r="R8" s="19"/>
      <c r="S8" s="19"/>
    </row>
    <row r="9" spans="1:22" x14ac:dyDescent="0.2">
      <c r="A9" s="806">
        <v>5112</v>
      </c>
      <c r="B9" s="613" t="s">
        <v>1362</v>
      </c>
      <c r="C9" s="673">
        <v>4545.67</v>
      </c>
      <c r="D9" s="671">
        <f>63.11+5644.1</f>
        <v>5707.21</v>
      </c>
      <c r="E9" s="671">
        <v>17794.28</v>
      </c>
      <c r="F9" s="671">
        <v>14174.24</v>
      </c>
      <c r="G9" s="671">
        <v>9439.34</v>
      </c>
      <c r="H9" s="671">
        <v>11085.96</v>
      </c>
      <c r="I9" s="671">
        <v>12666.61</v>
      </c>
      <c r="J9" s="671">
        <v>2065.6999999999998</v>
      </c>
      <c r="K9" s="610">
        <v>21300</v>
      </c>
      <c r="L9" s="671">
        <v>1336.32</v>
      </c>
      <c r="M9" s="610">
        <v>21300</v>
      </c>
      <c r="N9" s="671">
        <v>1474.4</v>
      </c>
      <c r="O9" s="610">
        <v>21300</v>
      </c>
      <c r="P9" s="671">
        <v>717.9</v>
      </c>
      <c r="Q9" s="610">
        <f>2500</f>
        <v>2500</v>
      </c>
      <c r="R9" s="14"/>
      <c r="S9" s="14"/>
    </row>
    <row r="10" spans="1:22" x14ac:dyDescent="0.2">
      <c r="A10" s="806">
        <v>5132</v>
      </c>
      <c r="B10" s="613" t="s">
        <v>1291</v>
      </c>
      <c r="C10" s="673">
        <v>1961.27</v>
      </c>
      <c r="D10" s="671">
        <f>1.68+2428.95</f>
        <v>2430.6299999999997</v>
      </c>
      <c r="E10" s="671">
        <v>1931.5</v>
      </c>
      <c r="F10" s="671">
        <v>855.54</v>
      </c>
      <c r="G10" s="671">
        <v>1837.89</v>
      </c>
      <c r="H10" s="671">
        <v>2301.96</v>
      </c>
      <c r="I10" s="671">
        <v>6062.31</v>
      </c>
      <c r="J10" s="671">
        <v>1525.21</v>
      </c>
      <c r="K10" s="610">
        <v>2500</v>
      </c>
      <c r="L10" s="671">
        <v>12365.81</v>
      </c>
      <c r="M10" s="610">
        <v>2500</v>
      </c>
      <c r="N10" s="671">
        <v>11142.17</v>
      </c>
      <c r="O10" s="610">
        <v>2500</v>
      </c>
      <c r="P10" s="671">
        <v>11620.66</v>
      </c>
      <c r="Q10" s="610">
        <f>8000+21300</f>
        <v>29300</v>
      </c>
      <c r="R10" s="14"/>
      <c r="S10" s="14"/>
    </row>
    <row r="11" spans="1:22" ht="13.5" thickBot="1" x14ac:dyDescent="0.25">
      <c r="A11" s="779">
        <v>5142</v>
      </c>
      <c r="B11" s="60" t="s">
        <v>1146</v>
      </c>
      <c r="C11" s="591">
        <v>862.96</v>
      </c>
      <c r="D11" s="28">
        <f>2.9+312.47</f>
        <v>315.37</v>
      </c>
      <c r="E11" s="28">
        <v>548.44000000000005</v>
      </c>
      <c r="F11" s="28">
        <v>715.7</v>
      </c>
      <c r="G11" s="28">
        <v>802.76</v>
      </c>
      <c r="H11" s="28">
        <v>433.84</v>
      </c>
      <c r="I11" s="28">
        <v>541.12</v>
      </c>
      <c r="J11" s="28">
        <v>43.76</v>
      </c>
      <c r="K11" s="29">
        <v>1000</v>
      </c>
      <c r="L11" s="28">
        <v>594.45000000000005</v>
      </c>
      <c r="M11" s="29">
        <v>1000</v>
      </c>
      <c r="N11" s="28">
        <v>669.46</v>
      </c>
      <c r="O11" s="29">
        <v>1000</v>
      </c>
      <c r="P11" s="28">
        <v>1026.03</v>
      </c>
      <c r="Q11" s="29">
        <v>1000</v>
      </c>
      <c r="R11" s="29"/>
      <c r="S11" s="29"/>
    </row>
    <row r="12" spans="1:22" x14ac:dyDescent="0.2">
      <c r="A12" s="779"/>
      <c r="B12" s="61" t="s">
        <v>828</v>
      </c>
      <c r="C12" s="592">
        <f t="shared" ref="C12:P12" si="0">SUM(C9:C11)</f>
        <v>7369.9000000000005</v>
      </c>
      <c r="D12" s="30">
        <f t="shared" si="0"/>
        <v>8453.2100000000009</v>
      </c>
      <c r="E12" s="30">
        <f t="shared" si="0"/>
        <v>20274.219999999998</v>
      </c>
      <c r="F12" s="30">
        <f t="shared" ref="F12:N12" si="1">SUM(F9:F11)</f>
        <v>15745.48</v>
      </c>
      <c r="G12" s="30">
        <f t="shared" si="1"/>
        <v>12079.99</v>
      </c>
      <c r="H12" s="30">
        <f t="shared" si="1"/>
        <v>13821.759999999998</v>
      </c>
      <c r="I12" s="30">
        <f t="shared" si="1"/>
        <v>19270.04</v>
      </c>
      <c r="J12" s="30">
        <f t="shared" si="1"/>
        <v>3634.67</v>
      </c>
      <c r="K12" s="31">
        <f t="shared" si="1"/>
        <v>24800</v>
      </c>
      <c r="L12" s="30">
        <f t="shared" si="1"/>
        <v>14296.58</v>
      </c>
      <c r="M12" s="31">
        <f>SUM(M9:M11)</f>
        <v>24800</v>
      </c>
      <c r="N12" s="30">
        <f t="shared" si="1"/>
        <v>13286.029999999999</v>
      </c>
      <c r="O12" s="31">
        <f>SUM(O9:O11)</f>
        <v>24800</v>
      </c>
      <c r="P12" s="30">
        <f t="shared" si="0"/>
        <v>13364.59</v>
      </c>
      <c r="Q12" s="31">
        <f>SUM(Q9:Q11)</f>
        <v>32800</v>
      </c>
      <c r="R12" s="31"/>
      <c r="S12" s="31">
        <f>+Q12</f>
        <v>32800</v>
      </c>
    </row>
    <row r="13" spans="1:22" x14ac:dyDescent="0.2">
      <c r="A13" s="779"/>
      <c r="B13" s="60"/>
      <c r="C13" s="116"/>
      <c r="D13" s="13"/>
      <c r="E13" s="13"/>
      <c r="F13" s="13"/>
      <c r="G13" s="13"/>
      <c r="H13" s="13"/>
      <c r="I13" s="13"/>
      <c r="J13" s="13"/>
      <c r="K13" s="14"/>
      <c r="L13" s="13"/>
      <c r="M13" s="14"/>
      <c r="N13" s="13"/>
      <c r="O13" s="14"/>
      <c r="P13" s="13"/>
      <c r="Q13" s="14"/>
      <c r="R13" s="14"/>
      <c r="S13" s="14"/>
    </row>
    <row r="14" spans="1:22" x14ac:dyDescent="0.2">
      <c r="A14" s="779">
        <v>5249</v>
      </c>
      <c r="B14" s="60" t="s">
        <v>1733</v>
      </c>
      <c r="C14" s="116">
        <v>400</v>
      </c>
      <c r="D14" s="13">
        <v>0</v>
      </c>
      <c r="E14" s="13">
        <v>16295.59</v>
      </c>
      <c r="F14" s="13"/>
      <c r="G14" s="13"/>
      <c r="H14" s="13"/>
      <c r="I14" s="13">
        <v>0</v>
      </c>
      <c r="J14" s="13"/>
      <c r="K14" s="14">
        <v>1000</v>
      </c>
      <c r="L14" s="13"/>
      <c r="M14" s="14">
        <v>1000</v>
      </c>
      <c r="N14" s="13">
        <v>711</v>
      </c>
      <c r="O14" s="14">
        <v>1000</v>
      </c>
      <c r="P14" s="13"/>
      <c r="Q14" s="14">
        <v>1000</v>
      </c>
      <c r="R14" s="14"/>
      <c r="S14" s="14"/>
    </row>
    <row r="15" spans="1:22" x14ac:dyDescent="0.2">
      <c r="A15" s="779">
        <v>5252</v>
      </c>
      <c r="B15" s="60" t="s">
        <v>1734</v>
      </c>
      <c r="C15" s="116">
        <v>6272.16</v>
      </c>
      <c r="D15" s="13">
        <v>160.99</v>
      </c>
      <c r="E15" s="13">
        <v>1050</v>
      </c>
      <c r="F15" s="13">
        <v>592.44000000000005</v>
      </c>
      <c r="G15" s="13"/>
      <c r="H15" s="13"/>
      <c r="I15" s="13">
        <v>0</v>
      </c>
      <c r="J15" s="13">
        <v>1140</v>
      </c>
      <c r="K15" s="14">
        <v>4500</v>
      </c>
      <c r="L15" s="13">
        <v>2650</v>
      </c>
      <c r="M15" s="14">
        <v>4500</v>
      </c>
      <c r="N15" s="13">
        <v>5942.76</v>
      </c>
      <c r="O15" s="14">
        <v>4500</v>
      </c>
      <c r="P15" s="13">
        <v>6870</v>
      </c>
      <c r="Q15" s="14">
        <v>4500</v>
      </c>
      <c r="R15" s="14"/>
      <c r="S15" s="14"/>
    </row>
    <row r="16" spans="1:22" x14ac:dyDescent="0.2">
      <c r="A16" s="779">
        <v>5271</v>
      </c>
      <c r="B16" s="60" t="s">
        <v>1735</v>
      </c>
      <c r="C16" s="116">
        <v>100</v>
      </c>
      <c r="D16" s="13">
        <v>100</v>
      </c>
      <c r="E16" s="13"/>
      <c r="F16" s="13">
        <v>100</v>
      </c>
      <c r="G16" s="13">
        <v>100</v>
      </c>
      <c r="H16" s="13">
        <v>100</v>
      </c>
      <c r="I16" s="13">
        <v>100</v>
      </c>
      <c r="J16" s="13">
        <v>1350</v>
      </c>
      <c r="K16" s="14">
        <v>500</v>
      </c>
      <c r="L16" s="13">
        <v>300</v>
      </c>
      <c r="M16" s="14">
        <v>500</v>
      </c>
      <c r="N16" s="13">
        <v>100</v>
      </c>
      <c r="O16" s="14">
        <v>500</v>
      </c>
      <c r="P16" s="13">
        <v>1350</v>
      </c>
      <c r="Q16" s="14">
        <v>1350</v>
      </c>
      <c r="R16" s="14"/>
      <c r="S16" s="14"/>
    </row>
    <row r="17" spans="1:22" x14ac:dyDescent="0.2">
      <c r="A17" s="779">
        <v>5277</v>
      </c>
      <c r="B17" s="60" t="s">
        <v>1298</v>
      </c>
      <c r="C17" s="116"/>
      <c r="D17" s="13">
        <v>0</v>
      </c>
      <c r="E17" s="13"/>
      <c r="F17" s="13"/>
      <c r="G17" s="13"/>
      <c r="H17" s="13"/>
      <c r="I17" s="13">
        <v>0</v>
      </c>
      <c r="J17" s="13"/>
      <c r="K17" s="14">
        <v>1000</v>
      </c>
      <c r="L17" s="13"/>
      <c r="M17" s="14">
        <v>1000</v>
      </c>
      <c r="N17" s="13"/>
      <c r="O17" s="14">
        <v>1000</v>
      </c>
      <c r="P17" s="13"/>
      <c r="Q17" s="14">
        <v>1000</v>
      </c>
      <c r="R17" s="14"/>
      <c r="S17" s="14"/>
    </row>
    <row r="18" spans="1:22" x14ac:dyDescent="0.2">
      <c r="A18" s="779">
        <v>5283</v>
      </c>
      <c r="B18" s="60" t="s">
        <v>1736</v>
      </c>
      <c r="C18" s="116">
        <v>386.2</v>
      </c>
      <c r="D18" s="13">
        <v>0</v>
      </c>
      <c r="E18" s="13"/>
      <c r="F18" s="13"/>
      <c r="G18" s="13"/>
      <c r="H18" s="13"/>
      <c r="I18" s="13">
        <v>0</v>
      </c>
      <c r="J18" s="13"/>
      <c r="K18" s="14">
        <v>1000</v>
      </c>
      <c r="L18" s="13">
        <v>1012.5</v>
      </c>
      <c r="M18" s="14">
        <v>1000</v>
      </c>
      <c r="N18" s="13"/>
      <c r="O18" s="14">
        <v>1000</v>
      </c>
      <c r="P18" s="13"/>
      <c r="Q18" s="14">
        <v>1000</v>
      </c>
      <c r="R18" s="14"/>
      <c r="S18" s="14"/>
    </row>
    <row r="19" spans="1:22" x14ac:dyDescent="0.2">
      <c r="A19" s="779">
        <v>5303</v>
      </c>
      <c r="B19" s="12" t="s">
        <v>1737</v>
      </c>
      <c r="C19" s="13"/>
      <c r="D19" s="13">
        <v>0</v>
      </c>
      <c r="E19" s="13"/>
      <c r="F19" s="13"/>
      <c r="G19" s="13"/>
      <c r="H19" s="13"/>
      <c r="I19" s="13">
        <v>0</v>
      </c>
      <c r="J19" s="13"/>
      <c r="K19" s="14">
        <v>300</v>
      </c>
      <c r="L19" s="13"/>
      <c r="M19" s="14">
        <v>300</v>
      </c>
      <c r="N19" s="13">
        <v>579.91</v>
      </c>
      <c r="O19" s="14">
        <v>300</v>
      </c>
      <c r="P19" s="13"/>
      <c r="Q19" s="14">
        <v>300</v>
      </c>
      <c r="R19" s="14"/>
      <c r="S19" s="14"/>
    </row>
    <row r="20" spans="1:22" x14ac:dyDescent="0.2">
      <c r="A20" s="806">
        <v>5430</v>
      </c>
      <c r="B20" s="676" t="s">
        <v>2403</v>
      </c>
      <c r="C20" s="1059"/>
      <c r="D20" s="1059"/>
      <c r="E20" s="1059"/>
      <c r="F20" s="1059"/>
      <c r="G20" s="1059"/>
      <c r="H20" s="1059"/>
      <c r="I20" s="1059"/>
      <c r="J20" s="1059"/>
      <c r="K20" s="1063"/>
      <c r="L20" s="1059"/>
      <c r="M20" s="1063"/>
      <c r="N20" s="1059"/>
      <c r="O20" s="1063"/>
      <c r="P20" s="1059"/>
      <c r="Q20" s="1063">
        <v>25000</v>
      </c>
      <c r="R20" s="19"/>
      <c r="S20" s="19"/>
    </row>
    <row r="21" spans="1:22" x14ac:dyDescent="0.2">
      <c r="A21" s="779">
        <v>5443</v>
      </c>
      <c r="B21" s="12" t="s">
        <v>1738</v>
      </c>
      <c r="C21" s="18">
        <v>7655.99</v>
      </c>
      <c r="D21" s="18">
        <v>8625.1200000000008</v>
      </c>
      <c r="E21" s="18">
        <v>2764.54</v>
      </c>
      <c r="F21" s="18">
        <v>30514.94</v>
      </c>
      <c r="G21" s="18">
        <v>6447.4</v>
      </c>
      <c r="H21" s="18">
        <v>5197.7</v>
      </c>
      <c r="I21" s="18">
        <v>7617.74</v>
      </c>
      <c r="J21" s="18">
        <v>5181.97</v>
      </c>
      <c r="K21" s="19">
        <v>5000</v>
      </c>
      <c r="L21" s="18">
        <v>8824.2999999999993</v>
      </c>
      <c r="M21" s="19">
        <v>5000</v>
      </c>
      <c r="N21" s="18">
        <v>4028.05</v>
      </c>
      <c r="O21" s="19">
        <v>5000</v>
      </c>
      <c r="P21" s="18">
        <v>2115.1</v>
      </c>
      <c r="Q21" s="19">
        <v>5000</v>
      </c>
      <c r="R21" s="19"/>
      <c r="S21" s="19"/>
    </row>
    <row r="22" spans="1:22" ht="13.5" thickBot="1" x14ac:dyDescent="0.25">
      <c r="A22" s="779">
        <v>5530</v>
      </c>
      <c r="B22" s="12" t="s">
        <v>1313</v>
      </c>
      <c r="C22" s="15">
        <v>210.4</v>
      </c>
      <c r="D22" s="15">
        <v>0</v>
      </c>
      <c r="E22" s="15">
        <v>1294.25</v>
      </c>
      <c r="F22" s="15"/>
      <c r="G22" s="15">
        <v>978.6</v>
      </c>
      <c r="H22" s="15">
        <v>38.25</v>
      </c>
      <c r="I22" s="15">
        <v>0</v>
      </c>
      <c r="J22" s="15"/>
      <c r="K22" s="16">
        <v>4700</v>
      </c>
      <c r="L22" s="15"/>
      <c r="M22" s="16">
        <v>4700</v>
      </c>
      <c r="N22" s="15">
        <v>10184.98</v>
      </c>
      <c r="O22" s="16">
        <v>4700</v>
      </c>
      <c r="P22" s="15"/>
      <c r="Q22" s="16">
        <v>12700</v>
      </c>
      <c r="R22" s="16"/>
      <c r="S22" s="16"/>
    </row>
    <row r="23" spans="1:22" x14ac:dyDescent="0.2">
      <c r="A23" s="779"/>
      <c r="B23" s="61" t="s">
        <v>838</v>
      </c>
      <c r="C23" s="30">
        <f t="shared" ref="C23:P23" si="2">SUM(C14:C22)</f>
        <v>15024.749999999998</v>
      </c>
      <c r="D23" s="30">
        <f t="shared" si="2"/>
        <v>8886.11</v>
      </c>
      <c r="E23" s="30">
        <f t="shared" si="2"/>
        <v>21404.38</v>
      </c>
      <c r="F23" s="30">
        <f t="shared" ref="F23:K23" si="3">SUM(F14:F22)</f>
        <v>31207.379999999997</v>
      </c>
      <c r="G23" s="30">
        <f t="shared" si="3"/>
        <v>7526</v>
      </c>
      <c r="H23" s="30">
        <f t="shared" si="3"/>
        <v>5335.95</v>
      </c>
      <c r="I23" s="30">
        <f t="shared" si="3"/>
        <v>7717.74</v>
      </c>
      <c r="J23" s="30">
        <f t="shared" si="3"/>
        <v>7671.97</v>
      </c>
      <c r="K23" s="31">
        <f t="shared" si="3"/>
        <v>18000</v>
      </c>
      <c r="L23" s="30">
        <f t="shared" ref="L23:O23" si="4">SUM(L14:L22)</f>
        <v>12786.8</v>
      </c>
      <c r="M23" s="31">
        <f t="shared" si="4"/>
        <v>18000</v>
      </c>
      <c r="N23" s="30">
        <f t="shared" ref="N23" si="5">SUM(N14:N22)</f>
        <v>21546.7</v>
      </c>
      <c r="O23" s="31">
        <f t="shared" si="4"/>
        <v>18000</v>
      </c>
      <c r="P23" s="109">
        <f t="shared" si="2"/>
        <v>10335.1</v>
      </c>
      <c r="Q23" s="31">
        <f>SUM(Q14:Q22)</f>
        <v>51850</v>
      </c>
      <c r="R23" s="31"/>
      <c r="S23" s="31">
        <f>+Q23</f>
        <v>51850</v>
      </c>
    </row>
    <row r="24" spans="1:22" x14ac:dyDescent="0.2">
      <c r="A24" s="779"/>
      <c r="B24" s="61"/>
      <c r="C24" s="18"/>
      <c r="D24" s="18"/>
      <c r="E24" s="18"/>
      <c r="F24" s="18"/>
      <c r="G24" s="18"/>
      <c r="H24" s="18"/>
      <c r="I24" s="18"/>
      <c r="J24" s="18"/>
      <c r="K24" s="19"/>
      <c r="L24" s="18"/>
      <c r="M24" s="19"/>
      <c r="N24" s="18"/>
      <c r="O24" s="19"/>
      <c r="P24" s="109"/>
      <c r="Q24" s="19"/>
      <c r="R24" s="19"/>
      <c r="S24" s="19"/>
    </row>
    <row r="25" spans="1:22" ht="13.5" thickBot="1" x14ac:dyDescent="0.25">
      <c r="A25" s="806">
        <v>5800</v>
      </c>
      <c r="B25" s="613" t="s">
        <v>1417</v>
      </c>
      <c r="C25" s="1129">
        <v>2116.23</v>
      </c>
      <c r="D25" s="1129">
        <v>0</v>
      </c>
      <c r="E25" s="1129">
        <v>0</v>
      </c>
      <c r="F25" s="1129">
        <v>6467.28</v>
      </c>
      <c r="G25" s="1129"/>
      <c r="H25" s="1129"/>
      <c r="I25" s="1129">
        <v>0</v>
      </c>
      <c r="J25" s="1129">
        <v>0</v>
      </c>
      <c r="K25" s="1107">
        <v>8000</v>
      </c>
      <c r="L25" s="1129"/>
      <c r="M25" s="1107">
        <v>8000</v>
      </c>
      <c r="N25" s="1129"/>
      <c r="O25" s="1107">
        <v>8000</v>
      </c>
      <c r="P25" s="1130"/>
      <c r="Q25" s="1107"/>
      <c r="R25" s="16"/>
      <c r="S25" s="16"/>
    </row>
    <row r="26" spans="1:22" x14ac:dyDescent="0.2">
      <c r="A26" s="779"/>
      <c r="B26" s="61" t="s">
        <v>952</v>
      </c>
      <c r="C26" s="18">
        <f t="shared" ref="C26:Q26" si="6">+C25</f>
        <v>2116.23</v>
      </c>
      <c r="D26" s="18">
        <f t="shared" si="6"/>
        <v>0</v>
      </c>
      <c r="E26" s="18">
        <f t="shared" si="6"/>
        <v>0</v>
      </c>
      <c r="F26" s="18">
        <f>+F25</f>
        <v>6467.28</v>
      </c>
      <c r="G26" s="18">
        <f>+G25</f>
        <v>0</v>
      </c>
      <c r="H26" s="18">
        <f>+H25</f>
        <v>0</v>
      </c>
      <c r="I26" s="18">
        <f>+I25</f>
        <v>0</v>
      </c>
      <c r="J26" s="18">
        <f>+J25</f>
        <v>0</v>
      </c>
      <c r="K26" s="19">
        <f t="shared" ref="K26:O26" si="7">+K25</f>
        <v>8000</v>
      </c>
      <c r="L26" s="18">
        <f t="shared" si="7"/>
        <v>0</v>
      </c>
      <c r="M26" s="19">
        <f t="shared" si="7"/>
        <v>8000</v>
      </c>
      <c r="N26" s="18">
        <f t="shared" ref="N26" si="8">+N25</f>
        <v>0</v>
      </c>
      <c r="O26" s="19">
        <f t="shared" si="7"/>
        <v>8000</v>
      </c>
      <c r="P26" s="129">
        <f t="shared" si="6"/>
        <v>0</v>
      </c>
      <c r="Q26" s="19">
        <f t="shared" si="6"/>
        <v>0</v>
      </c>
      <c r="R26" s="19"/>
      <c r="S26" s="19">
        <f>+Q26</f>
        <v>0</v>
      </c>
    </row>
    <row r="27" spans="1:22" x14ac:dyDescent="0.2">
      <c r="A27" s="779"/>
      <c r="B27" s="60"/>
      <c r="C27" s="13"/>
      <c r="D27" s="13"/>
      <c r="E27" s="13"/>
      <c r="F27" s="13"/>
      <c r="G27" s="13"/>
      <c r="H27" s="13"/>
      <c r="I27" s="13"/>
      <c r="J27" s="13"/>
      <c r="K27" s="14"/>
      <c r="L27" s="13"/>
      <c r="M27" s="14"/>
      <c r="N27" s="13"/>
      <c r="O27" s="14"/>
      <c r="P27" s="13"/>
      <c r="Q27" s="14"/>
      <c r="R27" s="14"/>
      <c r="S27" s="14"/>
    </row>
    <row r="28" spans="1:22" ht="13.5" thickBot="1" x14ac:dyDescent="0.25">
      <c r="A28" s="780"/>
      <c r="B28" s="20" t="s">
        <v>1739</v>
      </c>
      <c r="C28" s="21">
        <f t="shared" ref="C28:S28" si="9">+C23+C12+C26</f>
        <v>24510.879999999997</v>
      </c>
      <c r="D28" s="21">
        <f t="shared" si="9"/>
        <v>17339.32</v>
      </c>
      <c r="E28" s="21">
        <f t="shared" si="9"/>
        <v>41678.6</v>
      </c>
      <c r="F28" s="21">
        <f>+F26+F23+F12</f>
        <v>53420.14</v>
      </c>
      <c r="G28" s="21">
        <f>+G26+G23+G12</f>
        <v>19605.989999999998</v>
      </c>
      <c r="H28" s="21">
        <f>+H26+H23+H12</f>
        <v>19157.71</v>
      </c>
      <c r="I28" s="21">
        <f>+I23+I12+I26</f>
        <v>26987.78</v>
      </c>
      <c r="J28" s="21">
        <f>+J23+J12+J26</f>
        <v>11306.64</v>
      </c>
      <c r="K28" s="22">
        <f t="shared" ref="K28:O28" si="10">+K23+K12+K26</f>
        <v>50800</v>
      </c>
      <c r="L28" s="21">
        <f t="shared" si="10"/>
        <v>27083.379999999997</v>
      </c>
      <c r="M28" s="22">
        <f t="shared" si="10"/>
        <v>50800</v>
      </c>
      <c r="N28" s="21">
        <f t="shared" ref="N28" si="11">+N23+N12+N26</f>
        <v>34832.729999999996</v>
      </c>
      <c r="O28" s="22">
        <f t="shared" si="10"/>
        <v>50800</v>
      </c>
      <c r="P28" s="21">
        <f t="shared" si="9"/>
        <v>23699.690000000002</v>
      </c>
      <c r="Q28" s="22">
        <f t="shared" si="9"/>
        <v>84650</v>
      </c>
      <c r="R28" s="22">
        <f>+Q28</f>
        <v>84650</v>
      </c>
      <c r="S28" s="22">
        <f t="shared" si="9"/>
        <v>84650</v>
      </c>
    </row>
    <row r="29" spans="1:22" ht="13.5" thickTop="1" x14ac:dyDescent="0.2">
      <c r="A29" s="63">
        <v>44936</v>
      </c>
      <c r="B29" s="4" t="s">
        <v>2404</v>
      </c>
      <c r="C29" s="23"/>
      <c r="D29" s="23"/>
      <c r="E29" s="23"/>
      <c r="F29" s="23"/>
      <c r="G29" s="23"/>
      <c r="H29" s="23"/>
      <c r="I29" s="23"/>
      <c r="J29" s="23"/>
      <c r="K29" s="23"/>
      <c r="L29" s="23"/>
      <c r="M29" s="23"/>
      <c r="N29" s="23"/>
      <c r="O29" s="23"/>
      <c r="P29" s="199" t="s">
        <v>843</v>
      </c>
      <c r="Q29" s="1116">
        <f>+Q28-O28</f>
        <v>33850</v>
      </c>
      <c r="R29" s="1117">
        <f>ROUND((+Q29/O28),4)</f>
        <v>0.6663</v>
      </c>
      <c r="S29" s="23"/>
      <c r="T29" s="25"/>
      <c r="U29" s="25"/>
      <c r="V29" s="25"/>
    </row>
    <row r="30" spans="1:22" x14ac:dyDescent="0.2">
      <c r="A30" s="63">
        <v>44936</v>
      </c>
      <c r="B30" s="4" t="s">
        <v>2409</v>
      </c>
      <c r="C30" s="23"/>
      <c r="D30" s="23"/>
      <c r="E30" s="23"/>
      <c r="F30" s="23"/>
      <c r="G30" s="23"/>
      <c r="H30" s="23"/>
      <c r="I30" s="23"/>
      <c r="J30" s="23"/>
      <c r="K30" s="23"/>
      <c r="L30" s="23"/>
      <c r="M30" s="23"/>
      <c r="N30" s="23"/>
      <c r="O30" s="23"/>
      <c r="P30" s="25"/>
      <c r="Q30" s="23"/>
      <c r="R30" s="23"/>
      <c r="S30" s="25"/>
      <c r="T30" s="25"/>
      <c r="U30" s="25"/>
      <c r="V30" s="25"/>
    </row>
    <row r="31" spans="1:22" x14ac:dyDescent="0.2">
      <c r="A31" s="63">
        <v>44936</v>
      </c>
      <c r="B31" s="4" t="s">
        <v>2410</v>
      </c>
      <c r="C31" s="23"/>
      <c r="D31" s="23"/>
      <c r="E31" s="23"/>
      <c r="F31" s="23"/>
      <c r="G31" s="23"/>
      <c r="H31" s="23"/>
      <c r="I31" s="23"/>
      <c r="J31" s="23"/>
      <c r="K31" s="23"/>
      <c r="L31" s="23"/>
      <c r="M31" s="23"/>
      <c r="N31" s="23"/>
      <c r="O31" s="23"/>
      <c r="P31" s="25"/>
      <c r="Q31" s="23"/>
      <c r="R31" s="23"/>
      <c r="S31" s="25"/>
      <c r="T31" s="25"/>
      <c r="U31" s="25"/>
      <c r="V31" s="25"/>
    </row>
    <row r="32" spans="1:22" x14ac:dyDescent="0.2">
      <c r="A32" s="63"/>
      <c r="B32" s="4"/>
      <c r="C32" s="23"/>
      <c r="D32" s="23"/>
      <c r="E32" s="23"/>
      <c r="F32" s="23"/>
      <c r="G32" s="23"/>
      <c r="H32" s="23"/>
      <c r="I32" s="23"/>
      <c r="J32" s="23"/>
      <c r="K32" s="23"/>
      <c r="L32" s="23"/>
      <c r="M32" s="23"/>
      <c r="N32" s="23"/>
      <c r="O32" s="23"/>
      <c r="P32" s="25"/>
      <c r="Q32" s="23"/>
      <c r="R32" s="23"/>
      <c r="S32" s="25"/>
      <c r="T32" s="25"/>
      <c r="U32" s="25"/>
      <c r="V32" s="25"/>
    </row>
    <row r="33" spans="1:22" ht="13.5" thickBot="1" x14ac:dyDescent="0.25">
      <c r="C33" s="23"/>
      <c r="D33" s="23"/>
      <c r="E33" s="23"/>
      <c r="F33" s="212"/>
      <c r="G33" s="75"/>
      <c r="H33" s="23"/>
      <c r="I33" s="23"/>
      <c r="J33" s="23"/>
      <c r="K33" s="23"/>
      <c r="L33" s="23"/>
      <c r="M33" s="23"/>
      <c r="N33" s="23"/>
      <c r="O33" s="23"/>
      <c r="P33" s="25"/>
      <c r="Q33" s="23"/>
      <c r="R33" s="23"/>
      <c r="S33" s="23"/>
      <c r="T33" s="25"/>
      <c r="U33" s="25"/>
      <c r="V33" s="25"/>
    </row>
    <row r="34" spans="1:22" ht="13.5" thickTop="1" x14ac:dyDescent="0.2">
      <c r="A34" s="789"/>
      <c r="B34" s="367"/>
      <c r="C34" s="368" t="s">
        <v>280</v>
      </c>
      <c r="D34" s="369" t="s">
        <v>280</v>
      </c>
      <c r="E34" s="369" t="s">
        <v>280</v>
      </c>
      <c r="F34" s="212"/>
      <c r="G34" s="212"/>
      <c r="H34" s="212"/>
      <c r="I34" s="212"/>
      <c r="J34" s="212"/>
      <c r="K34" s="212"/>
      <c r="L34" s="212"/>
      <c r="M34" s="370" t="s">
        <v>279</v>
      </c>
      <c r="N34" s="371" t="s">
        <v>826</v>
      </c>
      <c r="O34" s="372" t="s">
        <v>840</v>
      </c>
      <c r="P34" s="371" t="s">
        <v>841</v>
      </c>
      <c r="Q34" s="373"/>
      <c r="R34" s="569"/>
      <c r="S34" s="372"/>
      <c r="T34" s="25"/>
      <c r="U34" s="25"/>
      <c r="V34" s="25"/>
    </row>
    <row r="35" spans="1:22" ht="13.5" thickBot="1" x14ac:dyDescent="0.25">
      <c r="A35" s="790" t="s">
        <v>825</v>
      </c>
      <c r="B35" s="374"/>
      <c r="C35" s="375" t="s">
        <v>267</v>
      </c>
      <c r="D35" s="375" t="s">
        <v>268</v>
      </c>
      <c r="E35" s="376" t="s">
        <v>269</v>
      </c>
      <c r="F35" s="212"/>
      <c r="G35" s="212"/>
      <c r="H35" s="212"/>
      <c r="I35" s="212"/>
      <c r="J35" s="212"/>
      <c r="K35" s="212"/>
      <c r="L35" s="212"/>
      <c r="M35" s="377" t="s">
        <v>277</v>
      </c>
      <c r="N35" s="377" t="s">
        <v>571</v>
      </c>
      <c r="O35" s="376" t="s">
        <v>843</v>
      </c>
      <c r="P35" s="378" t="s">
        <v>843</v>
      </c>
      <c r="Q35" s="379" t="s">
        <v>844</v>
      </c>
      <c r="R35" s="570"/>
      <c r="S35" s="377"/>
      <c r="T35" s="25"/>
      <c r="U35" s="25"/>
      <c r="V35" s="25"/>
    </row>
    <row r="36" spans="1:22" ht="13.5" thickTop="1" x14ac:dyDescent="0.2">
      <c r="A36" s="797"/>
      <c r="B36" s="394"/>
      <c r="C36" s="383"/>
      <c r="D36" s="383"/>
      <c r="E36" s="383"/>
      <c r="F36" s="212"/>
      <c r="G36" s="212"/>
      <c r="H36" s="212"/>
      <c r="I36" s="212"/>
      <c r="J36" s="212"/>
      <c r="K36" s="212"/>
      <c r="L36" s="212"/>
      <c r="M36" s="384"/>
      <c r="N36" s="383"/>
      <c r="O36" s="384"/>
      <c r="P36" s="383"/>
      <c r="Q36" s="444"/>
      <c r="R36" s="1017"/>
      <c r="S36" s="445"/>
      <c r="T36" s="25"/>
      <c r="U36" s="25"/>
      <c r="V36" s="25"/>
    </row>
    <row r="37" spans="1:22" x14ac:dyDescent="0.2">
      <c r="A37" s="795">
        <v>5112</v>
      </c>
      <c r="B37" s="387" t="s">
        <v>1362</v>
      </c>
      <c r="C37" s="391">
        <v>4545.67</v>
      </c>
      <c r="D37" s="391">
        <f>63.11+5644.1</f>
        <v>5707.21</v>
      </c>
      <c r="E37" s="391">
        <v>17794.28</v>
      </c>
      <c r="F37" s="212"/>
      <c r="G37" s="212"/>
      <c r="H37" s="212"/>
      <c r="I37" s="212"/>
      <c r="J37" s="212"/>
      <c r="K37" s="212"/>
      <c r="L37" s="212"/>
      <c r="M37" s="390">
        <f>+O9</f>
        <v>21300</v>
      </c>
      <c r="N37" s="391">
        <f>+Q9</f>
        <v>2500</v>
      </c>
      <c r="O37" s="390">
        <f t="shared" ref="O37:O50" si="12">+N37-M37</f>
        <v>-18800</v>
      </c>
      <c r="P37" s="392">
        <f t="shared" ref="P37:P50" si="13">IF(M37+N37&lt;&gt;0,IF(M37&lt;&gt;0,IF(O37&lt;&gt;0,ROUND((+O37/M37),4),""),1),"")</f>
        <v>-0.88260000000000005</v>
      </c>
      <c r="Q37" s="385" t="s">
        <v>2413</v>
      </c>
      <c r="R37" s="572"/>
      <c r="S37" s="386"/>
      <c r="T37" s="25"/>
      <c r="U37" s="25"/>
      <c r="V37" s="25"/>
    </row>
    <row r="38" spans="1:22" x14ac:dyDescent="0.2">
      <c r="A38" s="795">
        <v>5132</v>
      </c>
      <c r="B38" s="387" t="s">
        <v>1291</v>
      </c>
      <c r="C38" s="391">
        <v>1961.27</v>
      </c>
      <c r="D38" s="391">
        <f>1.68+2428.95</f>
        <v>2430.6299999999997</v>
      </c>
      <c r="E38" s="391">
        <v>1931.5</v>
      </c>
      <c r="F38" s="212"/>
      <c r="G38" s="212"/>
      <c r="H38" s="212"/>
      <c r="I38" s="212"/>
      <c r="J38" s="212"/>
      <c r="K38" s="212"/>
      <c r="L38" s="212"/>
      <c r="M38" s="390">
        <f>+O10</f>
        <v>2500</v>
      </c>
      <c r="N38" s="391">
        <f>+Q10</f>
        <v>29300</v>
      </c>
      <c r="O38" s="390">
        <f t="shared" si="12"/>
        <v>26800</v>
      </c>
      <c r="P38" s="392">
        <f t="shared" si="13"/>
        <v>10.72</v>
      </c>
      <c r="Q38" s="397" t="s">
        <v>2412</v>
      </c>
      <c r="R38" s="1019"/>
      <c r="S38" s="414"/>
      <c r="T38" s="25"/>
      <c r="U38" s="25"/>
      <c r="V38" s="25"/>
    </row>
    <row r="39" spans="1:22" x14ac:dyDescent="0.2">
      <c r="A39" s="795">
        <v>5142</v>
      </c>
      <c r="B39" s="387" t="s">
        <v>1146</v>
      </c>
      <c r="C39" s="395">
        <v>862.96</v>
      </c>
      <c r="D39" s="395">
        <f>2.9+312.47</f>
        <v>315.37</v>
      </c>
      <c r="E39" s="395">
        <v>548.44000000000005</v>
      </c>
      <c r="F39" s="212"/>
      <c r="G39" s="212"/>
      <c r="H39" s="212"/>
      <c r="I39" s="212"/>
      <c r="J39" s="212"/>
      <c r="K39" s="212"/>
      <c r="L39" s="212"/>
      <c r="M39" s="390">
        <f>+O11</f>
        <v>1000</v>
      </c>
      <c r="N39" s="391">
        <f>+Q11</f>
        <v>1000</v>
      </c>
      <c r="O39" s="390">
        <f t="shared" si="12"/>
        <v>0</v>
      </c>
      <c r="P39" s="392" t="str">
        <f t="shared" si="13"/>
        <v/>
      </c>
      <c r="Q39" s="397"/>
      <c r="R39" s="1018"/>
      <c r="S39" s="414"/>
      <c r="T39" s="25"/>
      <c r="U39" s="25"/>
      <c r="V39" s="25"/>
    </row>
    <row r="40" spans="1:22" x14ac:dyDescent="0.2">
      <c r="A40" s="795">
        <v>5249</v>
      </c>
      <c r="B40" s="387" t="s">
        <v>1733</v>
      </c>
      <c r="C40" s="391">
        <v>400</v>
      </c>
      <c r="D40" s="391">
        <v>0</v>
      </c>
      <c r="E40" s="391">
        <v>16295.59</v>
      </c>
      <c r="F40" s="212"/>
      <c r="G40" s="212"/>
      <c r="H40" s="212"/>
      <c r="I40" s="212"/>
      <c r="J40" s="212"/>
      <c r="K40" s="212"/>
      <c r="L40" s="212"/>
      <c r="M40" s="390">
        <f t="shared" ref="M40:M45" si="14">+O14</f>
        <v>1000</v>
      </c>
      <c r="N40" s="383">
        <f t="shared" ref="N40:N45" si="15">+Q14</f>
        <v>1000</v>
      </c>
      <c r="O40" s="390">
        <f t="shared" si="12"/>
        <v>0</v>
      </c>
      <c r="P40" s="392" t="str">
        <f t="shared" si="13"/>
        <v/>
      </c>
      <c r="Q40" s="385"/>
      <c r="R40" s="572"/>
      <c r="S40" s="386"/>
      <c r="T40" s="25"/>
      <c r="U40" s="25"/>
      <c r="V40" s="25"/>
    </row>
    <row r="41" spans="1:22" x14ac:dyDescent="0.2">
      <c r="A41" s="795">
        <v>5252</v>
      </c>
      <c r="B41" s="387" t="s">
        <v>1734</v>
      </c>
      <c r="C41" s="391">
        <v>6272.16</v>
      </c>
      <c r="D41" s="391">
        <v>160.99</v>
      </c>
      <c r="E41" s="391">
        <v>1050</v>
      </c>
      <c r="F41" s="212"/>
      <c r="G41" s="212"/>
      <c r="H41" s="212"/>
      <c r="I41" s="212"/>
      <c r="J41" s="212"/>
      <c r="K41" s="212"/>
      <c r="L41" s="212"/>
      <c r="M41" s="390">
        <f t="shared" si="14"/>
        <v>4500</v>
      </c>
      <c r="N41" s="391">
        <f t="shared" si="15"/>
        <v>4500</v>
      </c>
      <c r="O41" s="390">
        <f t="shared" si="12"/>
        <v>0</v>
      </c>
      <c r="P41" s="392" t="str">
        <f t="shared" si="13"/>
        <v/>
      </c>
      <c r="Q41" s="385"/>
      <c r="R41" s="572"/>
      <c r="S41" s="386"/>
      <c r="T41" s="25"/>
      <c r="U41" s="25"/>
      <c r="V41" s="25"/>
    </row>
    <row r="42" spans="1:22" x14ac:dyDescent="0.2">
      <c r="A42" s="795">
        <v>5271</v>
      </c>
      <c r="B42" s="387" t="s">
        <v>1735</v>
      </c>
      <c r="C42" s="391">
        <v>100</v>
      </c>
      <c r="D42" s="391">
        <v>100</v>
      </c>
      <c r="E42" s="391"/>
      <c r="F42" s="212"/>
      <c r="G42" s="212"/>
      <c r="H42" s="212"/>
      <c r="I42" s="212"/>
      <c r="J42" s="212"/>
      <c r="K42" s="212"/>
      <c r="L42" s="212"/>
      <c r="M42" s="390">
        <f t="shared" si="14"/>
        <v>500</v>
      </c>
      <c r="N42" s="391">
        <f t="shared" si="15"/>
        <v>1350</v>
      </c>
      <c r="O42" s="390">
        <f t="shared" si="12"/>
        <v>850</v>
      </c>
      <c r="P42" s="392">
        <f t="shared" si="13"/>
        <v>1.7</v>
      </c>
      <c r="Q42" s="397"/>
      <c r="R42" s="1018"/>
      <c r="S42" s="414"/>
      <c r="T42" s="25"/>
      <c r="U42" s="25"/>
      <c r="V42" s="25"/>
    </row>
    <row r="43" spans="1:22" x14ac:dyDescent="0.2">
      <c r="A43" s="795">
        <v>5277</v>
      </c>
      <c r="B43" s="387" t="s">
        <v>1298</v>
      </c>
      <c r="C43" s="391"/>
      <c r="D43" s="391">
        <v>0</v>
      </c>
      <c r="E43" s="391"/>
      <c r="F43" s="212"/>
      <c r="G43" s="212"/>
      <c r="H43" s="212"/>
      <c r="I43" s="212"/>
      <c r="J43" s="212"/>
      <c r="K43" s="212"/>
      <c r="L43" s="212"/>
      <c r="M43" s="390">
        <f t="shared" si="14"/>
        <v>1000</v>
      </c>
      <c r="N43" s="391">
        <f t="shared" si="15"/>
        <v>1000</v>
      </c>
      <c r="O43" s="390">
        <f t="shared" si="12"/>
        <v>0</v>
      </c>
      <c r="P43" s="392" t="str">
        <f t="shared" si="13"/>
        <v/>
      </c>
      <c r="Q43" s="397"/>
      <c r="R43" s="1018"/>
      <c r="S43" s="414"/>
      <c r="T43" s="25"/>
      <c r="U43" s="25"/>
      <c r="V43" s="25"/>
    </row>
    <row r="44" spans="1:22" x14ac:dyDescent="0.2">
      <c r="A44" s="795">
        <v>5283</v>
      </c>
      <c r="B44" s="387" t="s">
        <v>1736</v>
      </c>
      <c r="C44" s="391">
        <v>386.2</v>
      </c>
      <c r="D44" s="391">
        <v>0</v>
      </c>
      <c r="E44" s="391"/>
      <c r="F44" s="212"/>
      <c r="G44" s="212"/>
      <c r="H44" s="212"/>
      <c r="I44" s="212"/>
      <c r="J44" s="212"/>
      <c r="K44" s="212"/>
      <c r="L44" s="212"/>
      <c r="M44" s="390">
        <f t="shared" si="14"/>
        <v>1000</v>
      </c>
      <c r="N44" s="391">
        <f t="shared" si="15"/>
        <v>1000</v>
      </c>
      <c r="O44" s="390">
        <f t="shared" si="12"/>
        <v>0</v>
      </c>
      <c r="P44" s="392" t="str">
        <f t="shared" si="13"/>
        <v/>
      </c>
      <c r="Q44" s="397"/>
      <c r="R44" s="1018"/>
      <c r="S44" s="414"/>
      <c r="T44" s="25"/>
      <c r="U44" s="25"/>
      <c r="V44" s="25"/>
    </row>
    <row r="45" spans="1:22" x14ac:dyDescent="0.2">
      <c r="A45" s="795">
        <v>5303</v>
      </c>
      <c r="B45" s="387" t="s">
        <v>1737</v>
      </c>
      <c r="C45" s="391"/>
      <c r="D45" s="391">
        <v>0</v>
      </c>
      <c r="E45" s="391"/>
      <c r="F45" s="212"/>
      <c r="G45" s="212"/>
      <c r="H45" s="212"/>
      <c r="I45" s="212"/>
      <c r="J45" s="212"/>
      <c r="K45" s="212"/>
      <c r="L45" s="212"/>
      <c r="M45" s="390">
        <f t="shared" si="14"/>
        <v>300</v>
      </c>
      <c r="N45" s="391">
        <f t="shared" si="15"/>
        <v>300</v>
      </c>
      <c r="O45" s="390">
        <f t="shared" si="12"/>
        <v>0</v>
      </c>
      <c r="P45" s="392" t="str">
        <f t="shared" si="13"/>
        <v/>
      </c>
      <c r="Q45" s="397"/>
      <c r="R45" s="1018"/>
      <c r="S45" s="414"/>
      <c r="T45" s="25"/>
      <c r="U45" s="25"/>
      <c r="V45" s="25"/>
    </row>
    <row r="46" spans="1:22" x14ac:dyDescent="0.2">
      <c r="A46" s="795">
        <v>5430</v>
      </c>
      <c r="B46" s="387" t="s">
        <v>2403</v>
      </c>
      <c r="C46" s="383"/>
      <c r="D46" s="383"/>
      <c r="E46" s="383"/>
      <c r="F46" s="212"/>
      <c r="G46" s="212"/>
      <c r="H46" s="212"/>
      <c r="I46" s="212"/>
      <c r="J46" s="212"/>
      <c r="K46" s="212"/>
      <c r="L46" s="212"/>
      <c r="M46" s="390">
        <f t="shared" ref="M46" si="16">+O20</f>
        <v>0</v>
      </c>
      <c r="N46" s="391">
        <f t="shared" ref="N46" si="17">+Q20</f>
        <v>25000</v>
      </c>
      <c r="O46" s="390">
        <f t="shared" ref="O46" si="18">+N46-M46</f>
        <v>25000</v>
      </c>
      <c r="P46" s="392">
        <f t="shared" ref="P46" si="19">IF(M46+N46&lt;&gt;0,IF(M46&lt;&gt;0,IF(O46&lt;&gt;0,ROUND((+O46/M46),4),""),1),"")</f>
        <v>1</v>
      </c>
      <c r="Q46" s="397" t="s">
        <v>2407</v>
      </c>
      <c r="R46" s="1018"/>
      <c r="S46" s="414"/>
      <c r="T46" s="25"/>
      <c r="U46" s="25"/>
      <c r="V46" s="25"/>
    </row>
    <row r="47" spans="1:22" x14ac:dyDescent="0.2">
      <c r="A47" s="795">
        <v>5443</v>
      </c>
      <c r="B47" s="387" t="s">
        <v>1738</v>
      </c>
      <c r="C47" s="383">
        <v>7655.99</v>
      </c>
      <c r="D47" s="383">
        <v>8625.1200000000008</v>
      </c>
      <c r="E47" s="383">
        <v>2764.54</v>
      </c>
      <c r="F47" s="212"/>
      <c r="G47" s="212"/>
      <c r="H47" s="212"/>
      <c r="I47" s="212"/>
      <c r="J47" s="212"/>
      <c r="K47" s="212"/>
      <c r="L47" s="212"/>
      <c r="M47" s="390">
        <f t="shared" ref="M47:M48" si="20">+O21</f>
        <v>5000</v>
      </c>
      <c r="N47" s="391">
        <f t="shared" ref="N47:N48" si="21">+Q21</f>
        <v>5000</v>
      </c>
      <c r="O47" s="390">
        <f t="shared" si="12"/>
        <v>0</v>
      </c>
      <c r="P47" s="392" t="str">
        <f t="shared" si="13"/>
        <v/>
      </c>
      <c r="Q47" s="397"/>
      <c r="R47" s="1018"/>
      <c r="S47" s="414"/>
      <c r="T47" s="25"/>
      <c r="U47" s="25"/>
      <c r="V47" s="25"/>
    </row>
    <row r="48" spans="1:22" ht="13.5" thickBot="1" x14ac:dyDescent="0.25">
      <c r="A48" s="795">
        <v>5530</v>
      </c>
      <c r="B48" s="387" t="s">
        <v>1313</v>
      </c>
      <c r="C48" s="389">
        <v>210.4</v>
      </c>
      <c r="D48" s="389">
        <v>0</v>
      </c>
      <c r="E48" s="389">
        <v>1294.25</v>
      </c>
      <c r="F48" s="212"/>
      <c r="G48" s="212"/>
      <c r="H48" s="212"/>
      <c r="I48" s="212"/>
      <c r="J48" s="212"/>
      <c r="K48" s="212"/>
      <c r="L48" s="212"/>
      <c r="M48" s="390">
        <f t="shared" si="20"/>
        <v>4700</v>
      </c>
      <c r="N48" s="391">
        <f t="shared" si="21"/>
        <v>12700</v>
      </c>
      <c r="O48" s="390">
        <f t="shared" si="12"/>
        <v>8000</v>
      </c>
      <c r="P48" s="392">
        <f t="shared" si="13"/>
        <v>1.7020999999999999</v>
      </c>
      <c r="Q48" s="397" t="s">
        <v>2329</v>
      </c>
      <c r="R48" s="1018"/>
      <c r="S48" s="414"/>
      <c r="T48" s="25"/>
      <c r="U48" s="25"/>
      <c r="V48" s="25"/>
    </row>
    <row r="49" spans="1:22" ht="13.5" thickBot="1" x14ac:dyDescent="0.25">
      <c r="A49" s="795">
        <v>5800</v>
      </c>
      <c r="B49" s="415" t="s">
        <v>1417</v>
      </c>
      <c r="C49" s="389">
        <v>2116.23</v>
      </c>
      <c r="D49" s="389">
        <v>0</v>
      </c>
      <c r="E49" s="389">
        <v>0</v>
      </c>
      <c r="F49" s="212"/>
      <c r="G49" s="212"/>
      <c r="H49" s="212"/>
      <c r="I49" s="212"/>
      <c r="J49" s="212"/>
      <c r="K49" s="212"/>
      <c r="L49" s="212"/>
      <c r="M49" s="390">
        <f>+O25</f>
        <v>8000</v>
      </c>
      <c r="N49" s="391">
        <f>+Q25</f>
        <v>0</v>
      </c>
      <c r="O49" s="390">
        <f t="shared" si="12"/>
        <v>-8000</v>
      </c>
      <c r="P49" s="392">
        <f t="shared" si="13"/>
        <v>-1</v>
      </c>
      <c r="Q49" s="397" t="s">
        <v>2411</v>
      </c>
      <c r="R49" s="1018"/>
      <c r="S49" s="414"/>
      <c r="T49" s="25"/>
      <c r="U49" s="25"/>
      <c r="V49" s="25"/>
    </row>
    <row r="50" spans="1:22" x14ac:dyDescent="0.2">
      <c r="A50" s="795"/>
      <c r="B50" s="415"/>
      <c r="C50" s="391"/>
      <c r="D50" s="391"/>
      <c r="E50" s="391"/>
      <c r="F50" s="212"/>
      <c r="G50" s="212"/>
      <c r="H50" s="212"/>
      <c r="I50" s="212"/>
      <c r="J50" s="212"/>
      <c r="K50" s="212"/>
      <c r="L50" s="212"/>
      <c r="M50" s="390">
        <f>+K24</f>
        <v>0</v>
      </c>
      <c r="N50" s="383">
        <f>+Q27</f>
        <v>0</v>
      </c>
      <c r="O50" s="390">
        <f t="shared" si="12"/>
        <v>0</v>
      </c>
      <c r="P50" s="392" t="str">
        <f t="shared" si="13"/>
        <v/>
      </c>
      <c r="Q50" s="397"/>
      <c r="R50" s="1018"/>
      <c r="S50" s="414"/>
      <c r="T50" s="25"/>
      <c r="U50" s="25"/>
      <c r="V50" s="25"/>
    </row>
    <row r="51" spans="1:22" x14ac:dyDescent="0.2">
      <c r="A51" s="774"/>
      <c r="B51" s="4"/>
      <c r="C51" s="23"/>
      <c r="D51" s="23"/>
      <c r="E51" s="23"/>
      <c r="F51" s="23"/>
      <c r="G51" s="23"/>
      <c r="H51" s="212"/>
      <c r="I51" s="212"/>
      <c r="J51" s="212"/>
      <c r="K51" s="212"/>
      <c r="L51" s="212"/>
      <c r="M51" s="23"/>
      <c r="N51" s="23"/>
      <c r="O51" s="23"/>
      <c r="P51" s="25"/>
      <c r="Q51" s="23"/>
      <c r="R51" s="23"/>
      <c r="S51" s="23"/>
      <c r="T51" s="25"/>
      <c r="U51" s="25"/>
      <c r="V51" s="25"/>
    </row>
    <row r="52" spans="1:22" x14ac:dyDescent="0.2">
      <c r="A52" s="774"/>
      <c r="B52" s="4" t="s">
        <v>846</v>
      </c>
      <c r="C52" s="23"/>
      <c r="D52" s="23"/>
      <c r="E52" s="23"/>
      <c r="F52" s="23"/>
      <c r="G52" s="23"/>
      <c r="H52" s="212"/>
      <c r="I52" s="212"/>
      <c r="J52" s="212"/>
      <c r="K52" s="212"/>
      <c r="L52" s="212"/>
      <c r="M52" s="616">
        <f>SUM(M36:M51)</f>
        <v>50800</v>
      </c>
      <c r="N52" s="616">
        <f>SUM(N36:N51)</f>
        <v>84650</v>
      </c>
      <c r="O52" s="25">
        <f>+N52-M52</f>
        <v>33850</v>
      </c>
      <c r="P52" s="617">
        <f>IF(M52+N52&lt;&gt;0,IF(M52&lt;&gt;0,IF(O52&lt;&gt;0,ROUND((+O52/M52),4),""),1),"")</f>
        <v>0.6663</v>
      </c>
      <c r="Q52" s="23"/>
      <c r="R52" s="23"/>
      <c r="S52" s="23"/>
      <c r="T52" s="25"/>
      <c r="U52" s="25"/>
      <c r="V52" s="25"/>
    </row>
    <row r="53" spans="1:22" x14ac:dyDescent="0.2">
      <c r="A53" s="774"/>
      <c r="B53" s="4"/>
      <c r="C53" s="23"/>
      <c r="D53" s="23"/>
      <c r="E53" s="23"/>
      <c r="F53" s="23"/>
      <c r="G53" s="23"/>
      <c r="H53" s="212"/>
      <c r="I53" s="23"/>
      <c r="J53" s="23"/>
      <c r="K53" s="23"/>
      <c r="L53" s="23"/>
      <c r="M53" s="23"/>
      <c r="N53" s="23"/>
      <c r="O53" s="23"/>
      <c r="P53" s="25"/>
      <c r="Q53" s="23"/>
      <c r="R53" s="23"/>
      <c r="S53" s="23"/>
      <c r="T53" s="25"/>
      <c r="U53" s="25"/>
      <c r="V53" s="25"/>
    </row>
    <row r="54" spans="1:22" x14ac:dyDescent="0.2">
      <c r="A54" s="774"/>
      <c r="B54" s="4"/>
      <c r="C54" s="23"/>
      <c r="D54" s="23"/>
      <c r="E54" s="23"/>
      <c r="F54" s="23"/>
      <c r="G54" s="23"/>
      <c r="H54" s="23"/>
      <c r="I54" s="23"/>
      <c r="J54" s="23"/>
      <c r="K54" s="23"/>
      <c r="L54" s="23"/>
      <c r="M54" s="23"/>
      <c r="N54" s="23"/>
      <c r="O54" s="23"/>
      <c r="P54" s="4"/>
      <c r="Q54" s="23"/>
      <c r="R54" s="23"/>
      <c r="S54" s="23"/>
      <c r="T54" s="4"/>
      <c r="U54" s="4"/>
      <c r="V54" s="4"/>
    </row>
    <row r="55" spans="1:22" x14ac:dyDescent="0.2">
      <c r="A55" s="774"/>
      <c r="B55" s="4"/>
      <c r="C55" s="23"/>
      <c r="D55" s="23"/>
      <c r="E55" s="23"/>
      <c r="F55" s="23"/>
      <c r="G55" s="23"/>
      <c r="H55" s="23"/>
      <c r="I55" s="23"/>
      <c r="J55" s="23"/>
      <c r="K55" s="23"/>
      <c r="L55" s="23"/>
      <c r="M55" s="23"/>
      <c r="N55" s="23"/>
      <c r="O55" s="23"/>
      <c r="P55" s="4"/>
      <c r="Q55" s="23"/>
      <c r="R55" s="23"/>
      <c r="S55" s="23"/>
      <c r="T55" s="4"/>
      <c r="U55" s="4"/>
      <c r="V55" s="4"/>
    </row>
    <row r="56" spans="1:22" x14ac:dyDescent="0.2">
      <c r="A56" s="774"/>
      <c r="B56" s="4"/>
      <c r="C56" s="23"/>
      <c r="D56" s="23"/>
      <c r="E56" s="23"/>
      <c r="F56" s="23"/>
      <c r="G56" s="23"/>
      <c r="H56" s="23"/>
      <c r="I56" s="23"/>
      <c r="J56" s="23"/>
      <c r="K56" s="23"/>
      <c r="L56" s="23"/>
      <c r="M56" s="23"/>
      <c r="N56" s="23"/>
      <c r="O56" s="23"/>
      <c r="P56" s="4"/>
      <c r="Q56" s="23"/>
      <c r="R56" s="23"/>
      <c r="S56" s="23"/>
      <c r="T56" s="4"/>
      <c r="U56" s="4"/>
      <c r="V56" s="4"/>
    </row>
    <row r="57" spans="1:22" x14ac:dyDescent="0.2">
      <c r="A57" s="774"/>
      <c r="B57" s="4"/>
      <c r="C57" s="23"/>
      <c r="D57" s="23"/>
      <c r="E57" s="23"/>
      <c r="F57" s="23"/>
      <c r="G57" s="23"/>
      <c r="H57" s="23"/>
      <c r="I57" s="23"/>
      <c r="J57" s="23"/>
      <c r="K57" s="23"/>
      <c r="L57" s="23"/>
      <c r="M57" s="23"/>
      <c r="N57" s="23"/>
      <c r="O57" s="23"/>
      <c r="P57" s="4"/>
      <c r="Q57" s="23"/>
      <c r="R57" s="23"/>
      <c r="S57" s="23"/>
      <c r="T57" s="4"/>
      <c r="U57" s="4"/>
      <c r="V57" s="4"/>
    </row>
    <row r="58" spans="1:22" x14ac:dyDescent="0.2">
      <c r="A58" s="774"/>
      <c r="B58" s="4"/>
      <c r="C58" s="23"/>
      <c r="D58" s="23"/>
      <c r="E58" s="23"/>
      <c r="F58" s="23"/>
      <c r="G58" s="23"/>
      <c r="H58" s="23"/>
      <c r="I58" s="23"/>
      <c r="J58" s="23"/>
      <c r="K58" s="23"/>
      <c r="L58" s="23"/>
      <c r="M58" s="23"/>
      <c r="N58" s="23"/>
      <c r="O58" s="23"/>
      <c r="P58" s="4"/>
      <c r="Q58" s="23"/>
      <c r="R58" s="23"/>
      <c r="S58" s="23"/>
      <c r="T58" s="4"/>
      <c r="U58" s="4"/>
      <c r="V58" s="4"/>
    </row>
    <row r="59" spans="1:22" x14ac:dyDescent="0.2">
      <c r="A59" s="774"/>
      <c r="B59" s="4"/>
      <c r="C59" s="23"/>
      <c r="D59" s="23"/>
      <c r="E59" s="23"/>
      <c r="F59" s="23"/>
      <c r="G59" s="23"/>
      <c r="H59" s="23"/>
      <c r="I59" s="23"/>
      <c r="J59" s="23"/>
      <c r="K59" s="23"/>
      <c r="L59" s="23"/>
      <c r="M59" s="23"/>
      <c r="N59" s="23"/>
      <c r="O59" s="23"/>
      <c r="P59" s="4"/>
      <c r="Q59" s="23"/>
      <c r="R59" s="23"/>
      <c r="S59" s="23"/>
      <c r="T59" s="4"/>
      <c r="U59" s="4"/>
      <c r="V59" s="4"/>
    </row>
    <row r="60" spans="1:22" x14ac:dyDescent="0.2">
      <c r="A60" s="774"/>
      <c r="B60" s="4"/>
      <c r="C60" s="23"/>
      <c r="D60" s="23"/>
      <c r="E60" s="23"/>
      <c r="F60" s="23"/>
      <c r="G60" s="23"/>
      <c r="H60" s="23"/>
      <c r="I60" s="23"/>
      <c r="J60" s="23"/>
      <c r="K60" s="23"/>
      <c r="L60" s="23"/>
      <c r="M60" s="23"/>
      <c r="N60" s="23"/>
      <c r="O60" s="23"/>
      <c r="P60" s="4"/>
      <c r="Q60" s="23"/>
      <c r="R60" s="23"/>
      <c r="S60" s="23"/>
      <c r="T60" s="4"/>
      <c r="U60" s="4"/>
      <c r="V60" s="4"/>
    </row>
    <row r="61" spans="1:22" x14ac:dyDescent="0.2">
      <c r="A61" s="774"/>
      <c r="B61" s="4"/>
      <c r="C61" s="23"/>
      <c r="D61" s="23"/>
      <c r="E61" s="23"/>
      <c r="F61" s="23"/>
      <c r="G61" s="23"/>
      <c r="H61" s="23"/>
      <c r="I61" s="23"/>
      <c r="J61" s="23"/>
      <c r="K61" s="23"/>
      <c r="L61" s="23"/>
      <c r="M61" s="23"/>
      <c r="N61" s="23"/>
      <c r="O61" s="23"/>
      <c r="P61" s="4"/>
      <c r="Q61" s="23"/>
      <c r="R61" s="23"/>
      <c r="S61" s="23"/>
      <c r="T61" s="4"/>
      <c r="U61" s="4"/>
      <c r="V61" s="4"/>
    </row>
    <row r="62" spans="1:22" x14ac:dyDescent="0.2">
      <c r="A62" s="774"/>
      <c r="B62" s="4"/>
      <c r="C62" s="23"/>
      <c r="D62" s="23"/>
      <c r="E62" s="23"/>
      <c r="F62" s="23"/>
      <c r="G62" s="23"/>
      <c r="H62" s="23"/>
      <c r="I62" s="23"/>
      <c r="J62" s="23"/>
      <c r="K62" s="23"/>
      <c r="L62" s="23"/>
      <c r="M62" s="23"/>
      <c r="N62" s="23"/>
      <c r="O62" s="23"/>
      <c r="P62" s="4"/>
      <c r="Q62" s="23"/>
      <c r="R62" s="23"/>
      <c r="S62" s="23"/>
      <c r="T62" s="4"/>
      <c r="U62" s="4"/>
      <c r="V62" s="4"/>
    </row>
    <row r="63" spans="1:22" x14ac:dyDescent="0.2">
      <c r="A63" s="774"/>
      <c r="B63" s="4"/>
      <c r="C63" s="23"/>
      <c r="D63" s="23"/>
      <c r="E63" s="23"/>
      <c r="F63" s="23"/>
      <c r="G63" s="23"/>
      <c r="H63" s="23"/>
      <c r="I63" s="23"/>
      <c r="J63" s="23"/>
      <c r="K63" s="23"/>
      <c r="L63" s="23"/>
      <c r="M63" s="23"/>
      <c r="N63" s="23"/>
      <c r="O63" s="23"/>
      <c r="P63" s="4"/>
      <c r="Q63" s="23"/>
      <c r="R63" s="23"/>
      <c r="S63" s="23"/>
      <c r="T63" s="4"/>
      <c r="U63" s="4"/>
      <c r="V63" s="4"/>
    </row>
    <row r="64" spans="1:22" x14ac:dyDescent="0.2">
      <c r="A64" s="774"/>
      <c r="B64" s="4"/>
      <c r="C64" s="23"/>
      <c r="D64" s="23"/>
      <c r="E64" s="23"/>
      <c r="F64" s="23"/>
      <c r="G64" s="23"/>
      <c r="H64" s="23"/>
      <c r="I64" s="23"/>
      <c r="J64" s="23"/>
      <c r="K64" s="23"/>
      <c r="L64" s="23"/>
      <c r="M64" s="23"/>
      <c r="N64" s="23"/>
      <c r="O64" s="23"/>
      <c r="P64" s="4"/>
      <c r="Q64" s="23"/>
      <c r="R64" s="23"/>
      <c r="S64" s="23"/>
      <c r="T64" s="4"/>
      <c r="U64" s="4"/>
      <c r="V64" s="4"/>
    </row>
    <row r="65" spans="1:22" x14ac:dyDescent="0.2">
      <c r="A65" s="774"/>
      <c r="B65" s="4"/>
      <c r="C65" s="23"/>
      <c r="D65" s="23"/>
      <c r="E65" s="23"/>
      <c r="F65" s="23"/>
      <c r="G65" s="23"/>
      <c r="H65" s="23"/>
      <c r="I65" s="23"/>
      <c r="J65" s="23"/>
      <c r="K65" s="23"/>
      <c r="L65" s="23"/>
      <c r="M65" s="23"/>
      <c r="N65" s="23"/>
      <c r="O65" s="23"/>
      <c r="P65" s="4"/>
      <c r="Q65" s="23"/>
      <c r="R65" s="23"/>
      <c r="S65" s="23"/>
      <c r="T65" s="4"/>
      <c r="U65" s="4"/>
      <c r="V65" s="4"/>
    </row>
    <row r="66" spans="1:22" x14ac:dyDescent="0.2">
      <c r="A66" s="774"/>
      <c r="B66" s="4"/>
      <c r="C66" s="23"/>
      <c r="D66" s="23"/>
      <c r="E66" s="23"/>
      <c r="F66" s="23"/>
      <c r="G66" s="23"/>
      <c r="H66" s="23"/>
      <c r="I66" s="23"/>
      <c r="J66" s="23"/>
      <c r="K66" s="23"/>
      <c r="L66" s="23"/>
      <c r="M66" s="23"/>
      <c r="N66" s="23"/>
      <c r="O66" s="23"/>
      <c r="P66" s="4"/>
      <c r="Q66" s="23"/>
      <c r="R66" s="23"/>
      <c r="S66" s="23"/>
      <c r="T66" s="4"/>
      <c r="U66" s="4"/>
      <c r="V66" s="4"/>
    </row>
    <row r="67" spans="1:22" x14ac:dyDescent="0.2">
      <c r="A67" s="774"/>
      <c r="B67" s="4"/>
      <c r="C67" s="23"/>
      <c r="D67" s="23"/>
      <c r="E67" s="23"/>
      <c r="F67" s="23"/>
      <c r="G67" s="23"/>
      <c r="H67" s="23"/>
      <c r="I67" s="23"/>
      <c r="J67" s="23"/>
      <c r="K67" s="23"/>
      <c r="L67" s="23"/>
      <c r="M67" s="23"/>
      <c r="N67" s="23"/>
      <c r="O67" s="23"/>
      <c r="P67" s="4"/>
      <c r="Q67" s="23"/>
      <c r="R67" s="23"/>
      <c r="S67" s="23"/>
      <c r="T67" s="4"/>
      <c r="U67" s="4"/>
      <c r="V67" s="4"/>
    </row>
    <row r="68" spans="1:22" x14ac:dyDescent="0.2">
      <c r="A68" s="774"/>
      <c r="B68" s="4"/>
      <c r="C68" s="23"/>
      <c r="D68" s="23"/>
      <c r="E68" s="23"/>
      <c r="F68" s="23"/>
      <c r="G68" s="23"/>
      <c r="H68" s="23"/>
      <c r="I68" s="23"/>
      <c r="J68" s="23"/>
      <c r="K68" s="23"/>
      <c r="L68" s="23"/>
      <c r="M68" s="23"/>
      <c r="N68" s="23"/>
      <c r="O68" s="23"/>
      <c r="P68" s="4"/>
      <c r="Q68" s="23"/>
      <c r="R68" s="23"/>
      <c r="S68" s="23"/>
      <c r="T68" s="4"/>
      <c r="U68" s="4"/>
      <c r="V68" s="4"/>
    </row>
    <row r="69" spans="1:22" x14ac:dyDescent="0.2">
      <c r="A69" s="774"/>
      <c r="B69" s="4"/>
      <c r="C69" s="23"/>
      <c r="D69" s="23"/>
      <c r="E69" s="23"/>
      <c r="F69" s="23"/>
      <c r="G69" s="23"/>
      <c r="H69" s="23"/>
      <c r="I69" s="23"/>
      <c r="J69" s="23"/>
      <c r="K69" s="23"/>
      <c r="L69" s="23"/>
      <c r="M69" s="23"/>
      <c r="N69" s="23"/>
      <c r="O69" s="23"/>
      <c r="P69" s="4"/>
      <c r="Q69" s="23"/>
      <c r="R69" s="23"/>
      <c r="S69" s="23"/>
      <c r="T69" s="4"/>
      <c r="U69" s="4"/>
      <c r="V69" s="4"/>
    </row>
    <row r="70" spans="1:22" x14ac:dyDescent="0.2">
      <c r="A70" s="774"/>
      <c r="B70" s="4"/>
      <c r="C70" s="23"/>
      <c r="D70" s="23"/>
      <c r="E70" s="23"/>
      <c r="F70" s="23"/>
      <c r="G70" s="23"/>
      <c r="H70" s="23"/>
      <c r="I70" s="23"/>
      <c r="J70" s="23"/>
      <c r="K70" s="23"/>
      <c r="L70" s="23"/>
      <c r="M70" s="23"/>
      <c r="N70" s="23"/>
      <c r="O70" s="23"/>
      <c r="P70" s="4"/>
      <c r="Q70" s="23"/>
      <c r="R70" s="23"/>
      <c r="S70" s="23"/>
      <c r="T70" s="4"/>
      <c r="U70" s="4"/>
      <c r="V70" s="4"/>
    </row>
    <row r="71" spans="1:22" x14ac:dyDescent="0.2">
      <c r="A71" s="774"/>
      <c r="B71" s="4"/>
      <c r="C71" s="23"/>
      <c r="D71" s="23"/>
      <c r="E71" s="23"/>
      <c r="F71" s="23"/>
      <c r="G71" s="23"/>
      <c r="H71" s="23"/>
      <c r="I71" s="23"/>
      <c r="J71" s="23"/>
      <c r="K71" s="23"/>
      <c r="L71" s="23"/>
      <c r="M71" s="23"/>
      <c r="N71" s="23"/>
      <c r="O71" s="23"/>
      <c r="P71" s="4"/>
      <c r="Q71" s="23"/>
      <c r="R71" s="23"/>
      <c r="S71" s="23"/>
      <c r="T71" s="4"/>
      <c r="U71" s="4"/>
      <c r="V71" s="4"/>
    </row>
    <row r="72" spans="1:22" x14ac:dyDescent="0.2">
      <c r="A72" s="774"/>
      <c r="B72" s="4"/>
      <c r="C72" s="23"/>
      <c r="D72" s="23"/>
      <c r="E72" s="23"/>
      <c r="F72" s="23"/>
      <c r="G72" s="23"/>
      <c r="H72" s="23"/>
      <c r="I72" s="23"/>
      <c r="J72" s="23"/>
      <c r="K72" s="23"/>
      <c r="L72" s="23"/>
      <c r="M72" s="23"/>
      <c r="N72" s="23"/>
      <c r="O72" s="23"/>
      <c r="P72" s="4"/>
      <c r="Q72" s="23"/>
      <c r="R72" s="23"/>
      <c r="S72" s="23"/>
      <c r="T72" s="4"/>
      <c r="U72" s="4"/>
      <c r="V72" s="4"/>
    </row>
    <row r="73" spans="1:22" x14ac:dyDescent="0.2">
      <c r="A73" s="774"/>
      <c r="B73" s="4"/>
      <c r="C73" s="23"/>
      <c r="D73" s="23"/>
      <c r="E73" s="23"/>
      <c r="F73" s="23"/>
      <c r="G73" s="23"/>
      <c r="H73" s="23"/>
      <c r="I73" s="23"/>
      <c r="J73" s="23"/>
      <c r="K73" s="23"/>
      <c r="L73" s="23"/>
      <c r="M73" s="23"/>
      <c r="N73" s="23"/>
      <c r="O73" s="23"/>
      <c r="P73" s="4"/>
      <c r="Q73" s="23"/>
      <c r="R73" s="23"/>
      <c r="S73" s="23"/>
      <c r="T73" s="4"/>
      <c r="U73" s="4"/>
      <c r="V73" s="4"/>
    </row>
    <row r="74" spans="1:22" x14ac:dyDescent="0.2">
      <c r="A74" s="774"/>
      <c r="B74" s="4"/>
      <c r="C74" s="23"/>
      <c r="D74" s="23"/>
      <c r="E74" s="23"/>
      <c r="F74" s="23"/>
      <c r="G74" s="23"/>
      <c r="H74" s="23"/>
      <c r="I74" s="23"/>
      <c r="J74" s="23"/>
      <c r="K74" s="23"/>
      <c r="L74" s="23"/>
      <c r="M74" s="23"/>
      <c r="N74" s="23"/>
      <c r="O74" s="23"/>
      <c r="P74" s="4"/>
      <c r="Q74" s="23"/>
      <c r="R74" s="23"/>
      <c r="S74" s="23"/>
      <c r="T74" s="4"/>
      <c r="U74" s="4"/>
      <c r="V74" s="4"/>
    </row>
    <row r="75" spans="1:22" x14ac:dyDescent="0.2">
      <c r="A75" s="774"/>
      <c r="B75" s="4"/>
      <c r="C75" s="23"/>
      <c r="D75" s="23"/>
      <c r="E75" s="23"/>
      <c r="F75" s="23"/>
      <c r="G75" s="23"/>
      <c r="H75" s="23"/>
      <c r="I75" s="23"/>
      <c r="J75" s="23"/>
      <c r="K75" s="23"/>
      <c r="L75" s="23"/>
      <c r="M75" s="23"/>
      <c r="N75" s="23"/>
      <c r="O75" s="23"/>
      <c r="P75" s="4"/>
      <c r="Q75" s="23"/>
      <c r="R75" s="23"/>
      <c r="S75" s="23"/>
      <c r="T75" s="4"/>
      <c r="U75" s="4"/>
      <c r="V75" s="4"/>
    </row>
    <row r="76" spans="1:22" x14ac:dyDescent="0.2">
      <c r="A76" s="774"/>
      <c r="B76" s="4"/>
      <c r="C76" s="23"/>
      <c r="D76" s="23"/>
      <c r="E76" s="23"/>
      <c r="F76" s="23"/>
      <c r="G76" s="23"/>
      <c r="H76" s="23"/>
      <c r="I76" s="23"/>
      <c r="J76" s="23"/>
      <c r="K76" s="23"/>
      <c r="L76" s="23"/>
      <c r="M76" s="23"/>
      <c r="N76" s="23"/>
      <c r="O76" s="23"/>
      <c r="P76" s="4"/>
      <c r="Q76" s="23"/>
      <c r="R76" s="23"/>
      <c r="S76" s="23"/>
      <c r="T76" s="4"/>
      <c r="U76" s="4"/>
      <c r="V76" s="4"/>
    </row>
    <row r="77" spans="1:22" x14ac:dyDescent="0.2">
      <c r="A77" s="774"/>
      <c r="B77" s="4"/>
      <c r="C77" s="23"/>
      <c r="D77" s="23"/>
      <c r="E77" s="23"/>
      <c r="F77" s="23"/>
      <c r="G77" s="23"/>
      <c r="H77" s="23"/>
      <c r="I77" s="23"/>
      <c r="J77" s="23"/>
      <c r="K77" s="23"/>
      <c r="L77" s="23"/>
      <c r="M77" s="23"/>
      <c r="N77" s="23"/>
      <c r="O77" s="23"/>
      <c r="P77" s="4"/>
      <c r="Q77" s="23"/>
      <c r="R77" s="23"/>
      <c r="S77" s="23"/>
      <c r="T77" s="4"/>
      <c r="U77" s="4"/>
      <c r="V77" s="4"/>
    </row>
    <row r="78" spans="1:22" x14ac:dyDescent="0.2">
      <c r="A78" s="774"/>
      <c r="B78" s="4"/>
      <c r="C78" s="23"/>
      <c r="D78" s="23"/>
      <c r="E78" s="23"/>
      <c r="F78" s="23"/>
      <c r="G78" s="23"/>
      <c r="H78" s="23"/>
      <c r="I78" s="23"/>
      <c r="J78" s="23"/>
      <c r="K78" s="23"/>
      <c r="L78" s="23"/>
      <c r="M78" s="23"/>
      <c r="N78" s="23"/>
      <c r="O78" s="23"/>
      <c r="P78" s="4"/>
      <c r="Q78" s="23"/>
      <c r="R78" s="23"/>
      <c r="S78" s="23"/>
      <c r="T78" s="4"/>
      <c r="U78" s="4"/>
      <c r="V78" s="4"/>
    </row>
    <row r="79" spans="1:22" x14ac:dyDescent="0.2">
      <c r="A79" s="774"/>
      <c r="B79" s="4"/>
      <c r="C79" s="23"/>
      <c r="D79" s="23"/>
      <c r="E79" s="23"/>
      <c r="F79" s="23"/>
      <c r="G79" s="23"/>
      <c r="H79" s="23"/>
      <c r="I79" s="23"/>
      <c r="J79" s="23"/>
      <c r="K79" s="23"/>
      <c r="L79" s="23"/>
      <c r="M79" s="23"/>
      <c r="N79" s="23"/>
      <c r="O79" s="23"/>
      <c r="P79" s="4"/>
      <c r="Q79" s="23"/>
      <c r="R79" s="23"/>
      <c r="S79" s="23"/>
      <c r="T79" s="4"/>
      <c r="U79" s="4"/>
      <c r="V79" s="4"/>
    </row>
    <row r="80" spans="1:22" x14ac:dyDescent="0.2">
      <c r="A80" s="774"/>
      <c r="B80" s="4"/>
      <c r="C80" s="23"/>
      <c r="D80" s="23"/>
      <c r="E80" s="23"/>
      <c r="F80" s="23"/>
      <c r="G80" s="23"/>
      <c r="H80" s="23"/>
      <c r="I80" s="23"/>
      <c r="J80" s="23"/>
      <c r="K80" s="23"/>
      <c r="L80" s="23"/>
      <c r="M80" s="23"/>
      <c r="N80" s="23"/>
      <c r="O80" s="23"/>
      <c r="P80" s="4"/>
      <c r="Q80" s="23"/>
      <c r="R80" s="23"/>
      <c r="S80" s="23"/>
      <c r="T80" s="4"/>
      <c r="U80" s="4"/>
      <c r="V80" s="4"/>
    </row>
    <row r="81" spans="1:22" x14ac:dyDescent="0.2">
      <c r="A81" s="774"/>
      <c r="B81" s="4"/>
      <c r="C81" s="23"/>
      <c r="D81" s="23"/>
      <c r="E81" s="23"/>
      <c r="F81" s="23"/>
      <c r="G81" s="23"/>
      <c r="H81" s="23"/>
      <c r="I81" s="23"/>
      <c r="J81" s="23"/>
      <c r="K81" s="23"/>
      <c r="L81" s="23"/>
      <c r="M81" s="23"/>
      <c r="N81" s="23"/>
      <c r="O81" s="23"/>
      <c r="P81" s="4"/>
      <c r="Q81" s="23"/>
      <c r="R81" s="23"/>
      <c r="S81" s="23"/>
      <c r="T81" s="4"/>
      <c r="U81" s="4"/>
      <c r="V81" s="4"/>
    </row>
    <row r="82" spans="1:22" x14ac:dyDescent="0.2">
      <c r="A82" s="774"/>
      <c r="B82" s="4"/>
      <c r="C82" s="23"/>
      <c r="D82" s="23"/>
      <c r="E82" s="23"/>
      <c r="F82" s="23"/>
      <c r="G82" s="23"/>
      <c r="H82" s="23"/>
      <c r="I82" s="23"/>
      <c r="J82" s="23"/>
      <c r="K82" s="23"/>
      <c r="L82" s="23"/>
      <c r="M82" s="23"/>
      <c r="N82" s="23"/>
      <c r="O82" s="23"/>
      <c r="P82" s="4"/>
      <c r="Q82" s="23"/>
      <c r="R82" s="23"/>
      <c r="S82" s="23"/>
      <c r="T82" s="4"/>
      <c r="U82" s="4"/>
      <c r="V82" s="4"/>
    </row>
    <row r="83" spans="1:22" x14ac:dyDescent="0.2">
      <c r="A83" s="774"/>
      <c r="B83" s="4"/>
      <c r="C83" s="23"/>
      <c r="D83" s="23"/>
      <c r="E83" s="23"/>
      <c r="F83" s="23"/>
      <c r="G83" s="23"/>
      <c r="H83" s="23"/>
      <c r="I83" s="23"/>
      <c r="J83" s="23"/>
      <c r="K83" s="23"/>
      <c r="L83" s="23"/>
      <c r="M83" s="23"/>
      <c r="N83" s="23"/>
      <c r="O83" s="23"/>
      <c r="P83" s="4"/>
      <c r="Q83" s="23"/>
      <c r="R83" s="23"/>
      <c r="S83" s="23"/>
      <c r="T83" s="4"/>
      <c r="U83" s="4"/>
      <c r="V83" s="4"/>
    </row>
    <row r="84" spans="1:22" x14ac:dyDescent="0.2">
      <c r="A84" s="774"/>
      <c r="B84" s="4"/>
      <c r="C84" s="23"/>
      <c r="D84" s="23"/>
      <c r="E84" s="23"/>
      <c r="F84" s="23"/>
      <c r="G84" s="23"/>
      <c r="H84" s="23"/>
      <c r="I84" s="23"/>
      <c r="J84" s="23"/>
      <c r="K84" s="23"/>
      <c r="L84" s="23"/>
      <c r="M84" s="23"/>
      <c r="N84" s="23"/>
      <c r="O84" s="23"/>
      <c r="P84" s="4"/>
      <c r="Q84" s="23"/>
      <c r="R84" s="23"/>
      <c r="S84" s="23"/>
      <c r="T84" s="4"/>
      <c r="U84" s="4"/>
      <c r="V84" s="4"/>
    </row>
    <row r="85" spans="1:22" x14ac:dyDescent="0.2">
      <c r="A85" s="774"/>
      <c r="B85" s="4"/>
      <c r="C85" s="23"/>
      <c r="D85" s="23"/>
      <c r="E85" s="23"/>
      <c r="F85" s="23"/>
      <c r="G85" s="23"/>
      <c r="H85" s="23"/>
      <c r="I85" s="23"/>
      <c r="J85" s="23"/>
      <c r="K85" s="23"/>
      <c r="L85" s="23"/>
      <c r="M85" s="23"/>
      <c r="N85" s="23"/>
      <c r="O85" s="23"/>
      <c r="P85" s="4"/>
      <c r="Q85" s="23"/>
      <c r="R85" s="23"/>
      <c r="S85" s="23"/>
      <c r="T85" s="4"/>
      <c r="U85" s="4"/>
      <c r="V85" s="4"/>
    </row>
    <row r="86" spans="1:22" x14ac:dyDescent="0.2">
      <c r="A86" s="774"/>
      <c r="B86" s="4"/>
      <c r="C86" s="23"/>
      <c r="D86" s="23"/>
      <c r="E86" s="23"/>
      <c r="F86" s="23"/>
      <c r="G86" s="23"/>
      <c r="H86" s="23"/>
      <c r="I86" s="23"/>
      <c r="J86" s="23"/>
      <c r="K86" s="23"/>
      <c r="L86" s="23"/>
      <c r="M86" s="23"/>
      <c r="N86" s="23"/>
      <c r="O86" s="23"/>
      <c r="P86" s="4"/>
      <c r="Q86" s="23"/>
      <c r="R86" s="23"/>
      <c r="S86" s="23"/>
      <c r="T86" s="4"/>
      <c r="U86" s="4"/>
      <c r="V86" s="4"/>
    </row>
    <row r="87" spans="1:22" x14ac:dyDescent="0.2">
      <c r="A87" s="774"/>
      <c r="B87" s="4"/>
      <c r="C87" s="23"/>
      <c r="D87" s="23"/>
      <c r="E87" s="23"/>
      <c r="F87" s="23"/>
      <c r="G87" s="23"/>
      <c r="H87" s="23"/>
      <c r="I87" s="23"/>
      <c r="J87" s="23"/>
      <c r="K87" s="23"/>
      <c r="L87" s="23"/>
      <c r="M87" s="23"/>
      <c r="N87" s="23"/>
      <c r="O87" s="23"/>
      <c r="P87" s="4"/>
      <c r="Q87" s="23"/>
      <c r="R87" s="23"/>
      <c r="S87" s="23"/>
      <c r="T87" s="4"/>
      <c r="U87" s="4"/>
      <c r="V87" s="4"/>
    </row>
    <row r="88" spans="1:22" x14ac:dyDescent="0.2">
      <c r="A88" s="774"/>
      <c r="B88" s="4"/>
      <c r="C88" s="23"/>
      <c r="D88" s="23"/>
      <c r="E88" s="23"/>
      <c r="F88" s="23"/>
      <c r="G88" s="23"/>
      <c r="H88" s="23"/>
      <c r="I88" s="23"/>
      <c r="J88" s="23"/>
      <c r="K88" s="23"/>
      <c r="L88" s="23"/>
      <c r="M88" s="23"/>
      <c r="N88" s="23"/>
      <c r="O88" s="23"/>
      <c r="P88" s="4"/>
      <c r="Q88" s="23"/>
      <c r="R88" s="23"/>
      <c r="S88" s="23"/>
      <c r="T88" s="4"/>
      <c r="U88" s="4"/>
      <c r="V88" s="4"/>
    </row>
    <row r="89" spans="1:22" x14ac:dyDescent="0.2">
      <c r="A89" s="774"/>
      <c r="B89" s="4"/>
      <c r="C89" s="23"/>
      <c r="D89" s="23"/>
      <c r="E89" s="23"/>
      <c r="F89" s="23"/>
      <c r="G89" s="23"/>
      <c r="H89" s="23"/>
      <c r="I89" s="23"/>
      <c r="J89" s="23"/>
      <c r="K89" s="23"/>
      <c r="L89" s="23"/>
      <c r="M89" s="23"/>
      <c r="N89" s="23"/>
      <c r="O89" s="23"/>
      <c r="P89" s="4"/>
      <c r="Q89" s="23"/>
      <c r="R89" s="23"/>
      <c r="S89" s="23"/>
      <c r="T89" s="4"/>
      <c r="U89" s="4"/>
      <c r="V89" s="4"/>
    </row>
    <row r="90" spans="1:22" x14ac:dyDescent="0.2">
      <c r="A90" s="774"/>
      <c r="B90" s="4"/>
      <c r="C90" s="23"/>
      <c r="D90" s="23"/>
      <c r="E90" s="23"/>
      <c r="F90" s="23"/>
      <c r="G90" s="23"/>
      <c r="H90" s="23"/>
      <c r="I90" s="23"/>
      <c r="J90" s="23"/>
      <c r="K90" s="23"/>
      <c r="L90" s="23"/>
      <c r="M90" s="23"/>
      <c r="N90" s="23"/>
      <c r="O90" s="23"/>
      <c r="P90" s="4"/>
      <c r="Q90" s="23"/>
      <c r="R90" s="23"/>
      <c r="S90" s="23"/>
      <c r="T90" s="4"/>
      <c r="U90" s="4"/>
      <c r="V90" s="4"/>
    </row>
    <row r="91" spans="1:22" x14ac:dyDescent="0.2">
      <c r="A91" s="774"/>
      <c r="B91" s="4"/>
      <c r="C91" s="23"/>
      <c r="D91" s="23"/>
      <c r="E91" s="23"/>
      <c r="F91" s="23"/>
      <c r="G91" s="23"/>
      <c r="H91" s="23"/>
      <c r="I91" s="23"/>
      <c r="J91" s="23"/>
      <c r="K91" s="23"/>
      <c r="L91" s="23"/>
      <c r="M91" s="23"/>
      <c r="N91" s="23"/>
      <c r="O91" s="23"/>
      <c r="P91" s="4"/>
      <c r="Q91" s="23"/>
      <c r="R91" s="23"/>
      <c r="S91" s="23"/>
      <c r="T91" s="4"/>
      <c r="U91" s="4"/>
      <c r="V91" s="4"/>
    </row>
    <row r="92" spans="1:22" x14ac:dyDescent="0.2">
      <c r="A92" s="774"/>
      <c r="B92" s="4"/>
      <c r="C92" s="23"/>
      <c r="D92" s="23"/>
      <c r="E92" s="23"/>
      <c r="F92" s="23"/>
      <c r="G92" s="23"/>
      <c r="H92" s="23"/>
      <c r="I92" s="23"/>
      <c r="J92" s="23"/>
      <c r="K92" s="23"/>
      <c r="L92" s="23"/>
      <c r="M92" s="23"/>
      <c r="N92" s="23"/>
      <c r="O92" s="23"/>
      <c r="P92" s="4"/>
      <c r="Q92" s="23"/>
      <c r="R92" s="23"/>
      <c r="S92" s="23"/>
      <c r="T92" s="4"/>
      <c r="U92" s="4"/>
      <c r="V92" s="4"/>
    </row>
    <row r="93" spans="1:22" x14ac:dyDescent="0.2">
      <c r="A93" s="774"/>
      <c r="B93" s="4"/>
      <c r="C93" s="23"/>
      <c r="D93" s="23"/>
      <c r="E93" s="23"/>
      <c r="F93" s="23"/>
      <c r="G93" s="23"/>
      <c r="H93" s="23"/>
      <c r="I93" s="23"/>
      <c r="J93" s="23"/>
      <c r="K93" s="23"/>
      <c r="L93" s="23"/>
      <c r="M93" s="23"/>
      <c r="N93" s="23"/>
      <c r="O93" s="23"/>
      <c r="P93" s="4"/>
      <c r="Q93" s="23"/>
      <c r="R93" s="23"/>
      <c r="S93" s="23"/>
      <c r="T93" s="4"/>
      <c r="U93" s="4"/>
      <c r="V93" s="4"/>
    </row>
    <row r="94" spans="1:22" x14ac:dyDescent="0.2">
      <c r="A94" s="774"/>
      <c r="B94" s="4"/>
      <c r="C94" s="23"/>
      <c r="D94" s="23"/>
      <c r="E94" s="23"/>
      <c r="F94" s="23"/>
      <c r="G94" s="23"/>
      <c r="H94" s="23"/>
      <c r="I94" s="23"/>
      <c r="J94" s="23"/>
      <c r="K94" s="23"/>
      <c r="L94" s="23"/>
      <c r="M94" s="23"/>
      <c r="N94" s="23"/>
      <c r="O94" s="23"/>
      <c r="P94" s="4"/>
      <c r="Q94" s="23"/>
      <c r="R94" s="23"/>
      <c r="S94" s="23"/>
      <c r="T94" s="4"/>
      <c r="U94" s="4"/>
      <c r="V94" s="4"/>
    </row>
    <row r="95" spans="1:22" x14ac:dyDescent="0.2">
      <c r="A95" s="774"/>
      <c r="B95" s="4"/>
      <c r="C95" s="23"/>
      <c r="D95" s="23"/>
      <c r="E95" s="23"/>
      <c r="F95" s="23"/>
      <c r="G95" s="23"/>
      <c r="H95" s="23"/>
      <c r="I95" s="23"/>
      <c r="J95" s="23"/>
      <c r="K95" s="23"/>
      <c r="L95" s="23"/>
      <c r="M95" s="23"/>
      <c r="N95" s="23"/>
      <c r="O95" s="23"/>
      <c r="P95" s="4"/>
      <c r="Q95" s="23"/>
      <c r="R95" s="23"/>
      <c r="S95" s="23"/>
      <c r="T95" s="4"/>
      <c r="U95" s="4"/>
      <c r="V95" s="4"/>
    </row>
    <row r="96" spans="1:22" x14ac:dyDescent="0.2">
      <c r="A96" s="774"/>
      <c r="B96" s="4"/>
      <c r="C96" s="23"/>
      <c r="D96" s="23"/>
      <c r="E96" s="23"/>
      <c r="F96" s="23"/>
      <c r="G96" s="23"/>
      <c r="H96" s="23"/>
      <c r="I96" s="23"/>
      <c r="J96" s="23"/>
      <c r="K96" s="23"/>
      <c r="L96" s="23"/>
      <c r="M96" s="23"/>
      <c r="N96" s="23"/>
      <c r="O96" s="23"/>
      <c r="P96" s="4"/>
      <c r="Q96" s="23"/>
      <c r="R96" s="23"/>
      <c r="S96" s="23"/>
      <c r="T96" s="4"/>
      <c r="U96" s="4"/>
      <c r="V96" s="4"/>
    </row>
    <row r="97" spans="1:22" x14ac:dyDescent="0.2">
      <c r="A97" s="774"/>
      <c r="B97" s="4"/>
      <c r="C97" s="23"/>
      <c r="D97" s="23"/>
      <c r="E97" s="23"/>
      <c r="F97" s="23"/>
      <c r="G97" s="23"/>
      <c r="H97" s="23"/>
      <c r="I97" s="23"/>
      <c r="J97" s="23"/>
      <c r="K97" s="23"/>
      <c r="L97" s="23"/>
      <c r="M97" s="23"/>
      <c r="N97" s="23"/>
      <c r="O97" s="23"/>
      <c r="P97" s="4"/>
      <c r="Q97" s="23"/>
      <c r="R97" s="23"/>
      <c r="S97" s="23"/>
      <c r="T97" s="4"/>
      <c r="U97" s="4"/>
      <c r="V97" s="4"/>
    </row>
    <row r="98" spans="1:22" x14ac:dyDescent="0.2">
      <c r="A98" s="774"/>
      <c r="B98" s="4"/>
      <c r="C98" s="23"/>
      <c r="D98" s="23"/>
      <c r="E98" s="23"/>
      <c r="F98" s="23"/>
      <c r="G98" s="23"/>
      <c r="H98" s="23"/>
      <c r="I98" s="23"/>
      <c r="J98" s="23"/>
      <c r="K98" s="23"/>
      <c r="L98" s="23"/>
      <c r="M98" s="23"/>
      <c r="N98" s="23"/>
      <c r="O98" s="23"/>
      <c r="P98" s="4"/>
      <c r="Q98" s="23"/>
      <c r="R98" s="23"/>
      <c r="S98" s="23"/>
      <c r="T98" s="4"/>
      <c r="U98" s="4"/>
      <c r="V98" s="4"/>
    </row>
    <row r="99" spans="1:22" x14ac:dyDescent="0.2">
      <c r="A99" s="774"/>
      <c r="B99" s="4"/>
      <c r="C99" s="23"/>
      <c r="D99" s="23"/>
      <c r="E99" s="23"/>
      <c r="F99" s="23"/>
      <c r="G99" s="23"/>
      <c r="H99" s="23"/>
      <c r="I99" s="23"/>
      <c r="J99" s="23"/>
      <c r="K99" s="23"/>
      <c r="L99" s="23"/>
      <c r="M99" s="23"/>
      <c r="N99" s="23"/>
      <c r="O99" s="23"/>
      <c r="P99" s="4"/>
      <c r="Q99" s="23"/>
      <c r="R99" s="23"/>
      <c r="S99" s="23"/>
      <c r="T99" s="4"/>
      <c r="U99" s="4"/>
      <c r="V99" s="4"/>
    </row>
    <row r="100" spans="1:22" x14ac:dyDescent="0.2">
      <c r="A100" s="774"/>
      <c r="B100" s="4"/>
      <c r="C100" s="23"/>
      <c r="D100" s="23"/>
      <c r="E100" s="23"/>
      <c r="F100" s="23"/>
      <c r="G100" s="23"/>
      <c r="H100" s="23"/>
      <c r="I100" s="23"/>
      <c r="J100" s="23"/>
      <c r="K100" s="23"/>
      <c r="L100" s="23"/>
      <c r="M100" s="23"/>
      <c r="N100" s="23"/>
      <c r="O100" s="23"/>
      <c r="P100" s="4"/>
      <c r="Q100" s="23"/>
      <c r="R100" s="23"/>
      <c r="S100" s="23"/>
      <c r="T100" s="4"/>
      <c r="U100" s="4"/>
      <c r="V100" s="4"/>
    </row>
    <row r="101" spans="1:22" x14ac:dyDescent="0.2">
      <c r="A101" s="774"/>
      <c r="B101" s="4"/>
      <c r="C101" s="23"/>
      <c r="D101" s="23"/>
      <c r="E101" s="23"/>
      <c r="F101" s="23"/>
      <c r="G101" s="23"/>
      <c r="H101" s="23"/>
      <c r="I101" s="23"/>
      <c r="J101" s="23"/>
      <c r="K101" s="23"/>
      <c r="L101" s="23"/>
      <c r="M101" s="23"/>
      <c r="N101" s="23"/>
      <c r="O101" s="23"/>
      <c r="P101" s="4"/>
      <c r="Q101" s="23"/>
      <c r="R101" s="23"/>
      <c r="S101" s="23"/>
      <c r="T101" s="4"/>
      <c r="U101" s="4"/>
      <c r="V101" s="4"/>
    </row>
    <row r="102" spans="1:22" x14ac:dyDescent="0.2">
      <c r="A102" s="774"/>
      <c r="B102" s="4"/>
      <c r="C102" s="23"/>
      <c r="D102" s="23"/>
      <c r="E102" s="23"/>
      <c r="F102" s="23"/>
      <c r="G102" s="23"/>
      <c r="H102" s="23"/>
      <c r="I102" s="23"/>
      <c r="J102" s="23"/>
      <c r="K102" s="23"/>
      <c r="L102" s="23"/>
      <c r="M102" s="23"/>
      <c r="N102" s="23"/>
      <c r="O102" s="23"/>
      <c r="P102" s="4"/>
      <c r="Q102" s="23"/>
      <c r="R102" s="23"/>
      <c r="S102" s="23"/>
      <c r="T102" s="4"/>
      <c r="U102" s="4"/>
      <c r="V102" s="4"/>
    </row>
    <row r="103" spans="1:22" x14ac:dyDescent="0.2">
      <c r="A103" s="774"/>
      <c r="B103" s="4"/>
      <c r="C103" s="23"/>
      <c r="D103" s="23"/>
      <c r="E103" s="23"/>
      <c r="F103" s="23"/>
      <c r="G103" s="23"/>
      <c r="H103" s="23"/>
      <c r="I103" s="23"/>
      <c r="J103" s="23"/>
      <c r="K103" s="23"/>
      <c r="L103" s="23"/>
      <c r="M103" s="23"/>
      <c r="N103" s="23"/>
      <c r="O103" s="23"/>
      <c r="P103" s="4"/>
      <c r="Q103" s="23"/>
      <c r="R103" s="23"/>
      <c r="S103" s="23"/>
      <c r="T103" s="4"/>
      <c r="U103" s="4"/>
      <c r="V103" s="4"/>
    </row>
    <row r="104" spans="1:22" x14ac:dyDescent="0.2">
      <c r="A104" s="774"/>
      <c r="B104" s="4"/>
      <c r="C104" s="23"/>
      <c r="D104" s="23"/>
      <c r="E104" s="23"/>
      <c r="F104" s="23"/>
      <c r="G104" s="23"/>
      <c r="H104" s="23"/>
      <c r="I104" s="23"/>
      <c r="J104" s="23"/>
      <c r="K104" s="23"/>
      <c r="L104" s="23"/>
      <c r="M104" s="23"/>
      <c r="N104" s="23"/>
      <c r="O104" s="23"/>
      <c r="P104" s="4"/>
      <c r="Q104" s="23"/>
      <c r="R104" s="23"/>
      <c r="S104" s="23"/>
      <c r="T104" s="4"/>
      <c r="U104" s="4"/>
      <c r="V104" s="4"/>
    </row>
    <row r="105" spans="1:22" x14ac:dyDescent="0.2">
      <c r="A105" s="774"/>
      <c r="B105" s="4"/>
      <c r="C105" s="23"/>
      <c r="D105" s="23"/>
      <c r="E105" s="23"/>
      <c r="F105" s="23"/>
      <c r="G105" s="23"/>
      <c r="H105" s="23"/>
      <c r="I105" s="23"/>
      <c r="J105" s="23"/>
      <c r="K105" s="23"/>
      <c r="L105" s="23"/>
      <c r="M105" s="23"/>
      <c r="N105" s="23"/>
      <c r="O105" s="23"/>
      <c r="P105" s="4"/>
      <c r="Q105" s="23"/>
      <c r="R105" s="23"/>
      <c r="S105" s="23"/>
      <c r="T105" s="4"/>
      <c r="U105" s="4"/>
      <c r="V105" s="4"/>
    </row>
    <row r="106" spans="1:22" x14ac:dyDescent="0.2">
      <c r="A106" s="774"/>
      <c r="B106" s="4"/>
      <c r="C106" s="23"/>
      <c r="D106" s="23"/>
      <c r="E106" s="23"/>
      <c r="F106" s="23"/>
      <c r="G106" s="23"/>
      <c r="H106" s="23"/>
      <c r="I106" s="23"/>
      <c r="J106" s="23"/>
      <c r="K106" s="23"/>
      <c r="L106" s="23"/>
      <c r="M106" s="23"/>
      <c r="N106" s="23"/>
      <c r="O106" s="23"/>
      <c r="P106" s="4"/>
      <c r="Q106" s="23"/>
      <c r="R106" s="23"/>
      <c r="S106" s="23"/>
      <c r="T106" s="4"/>
      <c r="U106" s="4"/>
      <c r="V106" s="4"/>
    </row>
    <row r="107" spans="1:22" x14ac:dyDescent="0.2">
      <c r="A107" s="774"/>
      <c r="B107" s="4"/>
      <c r="C107" s="23"/>
      <c r="D107" s="23"/>
      <c r="E107" s="23"/>
      <c r="F107" s="23"/>
      <c r="G107" s="23"/>
      <c r="H107" s="23"/>
      <c r="I107" s="23"/>
      <c r="J107" s="23"/>
      <c r="K107" s="23"/>
      <c r="L107" s="23"/>
      <c r="M107" s="23"/>
      <c r="N107" s="23"/>
      <c r="O107" s="23"/>
      <c r="P107" s="4"/>
      <c r="Q107" s="23"/>
      <c r="R107" s="23"/>
      <c r="S107" s="23"/>
      <c r="T107" s="4"/>
      <c r="U107" s="4"/>
      <c r="V107" s="4"/>
    </row>
    <row r="108" spans="1:22" x14ac:dyDescent="0.2">
      <c r="A108" s="774"/>
      <c r="B108" s="4"/>
      <c r="C108" s="23"/>
      <c r="D108" s="23"/>
      <c r="E108" s="23"/>
      <c r="F108" s="23"/>
      <c r="G108" s="23"/>
      <c r="H108" s="23"/>
      <c r="I108" s="23"/>
      <c r="J108" s="23"/>
      <c r="K108" s="23"/>
      <c r="L108" s="23"/>
      <c r="M108" s="23"/>
      <c r="N108" s="23"/>
      <c r="O108" s="23"/>
      <c r="P108" s="4"/>
      <c r="Q108" s="23"/>
      <c r="R108" s="23"/>
      <c r="S108" s="23"/>
      <c r="T108" s="4"/>
      <c r="U108" s="4"/>
      <c r="V108" s="4"/>
    </row>
    <row r="109" spans="1:22" x14ac:dyDescent="0.2">
      <c r="A109" s="774"/>
      <c r="B109" s="4"/>
      <c r="C109" s="23"/>
      <c r="D109" s="23"/>
      <c r="E109" s="23"/>
      <c r="F109" s="23"/>
      <c r="G109" s="23"/>
      <c r="H109" s="23"/>
      <c r="I109" s="23"/>
      <c r="J109" s="23"/>
      <c r="K109" s="23"/>
      <c r="L109" s="23"/>
      <c r="M109" s="23"/>
      <c r="N109" s="23"/>
      <c r="O109" s="23"/>
      <c r="P109" s="4"/>
      <c r="Q109" s="23"/>
      <c r="R109" s="23"/>
      <c r="S109" s="23"/>
      <c r="T109" s="4"/>
      <c r="U109" s="4"/>
      <c r="V109" s="4"/>
    </row>
    <row r="110" spans="1:22" x14ac:dyDescent="0.2">
      <c r="A110" s="774"/>
      <c r="B110" s="4"/>
      <c r="C110" s="23"/>
      <c r="D110" s="23"/>
      <c r="E110" s="23"/>
      <c r="F110" s="23"/>
      <c r="G110" s="23"/>
      <c r="H110" s="23"/>
      <c r="I110" s="23"/>
      <c r="J110" s="23"/>
      <c r="K110" s="23"/>
      <c r="L110" s="23"/>
      <c r="M110" s="23"/>
      <c r="N110" s="23"/>
      <c r="O110" s="23"/>
      <c r="P110" s="4"/>
      <c r="Q110" s="23"/>
      <c r="R110" s="23"/>
      <c r="S110" s="23"/>
      <c r="T110" s="4"/>
      <c r="U110" s="4"/>
      <c r="V110" s="4"/>
    </row>
    <row r="111" spans="1:22" x14ac:dyDescent="0.2">
      <c r="A111" s="774"/>
      <c r="B111" s="4"/>
      <c r="C111" s="23"/>
      <c r="D111" s="23"/>
      <c r="E111" s="23"/>
      <c r="F111" s="23"/>
      <c r="G111" s="23"/>
      <c r="H111" s="23"/>
      <c r="I111" s="23"/>
      <c r="J111" s="23"/>
      <c r="K111" s="23"/>
      <c r="L111" s="23"/>
      <c r="M111" s="23"/>
      <c r="N111" s="23"/>
      <c r="O111" s="23"/>
      <c r="P111" s="4"/>
      <c r="Q111" s="23"/>
      <c r="R111" s="23"/>
      <c r="S111" s="23"/>
      <c r="T111" s="4"/>
      <c r="U111" s="4"/>
      <c r="V111" s="4"/>
    </row>
    <row r="112" spans="1:22" x14ac:dyDescent="0.2">
      <c r="A112" s="774"/>
      <c r="B112" s="4"/>
      <c r="C112" s="23"/>
      <c r="D112" s="23"/>
      <c r="E112" s="23"/>
      <c r="F112" s="23"/>
      <c r="G112" s="23"/>
      <c r="H112" s="23"/>
      <c r="I112" s="23"/>
      <c r="J112" s="23"/>
      <c r="K112" s="23"/>
      <c r="L112" s="23"/>
      <c r="M112" s="23"/>
      <c r="N112" s="23"/>
      <c r="O112" s="23"/>
      <c r="P112" s="4"/>
      <c r="Q112" s="23"/>
      <c r="R112" s="23"/>
      <c r="S112" s="23"/>
      <c r="T112" s="4"/>
      <c r="U112" s="4"/>
      <c r="V112" s="4"/>
    </row>
    <row r="113" spans="1:22" x14ac:dyDescent="0.2">
      <c r="A113" s="774"/>
      <c r="B113" s="4"/>
      <c r="C113" s="23"/>
      <c r="D113" s="23"/>
      <c r="E113" s="23"/>
      <c r="F113" s="23"/>
      <c r="G113" s="23"/>
      <c r="H113" s="23"/>
      <c r="I113" s="23"/>
      <c r="J113" s="23"/>
      <c r="K113" s="23"/>
      <c r="L113" s="23"/>
      <c r="M113" s="23"/>
      <c r="N113" s="23"/>
      <c r="O113" s="23"/>
      <c r="P113" s="4"/>
      <c r="Q113" s="23"/>
      <c r="R113" s="23"/>
      <c r="S113" s="23"/>
      <c r="T113" s="4"/>
      <c r="U113" s="4"/>
      <c r="V113" s="4"/>
    </row>
    <row r="114" spans="1:22" x14ac:dyDescent="0.2">
      <c r="A114" s="774"/>
      <c r="B114" s="4"/>
      <c r="C114" s="23"/>
      <c r="D114" s="23"/>
      <c r="E114" s="23"/>
      <c r="F114" s="23"/>
      <c r="G114" s="23"/>
      <c r="H114" s="23"/>
      <c r="I114" s="23"/>
      <c r="J114" s="23"/>
      <c r="K114" s="23"/>
      <c r="L114" s="23"/>
      <c r="M114" s="23"/>
      <c r="N114" s="23"/>
      <c r="O114" s="23"/>
      <c r="P114" s="4"/>
      <c r="Q114" s="23"/>
      <c r="R114" s="23"/>
      <c r="S114" s="23"/>
      <c r="T114" s="4"/>
      <c r="U114" s="4"/>
      <c r="V114" s="4"/>
    </row>
    <row r="115" spans="1:22" x14ac:dyDescent="0.2">
      <c r="A115" s="774"/>
      <c r="B115" s="4"/>
      <c r="C115" s="23"/>
      <c r="D115" s="23"/>
      <c r="E115" s="23"/>
      <c r="F115" s="23"/>
      <c r="G115" s="23"/>
      <c r="H115" s="23"/>
      <c r="I115" s="23"/>
      <c r="J115" s="23"/>
      <c r="K115" s="23"/>
      <c r="L115" s="23"/>
      <c r="M115" s="23"/>
      <c r="N115" s="23"/>
      <c r="O115" s="23"/>
      <c r="P115" s="4"/>
      <c r="Q115" s="23"/>
      <c r="R115" s="23"/>
      <c r="S115" s="23"/>
      <c r="T115" s="4"/>
      <c r="U115" s="4"/>
      <c r="V115" s="4"/>
    </row>
    <row r="116" spans="1:22" x14ac:dyDescent="0.2">
      <c r="C116" s="212"/>
      <c r="D116" s="212"/>
      <c r="E116" s="212"/>
      <c r="F116" s="212"/>
      <c r="G116" s="212"/>
      <c r="H116" s="212"/>
      <c r="I116" s="212"/>
      <c r="J116" s="212"/>
      <c r="K116" s="212"/>
      <c r="L116" s="212"/>
      <c r="M116" s="212"/>
      <c r="N116" s="212"/>
      <c r="O116" s="212"/>
    </row>
    <row r="117" spans="1:22" x14ac:dyDescent="0.2">
      <c r="C117" s="212"/>
    </row>
    <row r="118" spans="1:22" x14ac:dyDescent="0.2">
      <c r="C118" s="212"/>
    </row>
    <row r="119" spans="1:22" x14ac:dyDescent="0.2">
      <c r="C119" s="212"/>
    </row>
    <row r="120" spans="1:22" x14ac:dyDescent="0.2">
      <c r="C120" s="212"/>
    </row>
    <row r="121" spans="1:22" x14ac:dyDescent="0.2">
      <c r="C121" s="212"/>
    </row>
    <row r="122" spans="1:22" x14ac:dyDescent="0.2">
      <c r="C122" s="212"/>
    </row>
    <row r="123" spans="1:22" x14ac:dyDescent="0.2">
      <c r="C123" s="212"/>
    </row>
    <row r="124" spans="1:22" x14ac:dyDescent="0.2">
      <c r="C124" s="212"/>
    </row>
    <row r="125" spans="1:22" x14ac:dyDescent="0.2">
      <c r="C125" s="212"/>
    </row>
    <row r="126" spans="1:22" x14ac:dyDescent="0.2">
      <c r="C126" s="212"/>
    </row>
    <row r="127" spans="1:22" x14ac:dyDescent="0.2">
      <c r="C127" s="212"/>
    </row>
    <row r="128" spans="1:22" x14ac:dyDescent="0.2">
      <c r="C128" s="212"/>
    </row>
    <row r="129" spans="3:3" x14ac:dyDescent="0.2">
      <c r="C129" s="212"/>
    </row>
    <row r="130" spans="3:3" x14ac:dyDescent="0.2">
      <c r="C130" s="212"/>
    </row>
    <row r="131" spans="3:3" x14ac:dyDescent="0.2">
      <c r="C131" s="212"/>
    </row>
    <row r="132" spans="3:3" x14ac:dyDescent="0.2">
      <c r="C132" s="212"/>
    </row>
    <row r="133" spans="3:3" x14ac:dyDescent="0.2">
      <c r="C133" s="212"/>
    </row>
    <row r="134" spans="3:3" x14ac:dyDescent="0.2">
      <c r="C134" s="212"/>
    </row>
    <row r="135" spans="3:3" x14ac:dyDescent="0.2">
      <c r="C135" s="212"/>
    </row>
    <row r="136" spans="3:3" x14ac:dyDescent="0.2">
      <c r="C136" s="212"/>
    </row>
    <row r="137" spans="3:3" x14ac:dyDescent="0.2">
      <c r="C137" s="212"/>
    </row>
    <row r="138" spans="3:3" x14ac:dyDescent="0.2">
      <c r="C138" s="212"/>
    </row>
    <row r="139" spans="3:3" x14ac:dyDescent="0.2">
      <c r="C139" s="212"/>
    </row>
    <row r="140" spans="3:3" x14ac:dyDescent="0.2">
      <c r="C140" s="212"/>
    </row>
    <row r="141" spans="3:3" x14ac:dyDescent="0.2">
      <c r="C141" s="212"/>
    </row>
    <row r="142" spans="3:3" x14ac:dyDescent="0.2">
      <c r="C142" s="212"/>
    </row>
    <row r="143" spans="3:3" x14ac:dyDescent="0.2">
      <c r="C143" s="212"/>
    </row>
    <row r="144" spans="3:3" x14ac:dyDescent="0.2">
      <c r="C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row r="156" spans="3:3" x14ac:dyDescent="0.2">
      <c r="C156" s="212"/>
    </row>
    <row r="157" spans="3:3" x14ac:dyDescent="0.2">
      <c r="C157" s="212"/>
    </row>
    <row r="158" spans="3:3" x14ac:dyDescent="0.2">
      <c r="C158" s="212"/>
    </row>
    <row r="159" spans="3:3" x14ac:dyDescent="0.2">
      <c r="C159" s="212"/>
    </row>
    <row r="160" spans="3:3" x14ac:dyDescent="0.2">
      <c r="C160" s="212"/>
    </row>
    <row r="161" spans="3:3" x14ac:dyDescent="0.2">
      <c r="C161" s="212"/>
    </row>
    <row r="162" spans="3:3" x14ac:dyDescent="0.2">
      <c r="C162" s="212"/>
    </row>
    <row r="163" spans="3:3" x14ac:dyDescent="0.2">
      <c r="C163" s="212"/>
    </row>
    <row r="164" spans="3:3" x14ac:dyDescent="0.2">
      <c r="C164" s="212"/>
    </row>
  </sheetData>
  <phoneticPr fontId="0" type="noConversion"/>
  <hyperlinks>
    <hyperlink ref="A1" location="'Working Budget with funding det'!A1" display="Main " xr:uid="{00000000-0004-0000-3A00-000000000000}"/>
    <hyperlink ref="B1" location="'Table of Contents'!A1" display="TOC" xr:uid="{00000000-0004-0000-3A00-000001000000}"/>
  </hyperlinks>
  <pageMargins left="0.75" right="0.75" top="1" bottom="1" header="0.5" footer="0.5"/>
  <pageSetup scale="92" fitToHeight="2" orientation="landscape" r:id="rId1"/>
  <headerFooter alignWithMargins="0">
    <oddFooter>&amp;L&amp;D     &amp;T&amp;C&amp;F&amp;R&amp;A</oddFooter>
  </headerFooter>
  <rowBreaks count="1" manualBreakCount="1">
    <brk id="33" max="16"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B050"/>
    <pageSetUpPr fitToPage="1"/>
  </sheetPr>
  <dimension ref="A1:AY155"/>
  <sheetViews>
    <sheetView topLeftCell="A23" workbookViewId="0">
      <selection activeCell="P15" sqref="P15"/>
    </sheetView>
  </sheetViews>
  <sheetFormatPr defaultRowHeight="12.75" x14ac:dyDescent="0.2"/>
  <cols>
    <col min="1" max="1" width="14.5" style="783" customWidth="1"/>
    <col min="2" max="2" width="36.6640625" customWidth="1"/>
    <col min="3" max="3" width="14.5" style="1" hidden="1" customWidth="1"/>
    <col min="4" max="12" width="14.5" style="106" hidden="1" customWidth="1"/>
    <col min="13" max="15" width="14.5" style="106" customWidth="1"/>
    <col min="16" max="16" width="14.5" customWidth="1"/>
    <col min="17" max="19" width="14.5" style="1" customWidth="1"/>
    <col min="20" max="20" width="14.5" customWidth="1"/>
    <col min="21" max="23" width="11.33203125" hidden="1" customWidth="1"/>
    <col min="24" max="50" width="11.33203125" customWidth="1"/>
    <col min="51" max="51" width="10.5" bestFit="1" customWidth="1"/>
  </cols>
  <sheetData>
    <row r="1" spans="1:50" x14ac:dyDescent="0.2">
      <c r="A1" s="772" t="s">
        <v>847</v>
      </c>
      <c r="B1" s="308" t="s">
        <v>197</v>
      </c>
      <c r="D1" s="212"/>
      <c r="E1" s="212"/>
      <c r="F1" s="212"/>
      <c r="G1" s="212"/>
      <c r="H1" s="212"/>
      <c r="I1" s="212"/>
      <c r="J1" s="212"/>
      <c r="K1" s="212"/>
      <c r="L1" s="212"/>
      <c r="M1" s="212"/>
      <c r="N1" s="212"/>
      <c r="O1" s="212"/>
      <c r="S1"/>
    </row>
    <row r="2" spans="1:50" ht="15" x14ac:dyDescent="0.25">
      <c r="A2" s="773" t="s">
        <v>1668</v>
      </c>
      <c r="B2" s="43"/>
      <c r="D2" s="212"/>
      <c r="E2" s="126"/>
      <c r="F2" s="212"/>
      <c r="G2" s="212"/>
      <c r="H2" s="212"/>
      <c r="I2" s="126" t="s">
        <v>816</v>
      </c>
      <c r="J2" s="126"/>
      <c r="K2" s="126"/>
      <c r="L2" s="126"/>
      <c r="M2" s="126"/>
      <c r="N2" s="126"/>
      <c r="O2" s="126"/>
      <c r="P2" s="58" t="s">
        <v>675</v>
      </c>
      <c r="S2" s="44" t="s">
        <v>1740</v>
      </c>
    </row>
    <row r="3" spans="1:50" ht="13.5" thickBot="1" x14ac:dyDescent="0.25">
      <c r="A3" s="774"/>
      <c r="B3" s="4"/>
      <c r="C3" s="23"/>
      <c r="D3" s="23"/>
      <c r="E3" s="23"/>
      <c r="F3" s="23"/>
      <c r="G3" s="23"/>
      <c r="H3" s="23"/>
      <c r="I3" s="23"/>
      <c r="J3" s="23"/>
      <c r="K3" s="23"/>
      <c r="L3" s="23"/>
      <c r="M3" s="23"/>
      <c r="N3" s="23"/>
      <c r="O3" s="23"/>
      <c r="P3" s="4"/>
      <c r="Q3" s="23"/>
      <c r="R3" s="23"/>
      <c r="S3" s="4"/>
    </row>
    <row r="4" spans="1:50" ht="13.5" thickTop="1" x14ac:dyDescent="0.2">
      <c r="A4" s="775"/>
      <c r="B4" s="542"/>
      <c r="C4" s="114" t="s">
        <v>280</v>
      </c>
      <c r="D4" s="230" t="s">
        <v>280</v>
      </c>
      <c r="E4" s="230" t="s">
        <v>280</v>
      </c>
      <c r="F4" s="230" t="s">
        <v>280</v>
      </c>
      <c r="G4" s="230" t="s">
        <v>280</v>
      </c>
      <c r="H4" s="104" t="s">
        <v>280</v>
      </c>
      <c r="I4" s="246" t="s">
        <v>280</v>
      </c>
      <c r="J4" s="246" t="s">
        <v>280</v>
      </c>
      <c r="K4" s="246" t="s">
        <v>279</v>
      </c>
      <c r="L4" s="246" t="s">
        <v>280</v>
      </c>
      <c r="M4" s="246" t="s">
        <v>279</v>
      </c>
      <c r="N4" s="246" t="s">
        <v>280</v>
      </c>
      <c r="O4" s="246" t="s">
        <v>279</v>
      </c>
      <c r="P4" s="104" t="s">
        <v>818</v>
      </c>
      <c r="Q4" s="79" t="s">
        <v>571</v>
      </c>
      <c r="R4" s="79" t="s">
        <v>571</v>
      </c>
      <c r="S4" s="7" t="s">
        <v>571</v>
      </c>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row>
    <row r="5" spans="1:50" x14ac:dyDescent="0.2">
      <c r="A5" s="776"/>
      <c r="B5" s="202"/>
      <c r="C5" s="113"/>
      <c r="D5" s="82"/>
      <c r="E5" s="105"/>
      <c r="F5" s="82"/>
      <c r="G5" s="82"/>
      <c r="H5" s="105"/>
      <c r="I5" s="247"/>
      <c r="J5" s="247"/>
      <c r="K5" s="247"/>
      <c r="L5" s="247"/>
      <c r="M5" s="247"/>
      <c r="N5" s="247"/>
      <c r="O5" s="247"/>
      <c r="P5" s="105" t="s">
        <v>819</v>
      </c>
      <c r="Q5" s="83" t="s">
        <v>820</v>
      </c>
      <c r="R5" s="83" t="s">
        <v>821</v>
      </c>
      <c r="S5" s="196" t="s">
        <v>822</v>
      </c>
      <c r="U5" s="45" t="s">
        <v>275</v>
      </c>
      <c r="V5" s="45" t="s">
        <v>276</v>
      </c>
      <c r="W5" s="45" t="s">
        <v>277</v>
      </c>
      <c r="X5" s="45" t="s">
        <v>571</v>
      </c>
      <c r="Y5" s="45" t="s">
        <v>1508</v>
      </c>
      <c r="Z5" s="45" t="s">
        <v>1509</v>
      </c>
      <c r="AA5" s="45" t="s">
        <v>1510</v>
      </c>
      <c r="AB5" s="45" t="s">
        <v>1511</v>
      </c>
      <c r="AC5" s="45" t="s">
        <v>1512</v>
      </c>
      <c r="AD5" s="45" t="s">
        <v>1513</v>
      </c>
      <c r="AE5" s="45" t="s">
        <v>1514</v>
      </c>
      <c r="AF5" s="45" t="s">
        <v>1515</v>
      </c>
      <c r="AG5" s="45" t="s">
        <v>1516</v>
      </c>
      <c r="AH5" s="45" t="s">
        <v>1517</v>
      </c>
      <c r="AI5" s="45" t="s">
        <v>1518</v>
      </c>
      <c r="AJ5" s="45" t="s">
        <v>1519</v>
      </c>
      <c r="AK5" s="45" t="s">
        <v>1520</v>
      </c>
      <c r="AL5" s="45" t="s">
        <v>1521</v>
      </c>
      <c r="AM5" s="45" t="s">
        <v>1522</v>
      </c>
      <c r="AN5" s="45" t="s">
        <v>1523</v>
      </c>
      <c r="AO5" s="45" t="s">
        <v>1524</v>
      </c>
      <c r="AP5" s="45" t="s">
        <v>1525</v>
      </c>
      <c r="AQ5" s="45" t="s">
        <v>1526</v>
      </c>
      <c r="AR5" s="45" t="s">
        <v>1527</v>
      </c>
      <c r="AS5" s="45" t="s">
        <v>1528</v>
      </c>
      <c r="AT5" s="45" t="s">
        <v>1529</v>
      </c>
      <c r="AU5" s="45" t="s">
        <v>1530</v>
      </c>
      <c r="AV5" s="45" t="s">
        <v>1531</v>
      </c>
      <c r="AW5" s="45" t="s">
        <v>1532</v>
      </c>
      <c r="AX5" s="45" t="s">
        <v>1533</v>
      </c>
    </row>
    <row r="6" spans="1:50" x14ac:dyDescent="0.2">
      <c r="A6" s="776"/>
      <c r="B6" s="202"/>
      <c r="C6" s="113"/>
      <c r="D6" s="113"/>
      <c r="E6" s="113"/>
      <c r="F6" s="113"/>
      <c r="G6" s="113"/>
      <c r="H6" s="113"/>
      <c r="I6" s="83"/>
      <c r="J6" s="83"/>
      <c r="K6" s="83"/>
      <c r="L6" s="83"/>
      <c r="M6" s="83"/>
      <c r="N6" s="83"/>
      <c r="O6" s="83"/>
      <c r="P6" s="113"/>
      <c r="Q6" s="83" t="s">
        <v>823</v>
      </c>
      <c r="R6" s="83" t="s">
        <v>585</v>
      </c>
      <c r="S6" s="45" t="s">
        <v>824</v>
      </c>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row>
    <row r="7" spans="1:50" ht="13.5" thickBot="1" x14ac:dyDescent="0.25">
      <c r="A7" s="777" t="s">
        <v>825</v>
      </c>
      <c r="B7" s="78"/>
      <c r="C7" s="260" t="s">
        <v>267</v>
      </c>
      <c r="D7" s="260" t="s">
        <v>268</v>
      </c>
      <c r="E7" s="9" t="s">
        <v>269</v>
      </c>
      <c r="F7" s="9" t="s">
        <v>566</v>
      </c>
      <c r="G7" s="9" t="s">
        <v>567</v>
      </c>
      <c r="H7" s="9" t="s">
        <v>272</v>
      </c>
      <c r="I7" s="9" t="s">
        <v>273</v>
      </c>
      <c r="J7" s="9" t="s">
        <v>570</v>
      </c>
      <c r="K7" s="9" t="s">
        <v>275</v>
      </c>
      <c r="L7" s="9" t="s">
        <v>275</v>
      </c>
      <c r="M7" s="9" t="s">
        <v>276</v>
      </c>
      <c r="N7" s="9" t="s">
        <v>276</v>
      </c>
      <c r="O7" s="9" t="s">
        <v>277</v>
      </c>
      <c r="P7" s="121">
        <v>44926</v>
      </c>
      <c r="Q7" s="9" t="s">
        <v>826</v>
      </c>
      <c r="R7" s="9"/>
      <c r="S7" s="9" t="s">
        <v>585</v>
      </c>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row>
    <row r="8" spans="1:50" ht="14.25" thickTop="1" thickBot="1" x14ac:dyDescent="0.25">
      <c r="A8" s="796"/>
      <c r="B8" s="91" t="s">
        <v>1534</v>
      </c>
      <c r="C8" s="118"/>
      <c r="D8" s="18"/>
      <c r="E8" s="18"/>
      <c r="F8" s="18"/>
      <c r="G8" s="18"/>
      <c r="H8" s="18"/>
      <c r="I8" s="19"/>
      <c r="J8" s="19"/>
      <c r="K8" s="19"/>
      <c r="L8" s="19"/>
      <c r="M8" s="19"/>
      <c r="N8" s="19"/>
      <c r="O8" s="19"/>
      <c r="P8" s="18"/>
      <c r="Q8" s="19"/>
      <c r="R8" s="19"/>
      <c r="S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row>
    <row r="9" spans="1:50" x14ac:dyDescent="0.2">
      <c r="A9" s="779" t="s">
        <v>1741</v>
      </c>
      <c r="B9" s="60" t="s">
        <v>1742</v>
      </c>
      <c r="C9" s="228">
        <v>30000</v>
      </c>
      <c r="D9" s="218">
        <v>30000</v>
      </c>
      <c r="E9" s="218">
        <v>30000</v>
      </c>
      <c r="F9" s="218">
        <v>30000</v>
      </c>
      <c r="G9" s="218">
        <v>30000</v>
      </c>
      <c r="H9" s="218">
        <v>30000</v>
      </c>
      <c r="I9" s="218">
        <v>30000</v>
      </c>
      <c r="J9" s="218">
        <v>30000</v>
      </c>
      <c r="K9" s="36">
        <v>25000</v>
      </c>
      <c r="L9" s="218">
        <v>25000</v>
      </c>
      <c r="M9" s="36">
        <v>25000</v>
      </c>
      <c r="N9" s="218">
        <v>25000</v>
      </c>
      <c r="O9" s="36">
        <v>25000</v>
      </c>
      <c r="P9" s="35"/>
      <c r="Q9" s="36">
        <f>+X9</f>
        <v>0</v>
      </c>
      <c r="R9" s="36"/>
      <c r="S9" s="36"/>
      <c r="U9" s="36">
        <v>25000</v>
      </c>
      <c r="V9" s="36">
        <v>25000</v>
      </c>
      <c r="W9" s="36">
        <v>25000</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row>
    <row r="10" spans="1:50" x14ac:dyDescent="0.2">
      <c r="A10" s="779" t="s">
        <v>1743</v>
      </c>
      <c r="B10" s="60" t="s">
        <v>1744</v>
      </c>
      <c r="C10" s="228">
        <v>5000</v>
      </c>
      <c r="D10" s="218">
        <v>5000</v>
      </c>
      <c r="E10" s="218">
        <v>5000</v>
      </c>
      <c r="F10" s="218">
        <v>5000</v>
      </c>
      <c r="G10" s="218">
        <v>5000</v>
      </c>
      <c r="H10" s="218">
        <v>5000</v>
      </c>
      <c r="I10" s="218">
        <v>5000</v>
      </c>
      <c r="J10" s="218">
        <v>5000</v>
      </c>
      <c r="K10" s="36">
        <v>5000</v>
      </c>
      <c r="L10" s="218">
        <v>5000</v>
      </c>
      <c r="M10" s="36">
        <v>5000</v>
      </c>
      <c r="N10" s="218">
        <v>5000</v>
      </c>
      <c r="O10" s="36">
        <v>0</v>
      </c>
      <c r="P10" s="35"/>
      <c r="Q10" s="36">
        <f t="shared" ref="Q10:Q25" si="0">+X10</f>
        <v>0</v>
      </c>
      <c r="R10" s="36"/>
      <c r="S10" s="36"/>
      <c r="U10" s="36">
        <v>5000</v>
      </c>
      <c r="V10" s="36">
        <v>5000</v>
      </c>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row>
    <row r="11" spans="1:50" hidden="1" x14ac:dyDescent="0.2">
      <c r="A11" s="779" t="s">
        <v>1745</v>
      </c>
      <c r="B11" s="60" t="s">
        <v>1746</v>
      </c>
      <c r="C11" s="228">
        <v>14298.8</v>
      </c>
      <c r="D11" s="218">
        <v>14862.59</v>
      </c>
      <c r="E11" s="218">
        <v>15466.36</v>
      </c>
      <c r="F11" s="218">
        <v>14862.59</v>
      </c>
      <c r="G11" s="218">
        <v>14862.59</v>
      </c>
      <c r="H11" s="218">
        <v>5166.82</v>
      </c>
      <c r="I11" s="218">
        <v>0</v>
      </c>
      <c r="J11" s="218"/>
      <c r="K11" s="36"/>
      <c r="L11" s="218"/>
      <c r="M11" s="36"/>
      <c r="N11" s="218"/>
      <c r="O11" s="36"/>
      <c r="P11" s="35"/>
      <c r="Q11" s="36">
        <f t="shared" si="0"/>
        <v>0</v>
      </c>
      <c r="R11" s="36"/>
      <c r="S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row>
    <row r="12" spans="1:50" x14ac:dyDescent="0.2">
      <c r="A12" s="779" t="s">
        <v>1747</v>
      </c>
      <c r="B12" s="60" t="s">
        <v>1748</v>
      </c>
      <c r="C12" s="228">
        <v>25000</v>
      </c>
      <c r="D12" s="218">
        <f>15000+5000</f>
        <v>20000</v>
      </c>
      <c r="E12" s="218">
        <v>15000</v>
      </c>
      <c r="F12" s="218">
        <v>15000</v>
      </c>
      <c r="G12" s="218">
        <v>15000</v>
      </c>
      <c r="H12" s="218">
        <v>15000</v>
      </c>
      <c r="I12" s="218">
        <f>10000+5000</f>
        <v>15000</v>
      </c>
      <c r="J12" s="218">
        <v>15000</v>
      </c>
      <c r="K12" s="36">
        <v>15000</v>
      </c>
      <c r="L12" s="218">
        <v>15000</v>
      </c>
      <c r="M12" s="36">
        <v>10000</v>
      </c>
      <c r="N12" s="218">
        <v>10000</v>
      </c>
      <c r="O12" s="36">
        <v>10000</v>
      </c>
      <c r="P12" s="35">
        <v>10000</v>
      </c>
      <c r="Q12" s="36">
        <f t="shared" si="0"/>
        <v>10000</v>
      </c>
      <c r="R12" s="36"/>
      <c r="S12" s="36"/>
      <c r="U12" s="36">
        <v>15000</v>
      </c>
      <c r="V12" s="36">
        <v>10000</v>
      </c>
      <c r="W12" s="36">
        <v>10000</v>
      </c>
      <c r="X12" s="36">
        <v>10000</v>
      </c>
      <c r="Y12" s="36">
        <v>10000</v>
      </c>
      <c r="Z12" s="36">
        <v>10000</v>
      </c>
      <c r="AA12" s="36">
        <v>10000</v>
      </c>
      <c r="AB12" s="36"/>
      <c r="AC12" s="36"/>
      <c r="AD12" s="36"/>
      <c r="AE12" s="36"/>
      <c r="AF12" s="36"/>
      <c r="AG12" s="36"/>
      <c r="AH12" s="36"/>
      <c r="AI12" s="36"/>
      <c r="AJ12" s="36"/>
      <c r="AK12" s="36"/>
      <c r="AL12" s="36"/>
      <c r="AM12" s="36"/>
      <c r="AN12" s="36"/>
      <c r="AO12" s="36"/>
      <c r="AP12" s="36"/>
      <c r="AQ12" s="36"/>
      <c r="AR12" s="36"/>
      <c r="AS12" s="36"/>
      <c r="AT12" s="36"/>
      <c r="AU12" s="36"/>
      <c r="AV12" s="36"/>
      <c r="AW12" s="36"/>
      <c r="AX12" s="36"/>
    </row>
    <row r="13" spans="1:50" x14ac:dyDescent="0.2">
      <c r="A13" s="779" t="s">
        <v>1749</v>
      </c>
      <c r="B13" s="60" t="s">
        <v>1538</v>
      </c>
      <c r="C13" s="228">
        <v>26122.2</v>
      </c>
      <c r="D13" s="218">
        <v>26649.599999999999</v>
      </c>
      <c r="E13" s="218">
        <v>27187.8</v>
      </c>
      <c r="F13" s="218">
        <v>27737.4</v>
      </c>
      <c r="G13" s="218">
        <v>28297.8</v>
      </c>
      <c r="H13" s="218">
        <v>28869</v>
      </c>
      <c r="I13" s="218">
        <v>29452.2</v>
      </c>
      <c r="J13" s="218">
        <v>30047.4</v>
      </c>
      <c r="K13" s="36">
        <v>31141</v>
      </c>
      <c r="L13" s="218">
        <v>30654.6</v>
      </c>
      <c r="M13" s="36">
        <v>31274</v>
      </c>
      <c r="N13" s="218">
        <v>31273.8</v>
      </c>
      <c r="O13" s="36">
        <v>31906</v>
      </c>
      <c r="P13" s="218">
        <v>31905.599999999999</v>
      </c>
      <c r="Q13" s="36">
        <f t="shared" si="0"/>
        <v>32550</v>
      </c>
      <c r="R13" s="36"/>
      <c r="S13" s="36"/>
      <c r="U13" s="36">
        <f>+'Split Debt Service'!G35</f>
        <v>31141</v>
      </c>
      <c r="V13" s="36">
        <f>ROUND((+'Split Debt Service'!H35),0)</f>
        <v>31274</v>
      </c>
      <c r="W13" s="36">
        <f>+'Split Debt Service'!I35</f>
        <v>31906</v>
      </c>
      <c r="X13" s="36">
        <f>+'Split Debt Service'!J35</f>
        <v>32550</v>
      </c>
      <c r="Y13" s="36">
        <f>+'Split Debt Service'!K35</f>
        <v>33208</v>
      </c>
      <c r="Z13" s="36">
        <f>+'Split Debt Service'!L35</f>
        <v>33878</v>
      </c>
      <c r="AA13" s="36">
        <f>+'Split Debt Service'!M35</f>
        <v>34563</v>
      </c>
      <c r="AB13" s="36">
        <f>+'Split Debt Service'!N35</f>
        <v>0</v>
      </c>
      <c r="AC13" s="36">
        <f>+'Split Debt Service'!O35</f>
        <v>0</v>
      </c>
      <c r="AD13" s="36">
        <f>+'Split Debt Service'!P35</f>
        <v>0</v>
      </c>
      <c r="AE13" s="36">
        <f>+'Split Debt Service'!Q35</f>
        <v>0</v>
      </c>
      <c r="AF13" s="36">
        <f>+'Split Debt Service'!R35</f>
        <v>0</v>
      </c>
      <c r="AG13" s="36">
        <f>+'Split Debt Service'!S35</f>
        <v>0</v>
      </c>
      <c r="AH13" s="36">
        <f>+'Split Debt Service'!T35</f>
        <v>0</v>
      </c>
      <c r="AI13" s="36">
        <f>+'Split Debt Service'!U35</f>
        <v>0</v>
      </c>
      <c r="AJ13" s="36">
        <f>+'Split Debt Service'!V35</f>
        <v>0</v>
      </c>
      <c r="AK13" s="36">
        <f>+'Split Debt Service'!W35</f>
        <v>0</v>
      </c>
      <c r="AL13" s="36">
        <f>+'Split Debt Service'!X35</f>
        <v>0</v>
      </c>
      <c r="AM13" s="36">
        <f>+'Split Debt Service'!Y35</f>
        <v>0</v>
      </c>
      <c r="AN13" s="36">
        <f>+'Split Debt Service'!Z35</f>
        <v>0</v>
      </c>
      <c r="AO13" s="36">
        <f>+'Split Debt Service'!AA35</f>
        <v>0</v>
      </c>
      <c r="AP13" s="36">
        <f>+'Split Debt Service'!AB35</f>
        <v>0</v>
      </c>
      <c r="AQ13" s="36">
        <f>+'Split Debt Service'!AC35</f>
        <v>0</v>
      </c>
      <c r="AR13" s="36">
        <f>+'Split Debt Service'!AD35</f>
        <v>0</v>
      </c>
      <c r="AS13" s="36">
        <f>+'Split Debt Service'!AE35</f>
        <v>0</v>
      </c>
      <c r="AT13" s="36">
        <f>+'Split Debt Service'!AF35</f>
        <v>0</v>
      </c>
      <c r="AU13" s="36">
        <f>+'Split Debt Service'!AG35</f>
        <v>0</v>
      </c>
      <c r="AV13" s="36">
        <f>+'Split Debt Service'!AH35</f>
        <v>0</v>
      </c>
      <c r="AW13" s="36">
        <f>+'Split Debt Service'!AI35</f>
        <v>0</v>
      </c>
      <c r="AX13" s="36">
        <f>+'Split Debt Service'!AJ35</f>
        <v>0</v>
      </c>
    </row>
    <row r="14" spans="1:50" x14ac:dyDescent="0.2">
      <c r="A14" s="779" t="s">
        <v>1750</v>
      </c>
      <c r="B14" s="60" t="s">
        <v>1539</v>
      </c>
      <c r="C14" s="228">
        <v>29077.200000000001</v>
      </c>
      <c r="D14" s="218">
        <v>29787.599999999999</v>
      </c>
      <c r="E14" s="218">
        <v>30515.4</v>
      </c>
      <c r="F14" s="218">
        <v>31261.200000000001</v>
      </c>
      <c r="G14" s="218">
        <v>32025</v>
      </c>
      <c r="H14" s="218">
        <v>32807.4</v>
      </c>
      <c r="I14" s="218">
        <v>33609.599999999999</v>
      </c>
      <c r="J14" s="218">
        <v>34430.400000000001</v>
      </c>
      <c r="K14" s="36">
        <v>35272</v>
      </c>
      <c r="L14" s="218">
        <v>35271.599999999999</v>
      </c>
      <c r="M14" s="36">
        <v>36134</v>
      </c>
      <c r="N14" s="218">
        <v>36133.800000000003</v>
      </c>
      <c r="O14" s="36">
        <v>37017</v>
      </c>
      <c r="P14" s="218">
        <v>37016.400000000001</v>
      </c>
      <c r="Q14" s="36">
        <f t="shared" si="0"/>
        <v>37921</v>
      </c>
      <c r="R14" s="36"/>
      <c r="S14" s="36"/>
      <c r="U14" s="36">
        <f>+'Split Debt Service'!G36</f>
        <v>35272</v>
      </c>
      <c r="V14" s="36">
        <f>ROUND((+'Split Debt Service'!H36),0)</f>
        <v>36134</v>
      </c>
      <c r="W14" s="36">
        <f>+'Split Debt Service'!I36</f>
        <v>37016</v>
      </c>
      <c r="X14" s="36">
        <f>+'Split Debt Service'!J36</f>
        <v>37921</v>
      </c>
      <c r="Y14" s="36">
        <f>+'Split Debt Service'!K36</f>
        <v>38848</v>
      </c>
      <c r="Z14" s="36">
        <f>+'Split Debt Service'!L36</f>
        <v>39797</v>
      </c>
      <c r="AA14" s="36">
        <f>+'Split Debt Service'!M36</f>
        <v>40769</v>
      </c>
      <c r="AB14" s="36">
        <f>+'Split Debt Service'!N36</f>
        <v>41765</v>
      </c>
      <c r="AC14" s="36">
        <f>+'Split Debt Service'!O36</f>
        <v>42786</v>
      </c>
      <c r="AD14" s="36">
        <f>+'Split Debt Service'!P36</f>
        <v>43832</v>
      </c>
      <c r="AE14" s="36">
        <f>+'Split Debt Service'!Q36</f>
        <v>44903</v>
      </c>
      <c r="AF14" s="36">
        <f>+'Split Debt Service'!R36</f>
        <v>46000</v>
      </c>
      <c r="AG14" s="36">
        <f>+'Split Debt Service'!S36</f>
        <v>47124</v>
      </c>
      <c r="AH14" s="36">
        <f>+'Split Debt Service'!T36</f>
        <v>48275</v>
      </c>
      <c r="AI14" s="36">
        <f>+'Split Debt Service'!U36</f>
        <v>49455</v>
      </c>
      <c r="AJ14" s="36">
        <f>+'Split Debt Service'!V36</f>
        <v>50663</v>
      </c>
      <c r="AK14" s="36">
        <f>+'Split Debt Service'!W36</f>
        <v>51901</v>
      </c>
      <c r="AL14" s="36">
        <f>+'Split Debt Service'!X36</f>
        <v>53170</v>
      </c>
      <c r="AM14" s="36">
        <f>+'Split Debt Service'!Y36</f>
        <v>0</v>
      </c>
      <c r="AN14" s="36">
        <f>+'Split Debt Service'!Z36</f>
        <v>0</v>
      </c>
      <c r="AO14" s="36">
        <f>+'Split Debt Service'!AA36</f>
        <v>0</v>
      </c>
      <c r="AP14" s="36">
        <f>+'Split Debt Service'!AB36</f>
        <v>0</v>
      </c>
      <c r="AQ14" s="36">
        <f>+'Split Debt Service'!AC36</f>
        <v>0</v>
      </c>
      <c r="AR14" s="36">
        <f>+'Split Debt Service'!AD36</f>
        <v>0</v>
      </c>
      <c r="AS14" s="36">
        <f>+'Split Debt Service'!AE36</f>
        <v>0</v>
      </c>
      <c r="AT14" s="36">
        <f>+'Split Debt Service'!AF36</f>
        <v>0</v>
      </c>
      <c r="AU14" s="36">
        <f>+'Split Debt Service'!AG36</f>
        <v>0</v>
      </c>
      <c r="AV14" s="36">
        <f>+'Split Debt Service'!AH36</f>
        <v>0</v>
      </c>
      <c r="AW14" s="36">
        <f>+'Split Debt Service'!AI36</f>
        <v>0</v>
      </c>
      <c r="AX14" s="36">
        <f>+'Split Debt Service'!AJ36</f>
        <v>0</v>
      </c>
    </row>
    <row r="15" spans="1:50" x14ac:dyDescent="0.2">
      <c r="A15" s="779" t="s">
        <v>1751</v>
      </c>
      <c r="B15" s="60" t="s">
        <v>1540</v>
      </c>
      <c r="C15" s="228">
        <v>8143.77</v>
      </c>
      <c r="D15" s="218">
        <v>8143.77</v>
      </c>
      <c r="E15" s="218">
        <v>8500.06</v>
      </c>
      <c r="F15" s="218">
        <v>8871.94</v>
      </c>
      <c r="G15" s="218">
        <v>9260.08</v>
      </c>
      <c r="H15" s="218">
        <v>9665.2099999999991</v>
      </c>
      <c r="I15" s="218">
        <v>10088.06</v>
      </c>
      <c r="J15" s="218">
        <v>10529.42</v>
      </c>
      <c r="K15" s="36">
        <v>12000</v>
      </c>
      <c r="L15" s="218">
        <v>12000</v>
      </c>
      <c r="M15" s="36">
        <v>12000</v>
      </c>
      <c r="N15" s="218">
        <v>12000</v>
      </c>
      <c r="O15" s="36">
        <v>12000</v>
      </c>
      <c r="P15" s="218"/>
      <c r="Q15" s="36">
        <f t="shared" si="0"/>
        <v>15000</v>
      </c>
      <c r="R15" s="36"/>
      <c r="S15" s="36"/>
      <c r="U15" s="36">
        <f>+'Split Debt Service'!G37</f>
        <v>12000</v>
      </c>
      <c r="V15" s="36">
        <f>ROUND((+'Split Debt Service'!H37),0)</f>
        <v>12000</v>
      </c>
      <c r="W15" s="36">
        <f>+'Split Debt Service'!I37</f>
        <v>12000</v>
      </c>
      <c r="X15" s="36">
        <f>+'Split Debt Service'!J37</f>
        <v>15000</v>
      </c>
      <c r="Y15" s="36">
        <f>+'Split Debt Service'!K37</f>
        <v>15000</v>
      </c>
      <c r="Z15" s="36">
        <f>+'Split Debt Service'!L37</f>
        <v>15000</v>
      </c>
      <c r="AA15" s="36">
        <f>+'Split Debt Service'!M37</f>
        <v>15000</v>
      </c>
      <c r="AB15" s="36">
        <f>+'Split Debt Service'!N37</f>
        <v>18000</v>
      </c>
      <c r="AC15" s="36">
        <f>+'Split Debt Service'!O37</f>
        <v>18000</v>
      </c>
      <c r="AD15" s="36">
        <f>+'Split Debt Service'!P37</f>
        <v>18000</v>
      </c>
      <c r="AE15" s="36">
        <f>+'Split Debt Service'!Q37</f>
        <v>21000</v>
      </c>
      <c r="AF15" s="36">
        <f>+'Split Debt Service'!R37</f>
        <v>21000</v>
      </c>
      <c r="AG15" s="36">
        <f>+'Split Debt Service'!S37</f>
        <v>21000</v>
      </c>
      <c r="AH15" s="36">
        <f>+'Split Debt Service'!T37</f>
        <v>21000</v>
      </c>
      <c r="AI15" s="36">
        <f>+'Split Debt Service'!U37</f>
        <v>21000</v>
      </c>
      <c r="AJ15" s="36">
        <f>+'Split Debt Service'!V37</f>
        <v>21000</v>
      </c>
      <c r="AK15" s="36">
        <f>+'Split Debt Service'!W37</f>
        <v>21000</v>
      </c>
      <c r="AL15" s="36">
        <f>+'Split Debt Service'!X37</f>
        <v>24000</v>
      </c>
      <c r="AM15" s="36">
        <f>+'Split Debt Service'!Y37</f>
        <v>24000</v>
      </c>
      <c r="AN15" s="36">
        <f>+'Split Debt Service'!Z37</f>
        <v>24000</v>
      </c>
      <c r="AO15" s="36">
        <f>+'Split Debt Service'!AA37</f>
        <v>24000</v>
      </c>
      <c r="AP15" s="36">
        <f>+'Split Debt Service'!AB37</f>
        <v>24000</v>
      </c>
      <c r="AQ15" s="36">
        <f>+'Split Debt Service'!AC37</f>
        <v>27000</v>
      </c>
      <c r="AR15" s="36">
        <f>+'Split Debt Service'!AD37</f>
        <v>27000</v>
      </c>
      <c r="AS15" s="36">
        <f>+'Split Debt Service'!AE37</f>
        <v>27000</v>
      </c>
      <c r="AT15" s="36">
        <f>+'Split Debt Service'!AF37</f>
        <v>0</v>
      </c>
      <c r="AU15" s="36">
        <f>+'Split Debt Service'!AG37</f>
        <v>0</v>
      </c>
      <c r="AV15" s="36">
        <f>+'Split Debt Service'!AH37</f>
        <v>0</v>
      </c>
      <c r="AW15" s="36">
        <f>+'Split Debt Service'!AI37</f>
        <v>0</v>
      </c>
      <c r="AX15" s="36">
        <f>+'Split Debt Service'!AJ37</f>
        <v>0</v>
      </c>
    </row>
    <row r="16" spans="1:50" x14ac:dyDescent="0.2">
      <c r="A16" s="779" t="s">
        <v>1752</v>
      </c>
      <c r="B16" s="60" t="s">
        <v>1541</v>
      </c>
      <c r="C16" s="228">
        <v>7219.2</v>
      </c>
      <c r="D16" s="218">
        <v>7517</v>
      </c>
      <c r="E16" s="218">
        <v>7827.38</v>
      </c>
      <c r="F16" s="218">
        <v>8150.26</v>
      </c>
      <c r="G16" s="218">
        <v>8486.4599999999991</v>
      </c>
      <c r="H16" s="218">
        <v>8836.51</v>
      </c>
      <c r="I16" s="218">
        <v>9201.0300000000007</v>
      </c>
      <c r="J16" s="218">
        <v>9580.57</v>
      </c>
      <c r="K16" s="36">
        <v>9976</v>
      </c>
      <c r="L16" s="218">
        <v>9975.77</v>
      </c>
      <c r="M16" s="36">
        <v>10388</v>
      </c>
      <c r="N16" s="218">
        <v>10387.280000000001</v>
      </c>
      <c r="O16" s="36">
        <v>10816</v>
      </c>
      <c r="P16" s="218">
        <v>10815.75</v>
      </c>
      <c r="Q16" s="36">
        <f t="shared" si="0"/>
        <v>11262</v>
      </c>
      <c r="R16" s="36"/>
      <c r="S16" s="36"/>
      <c r="U16" s="36">
        <f>+'Split Debt Service'!G38</f>
        <v>9976</v>
      </c>
      <c r="V16" s="36">
        <f>ROUND((+'Split Debt Service'!H38),0)</f>
        <v>10388</v>
      </c>
      <c r="W16" s="36">
        <f>+'Split Debt Service'!I38</f>
        <v>10816</v>
      </c>
      <c r="X16" s="36">
        <f>+'Split Debt Service'!J38</f>
        <v>11262</v>
      </c>
      <c r="Y16" s="36">
        <f>+'Split Debt Service'!K38</f>
        <v>11727</v>
      </c>
      <c r="Z16" s="36">
        <f>+'Split Debt Service'!L38</f>
        <v>12211</v>
      </c>
      <c r="AA16" s="36">
        <f>+'Split Debt Service'!M38</f>
        <v>12714</v>
      </c>
      <c r="AB16" s="36">
        <f>+'Split Debt Service'!N38</f>
        <v>13238</v>
      </c>
      <c r="AC16" s="36">
        <f>+'Split Debt Service'!O38</f>
        <v>13784</v>
      </c>
      <c r="AD16" s="36">
        <f>+'Split Debt Service'!P38</f>
        <v>14353</v>
      </c>
      <c r="AE16" s="36">
        <f>+'Split Debt Service'!Q38</f>
        <v>14945</v>
      </c>
      <c r="AF16" s="36">
        <f>+'Split Debt Service'!R38</f>
        <v>15562</v>
      </c>
      <c r="AG16" s="36">
        <f>+'Split Debt Service'!S38</f>
        <v>16204</v>
      </c>
      <c r="AH16" s="36">
        <f>+'Split Debt Service'!T38</f>
        <v>16872</v>
      </c>
      <c r="AI16" s="36">
        <f>+'Split Debt Service'!U38</f>
        <v>17568</v>
      </c>
      <c r="AJ16" s="36">
        <f>+'Split Debt Service'!V38</f>
        <v>18293</v>
      </c>
      <c r="AK16" s="36">
        <f>+'Split Debt Service'!W38</f>
        <v>19048</v>
      </c>
      <c r="AL16" s="36">
        <f>+'Split Debt Service'!X38</f>
        <v>19833</v>
      </c>
      <c r="AM16" s="36">
        <f>+'Split Debt Service'!Y38</f>
        <v>20651</v>
      </c>
      <c r="AN16" s="36">
        <f>+'Split Debt Service'!Z38</f>
        <v>21503</v>
      </c>
      <c r="AO16" s="36">
        <f>+'Split Debt Service'!AA38</f>
        <v>22390</v>
      </c>
      <c r="AP16" s="36">
        <f>+'Split Debt Service'!AB38</f>
        <v>23314</v>
      </c>
      <c r="AQ16" s="36">
        <f>+'Split Debt Service'!AC38</f>
        <v>24275</v>
      </c>
      <c r="AR16" s="36">
        <f>+'Split Debt Service'!AD38</f>
        <v>25277</v>
      </c>
      <c r="AS16" s="36">
        <f>+'Split Debt Service'!AE38</f>
        <v>26319</v>
      </c>
      <c r="AT16" s="36">
        <f>+'Split Debt Service'!AF38</f>
        <v>27405</v>
      </c>
      <c r="AU16" s="36">
        <f>+'Split Debt Service'!AG38</f>
        <v>28535</v>
      </c>
      <c r="AV16" s="36">
        <f>+'Split Debt Service'!AH38</f>
        <v>29528</v>
      </c>
      <c r="AW16" s="36">
        <f>+'Split Debt Service'!AI38</f>
        <v>0</v>
      </c>
      <c r="AX16" s="36">
        <f>+'Split Debt Service'!AJ38</f>
        <v>0</v>
      </c>
    </row>
    <row r="17" spans="1:51" hidden="1" x14ac:dyDescent="0.2">
      <c r="A17" s="779" t="s">
        <v>1753</v>
      </c>
      <c r="B17" s="60" t="s">
        <v>1754</v>
      </c>
      <c r="C17" s="116">
        <v>62002</v>
      </c>
      <c r="D17" s="218">
        <v>63829</v>
      </c>
      <c r="E17" s="218">
        <v>65775</v>
      </c>
      <c r="F17" s="218">
        <v>67796</v>
      </c>
      <c r="G17" s="218">
        <v>69879</v>
      </c>
      <c r="H17" s="218"/>
      <c r="I17" s="218">
        <v>0</v>
      </c>
      <c r="J17" s="218"/>
      <c r="K17" s="36"/>
      <c r="L17" s="218"/>
      <c r="M17" s="36"/>
      <c r="N17" s="218"/>
      <c r="O17" s="36"/>
      <c r="P17" s="35"/>
      <c r="Q17" s="36">
        <f t="shared" si="0"/>
        <v>0</v>
      </c>
      <c r="R17" s="36"/>
      <c r="S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row>
    <row r="18" spans="1:51" x14ac:dyDescent="0.2">
      <c r="A18" s="779" t="s">
        <v>1755</v>
      </c>
      <c r="B18" s="60" t="s">
        <v>1756</v>
      </c>
      <c r="C18" s="228"/>
      <c r="D18" s="35"/>
      <c r="E18" s="35">
        <v>65000</v>
      </c>
      <c r="F18" s="35">
        <v>55000</v>
      </c>
      <c r="G18" s="35">
        <v>55000</v>
      </c>
      <c r="H18" s="35"/>
      <c r="I18" s="35">
        <v>60000</v>
      </c>
      <c r="J18" s="35">
        <v>65000</v>
      </c>
      <c r="K18" s="36">
        <v>65000</v>
      </c>
      <c r="L18" s="35">
        <v>65000</v>
      </c>
      <c r="M18" s="36">
        <v>70000</v>
      </c>
      <c r="N18" s="35">
        <v>70000</v>
      </c>
      <c r="O18" s="36">
        <v>70000</v>
      </c>
      <c r="P18" s="35"/>
      <c r="Q18" s="36">
        <f t="shared" si="0"/>
        <v>75000</v>
      </c>
      <c r="R18" s="36"/>
      <c r="S18" s="36"/>
      <c r="U18" s="36">
        <v>65000</v>
      </c>
      <c r="V18" s="36">
        <v>70000</v>
      </c>
      <c r="W18" s="36">
        <v>70000</v>
      </c>
      <c r="X18" s="36">
        <v>75000</v>
      </c>
      <c r="Y18" s="36">
        <v>75000</v>
      </c>
      <c r="Z18" s="36">
        <v>80000</v>
      </c>
      <c r="AA18" s="36">
        <v>80000</v>
      </c>
      <c r="AB18" s="36">
        <v>85000</v>
      </c>
      <c r="AC18" s="36">
        <v>90000</v>
      </c>
      <c r="AD18" s="36">
        <v>90000</v>
      </c>
      <c r="AE18" s="36">
        <v>95000</v>
      </c>
      <c r="AF18" s="36">
        <v>100000</v>
      </c>
      <c r="AG18" s="36">
        <v>105000</v>
      </c>
      <c r="AH18" s="36">
        <v>110000</v>
      </c>
      <c r="AI18" s="36"/>
      <c r="AJ18" s="36"/>
      <c r="AK18" s="36"/>
      <c r="AL18" s="36"/>
      <c r="AM18" s="36"/>
      <c r="AN18" s="36"/>
      <c r="AO18" s="36"/>
      <c r="AP18" s="36"/>
      <c r="AQ18" s="36"/>
      <c r="AR18" s="36"/>
      <c r="AS18" s="36"/>
      <c r="AT18" s="36"/>
      <c r="AU18" s="36"/>
      <c r="AV18" s="36"/>
      <c r="AW18" s="36"/>
      <c r="AX18" s="36"/>
    </row>
    <row r="19" spans="1:51" x14ac:dyDescent="0.2">
      <c r="A19" s="779" t="s">
        <v>1757</v>
      </c>
      <c r="B19" s="12" t="s">
        <v>1758</v>
      </c>
      <c r="C19" s="35"/>
      <c r="D19" s="35"/>
      <c r="E19" s="35"/>
      <c r="F19" s="35"/>
      <c r="G19" s="35"/>
      <c r="H19" s="35">
        <v>60000</v>
      </c>
      <c r="I19" s="35">
        <v>0</v>
      </c>
      <c r="J19" s="35">
        <v>64036</v>
      </c>
      <c r="K19" s="36">
        <v>65428</v>
      </c>
      <c r="L19" s="35">
        <v>65428</v>
      </c>
      <c r="M19" s="36">
        <v>66850</v>
      </c>
      <c r="N19" s="35">
        <v>66850</v>
      </c>
      <c r="O19" s="36">
        <v>68302</v>
      </c>
      <c r="P19" s="35">
        <v>68302</v>
      </c>
      <c r="Q19" s="36">
        <f t="shared" si="0"/>
        <v>69787</v>
      </c>
      <c r="R19" s="36"/>
      <c r="S19" s="36"/>
      <c r="U19" s="36">
        <v>65428</v>
      </c>
      <c r="V19" s="36">
        <v>66850</v>
      </c>
      <c r="W19" s="36">
        <v>68302</v>
      </c>
      <c r="X19" s="36">
        <v>69787</v>
      </c>
      <c r="Y19" s="36">
        <v>71304</v>
      </c>
      <c r="Z19" s="36">
        <v>72853</v>
      </c>
      <c r="AA19" s="36">
        <v>74437</v>
      </c>
      <c r="AB19" s="36">
        <v>76054</v>
      </c>
      <c r="AC19" s="36">
        <v>77707</v>
      </c>
      <c r="AD19" s="36">
        <v>79396</v>
      </c>
      <c r="AE19" s="36">
        <v>81122</v>
      </c>
      <c r="AF19" s="36">
        <v>82855</v>
      </c>
      <c r="AG19" s="36">
        <v>84686</v>
      </c>
      <c r="AH19" s="36">
        <v>86527</v>
      </c>
      <c r="AI19" s="36">
        <v>88407</v>
      </c>
      <c r="AJ19" s="36">
        <v>90329</v>
      </c>
      <c r="AK19" s="36">
        <v>92292</v>
      </c>
      <c r="AL19" s="36">
        <v>94298</v>
      </c>
      <c r="AM19" s="36">
        <v>96347</v>
      </c>
      <c r="AN19" s="36"/>
      <c r="AO19" s="36"/>
      <c r="AP19" s="36"/>
      <c r="AQ19" s="36"/>
      <c r="AR19" s="36"/>
      <c r="AS19" s="36"/>
      <c r="AT19" s="36"/>
      <c r="AU19" s="36"/>
      <c r="AV19" s="36"/>
      <c r="AW19" s="36"/>
      <c r="AX19" s="36"/>
    </row>
    <row r="20" spans="1:51" x14ac:dyDescent="0.2">
      <c r="A20" s="779" t="s">
        <v>1759</v>
      </c>
      <c r="B20" s="12" t="s">
        <v>1760</v>
      </c>
      <c r="C20" s="35"/>
      <c r="D20" s="35"/>
      <c r="E20" s="35"/>
      <c r="F20" s="35"/>
      <c r="G20" s="35"/>
      <c r="H20" s="35"/>
      <c r="I20" s="35">
        <v>0</v>
      </c>
      <c r="J20" s="35">
        <v>2000</v>
      </c>
      <c r="K20" s="36">
        <v>4000</v>
      </c>
      <c r="L20" s="35">
        <v>4000</v>
      </c>
      <c r="M20" s="36">
        <v>4000</v>
      </c>
      <c r="N20" s="35">
        <v>4000</v>
      </c>
      <c r="O20" s="36">
        <v>5000</v>
      </c>
      <c r="P20" s="35">
        <v>5000</v>
      </c>
      <c r="Q20" s="36">
        <f t="shared" si="0"/>
        <v>5000</v>
      </c>
      <c r="R20" s="36"/>
      <c r="S20" s="36"/>
      <c r="U20" s="36">
        <v>4000</v>
      </c>
      <c r="V20" s="36">
        <v>4000</v>
      </c>
      <c r="W20" s="36">
        <v>5000</v>
      </c>
      <c r="X20" s="36">
        <v>5000</v>
      </c>
      <c r="Y20" s="36">
        <v>5000</v>
      </c>
      <c r="Z20" s="36">
        <v>5000</v>
      </c>
      <c r="AA20" s="36">
        <v>5000</v>
      </c>
      <c r="AB20" s="36">
        <v>5000</v>
      </c>
      <c r="AC20" s="36">
        <v>6000</v>
      </c>
      <c r="AD20" s="36">
        <v>6000</v>
      </c>
      <c r="AE20" s="36">
        <v>6000</v>
      </c>
      <c r="AF20" s="36">
        <v>6000</v>
      </c>
      <c r="AG20" s="36">
        <v>6000</v>
      </c>
      <c r="AH20" s="36">
        <v>7000</v>
      </c>
      <c r="AI20" s="36">
        <v>7000</v>
      </c>
      <c r="AJ20" s="36">
        <v>7000</v>
      </c>
      <c r="AK20" s="36">
        <v>7000</v>
      </c>
      <c r="AL20" s="36">
        <v>7000</v>
      </c>
      <c r="AM20" s="36">
        <v>8000</v>
      </c>
      <c r="AN20" s="36">
        <v>8000</v>
      </c>
      <c r="AO20" s="36">
        <v>8000</v>
      </c>
      <c r="AP20" s="36">
        <v>8000</v>
      </c>
      <c r="AQ20" s="36">
        <v>9000</v>
      </c>
      <c r="AR20" s="36">
        <v>8000</v>
      </c>
      <c r="AS20" s="36"/>
      <c r="AT20" s="36"/>
      <c r="AU20" s="36"/>
      <c r="AV20" s="36"/>
      <c r="AW20" s="36"/>
      <c r="AX20" s="36"/>
    </row>
    <row r="21" spans="1:51" x14ac:dyDescent="0.2">
      <c r="A21" s="779" t="s">
        <v>1761</v>
      </c>
      <c r="B21" s="12" t="s">
        <v>1762</v>
      </c>
      <c r="C21" s="35"/>
      <c r="D21" s="35"/>
      <c r="E21" s="35"/>
      <c r="F21" s="35"/>
      <c r="G21" s="35"/>
      <c r="H21" s="35"/>
      <c r="I21" s="35">
        <v>0</v>
      </c>
      <c r="J21" s="35">
        <v>5000</v>
      </c>
      <c r="K21" s="36">
        <v>10000</v>
      </c>
      <c r="L21" s="35">
        <v>10000</v>
      </c>
      <c r="M21" s="36">
        <v>10000</v>
      </c>
      <c r="N21" s="35">
        <v>10000</v>
      </c>
      <c r="O21" s="36">
        <v>11000</v>
      </c>
      <c r="P21" s="35">
        <v>11000</v>
      </c>
      <c r="Q21" s="36">
        <f t="shared" si="0"/>
        <v>12000</v>
      </c>
      <c r="R21" s="36"/>
      <c r="S21" s="36"/>
      <c r="U21" s="36">
        <v>10000</v>
      </c>
      <c r="V21" s="36">
        <v>10000</v>
      </c>
      <c r="W21" s="36">
        <v>11000</v>
      </c>
      <c r="X21" s="36">
        <v>12000</v>
      </c>
      <c r="Y21" s="36">
        <v>12000</v>
      </c>
      <c r="Z21" s="36">
        <v>12000</v>
      </c>
      <c r="AA21" s="36">
        <v>13000</v>
      </c>
      <c r="AB21" s="36">
        <v>13000</v>
      </c>
      <c r="AC21" s="36">
        <v>14000</v>
      </c>
      <c r="AD21" s="36">
        <v>14000</v>
      </c>
      <c r="AE21" s="36">
        <v>15000</v>
      </c>
      <c r="AF21" s="36">
        <v>15000</v>
      </c>
      <c r="AG21" s="36">
        <v>15000</v>
      </c>
      <c r="AH21" s="36">
        <v>16000</v>
      </c>
      <c r="AI21" s="36">
        <v>16000</v>
      </c>
      <c r="AJ21" s="36">
        <v>17000</v>
      </c>
      <c r="AK21" s="36">
        <v>18000</v>
      </c>
      <c r="AL21" s="36">
        <v>18000</v>
      </c>
      <c r="AM21" s="36">
        <v>19000</v>
      </c>
      <c r="AN21" s="36">
        <v>19000</v>
      </c>
      <c r="AO21" s="36">
        <v>20000</v>
      </c>
      <c r="AP21" s="36">
        <v>21000</v>
      </c>
      <c r="AQ21" s="36">
        <v>21000</v>
      </c>
      <c r="AR21" s="36">
        <v>21000</v>
      </c>
      <c r="AS21" s="36"/>
      <c r="AT21" s="36"/>
      <c r="AU21" s="36"/>
      <c r="AV21" s="36"/>
      <c r="AW21" s="36"/>
      <c r="AX21" s="36"/>
    </row>
    <row r="22" spans="1:51" x14ac:dyDescent="0.2">
      <c r="A22" s="779" t="s">
        <v>1763</v>
      </c>
      <c r="B22" s="12" t="s">
        <v>1764</v>
      </c>
      <c r="C22" s="35"/>
      <c r="D22" s="35"/>
      <c r="E22" s="35"/>
      <c r="F22" s="35"/>
      <c r="G22" s="35"/>
      <c r="H22" s="35"/>
      <c r="I22" s="35">
        <v>0</v>
      </c>
      <c r="J22" s="35">
        <v>5000</v>
      </c>
      <c r="K22" s="36">
        <v>10000</v>
      </c>
      <c r="L22" s="35">
        <v>10000</v>
      </c>
      <c r="M22" s="36">
        <v>10000</v>
      </c>
      <c r="N22" s="35">
        <v>10000</v>
      </c>
      <c r="O22" s="36">
        <v>11000</v>
      </c>
      <c r="P22" s="35">
        <v>11000</v>
      </c>
      <c r="Q22" s="36">
        <f t="shared" si="0"/>
        <v>11000</v>
      </c>
      <c r="R22" s="36"/>
      <c r="S22" s="36"/>
      <c r="U22" s="36">
        <v>10000</v>
      </c>
      <c r="V22" s="36">
        <v>10000</v>
      </c>
      <c r="W22" s="36">
        <v>11000</v>
      </c>
      <c r="X22" s="36">
        <v>11000</v>
      </c>
      <c r="Y22" s="36">
        <v>11000</v>
      </c>
      <c r="Z22" s="36">
        <v>12000</v>
      </c>
      <c r="AA22" s="36">
        <v>12000</v>
      </c>
      <c r="AB22" s="36">
        <v>13000</v>
      </c>
      <c r="AC22" s="36">
        <v>13000</v>
      </c>
      <c r="AD22" s="36">
        <v>14000</v>
      </c>
      <c r="AE22" s="36">
        <v>14000</v>
      </c>
      <c r="AF22" s="36">
        <v>14000</v>
      </c>
      <c r="AG22" s="36">
        <v>15000</v>
      </c>
      <c r="AH22" s="36">
        <v>15000</v>
      </c>
      <c r="AI22" s="36">
        <v>16000</v>
      </c>
      <c r="AJ22" s="36">
        <v>16000</v>
      </c>
      <c r="AK22" s="36">
        <v>17000</v>
      </c>
      <c r="AL22" s="36">
        <v>17000</v>
      </c>
      <c r="AM22" s="36">
        <v>18000</v>
      </c>
      <c r="AN22" s="36">
        <v>19000</v>
      </c>
      <c r="AO22" s="36">
        <v>19000</v>
      </c>
      <c r="AP22" s="36">
        <v>20000</v>
      </c>
      <c r="AQ22" s="36">
        <v>21000</v>
      </c>
      <c r="AR22" s="36">
        <v>20000</v>
      </c>
      <c r="AS22" s="36"/>
      <c r="AT22" s="36"/>
      <c r="AU22" s="36"/>
      <c r="AV22" s="36"/>
      <c r="AW22" s="36"/>
      <c r="AX22" s="36"/>
    </row>
    <row r="23" spans="1:51" x14ac:dyDescent="0.2">
      <c r="A23" s="779" t="s">
        <v>1765</v>
      </c>
      <c r="B23" s="12" t="s">
        <v>1766</v>
      </c>
      <c r="C23" s="35"/>
      <c r="D23" s="35"/>
      <c r="E23" s="35"/>
      <c r="F23" s="35"/>
      <c r="G23" s="35"/>
      <c r="H23" s="35">
        <v>5000</v>
      </c>
      <c r="I23" s="35">
        <v>0</v>
      </c>
      <c r="J23" s="35">
        <v>1000</v>
      </c>
      <c r="K23" s="36">
        <v>3000</v>
      </c>
      <c r="L23" s="35">
        <v>3000</v>
      </c>
      <c r="M23" s="36">
        <v>3000</v>
      </c>
      <c r="N23" s="35">
        <v>3000</v>
      </c>
      <c r="O23" s="36">
        <v>3000</v>
      </c>
      <c r="P23" s="35">
        <v>3000</v>
      </c>
      <c r="Q23" s="36">
        <f t="shared" si="0"/>
        <v>3000</v>
      </c>
      <c r="R23" s="36"/>
      <c r="S23" s="36"/>
      <c r="U23" s="36">
        <v>3000</v>
      </c>
      <c r="V23" s="36">
        <v>3000</v>
      </c>
      <c r="W23" s="36">
        <v>3000</v>
      </c>
      <c r="X23" s="36">
        <v>3000</v>
      </c>
      <c r="Y23" s="36">
        <v>3000</v>
      </c>
      <c r="Z23" s="36">
        <v>3000</v>
      </c>
      <c r="AA23" s="36">
        <v>3000</v>
      </c>
      <c r="AB23" s="36">
        <v>4000</v>
      </c>
      <c r="AC23" s="36">
        <v>4000</v>
      </c>
      <c r="AD23" s="36">
        <v>4000</v>
      </c>
      <c r="AE23" s="36">
        <v>4000</v>
      </c>
      <c r="AF23" s="36">
        <v>4000</v>
      </c>
      <c r="AG23" s="36">
        <v>4000</v>
      </c>
      <c r="AH23" s="36">
        <v>4000</v>
      </c>
      <c r="AI23" s="36">
        <v>4000</v>
      </c>
      <c r="AJ23" s="36">
        <v>4000</v>
      </c>
      <c r="AK23" s="36">
        <v>5000</v>
      </c>
      <c r="AL23" s="36">
        <v>5000</v>
      </c>
      <c r="AM23" s="36">
        <v>5000</v>
      </c>
      <c r="AN23" s="36">
        <v>5000</v>
      </c>
      <c r="AO23" s="36">
        <v>5000</v>
      </c>
      <c r="AP23" s="36">
        <v>6000</v>
      </c>
      <c r="AQ23" s="36">
        <v>6000</v>
      </c>
      <c r="AR23" s="36">
        <v>5000</v>
      </c>
      <c r="AS23" s="36"/>
      <c r="AT23" s="36"/>
      <c r="AU23" s="36"/>
      <c r="AV23" s="36"/>
      <c r="AW23" s="36"/>
      <c r="AX23" s="36"/>
    </row>
    <row r="24" spans="1:51" x14ac:dyDescent="0.2">
      <c r="A24" s="779" t="s">
        <v>1767</v>
      </c>
      <c r="B24" s="12" t="s">
        <v>1768</v>
      </c>
      <c r="C24" s="35"/>
      <c r="D24" s="35"/>
      <c r="E24" s="35"/>
      <c r="F24" s="35"/>
      <c r="G24" s="35"/>
      <c r="H24" s="35"/>
      <c r="I24" s="35"/>
      <c r="J24" s="35">
        <v>5000</v>
      </c>
      <c r="K24" s="36">
        <v>10000</v>
      </c>
      <c r="L24" s="35">
        <v>10000</v>
      </c>
      <c r="M24" s="36">
        <v>11000</v>
      </c>
      <c r="N24" s="35">
        <v>11000</v>
      </c>
      <c r="O24" s="36">
        <v>11000</v>
      </c>
      <c r="P24" s="35">
        <v>11000</v>
      </c>
      <c r="Q24" s="36">
        <f t="shared" si="0"/>
        <v>12000</v>
      </c>
      <c r="R24" s="36"/>
      <c r="S24" s="36"/>
      <c r="U24" s="36">
        <v>10000</v>
      </c>
      <c r="V24" s="36">
        <v>11000</v>
      </c>
      <c r="W24" s="36">
        <v>11000</v>
      </c>
      <c r="X24" s="36">
        <v>12000</v>
      </c>
      <c r="Y24" s="36">
        <v>12000</v>
      </c>
      <c r="Z24" s="36">
        <v>13000</v>
      </c>
      <c r="AA24" s="36">
        <v>13000</v>
      </c>
      <c r="AB24" s="36">
        <v>14000</v>
      </c>
      <c r="AC24" s="36">
        <v>14000</v>
      </c>
      <c r="AD24" s="36">
        <v>15000</v>
      </c>
      <c r="AE24" s="36">
        <v>15000</v>
      </c>
      <c r="AF24" s="36">
        <v>16000</v>
      </c>
      <c r="AG24" s="36">
        <v>16000</v>
      </c>
      <c r="AH24" s="36">
        <v>17000</v>
      </c>
      <c r="AI24" s="36">
        <v>17000</v>
      </c>
      <c r="AJ24" s="36">
        <v>18000</v>
      </c>
      <c r="AK24" s="36">
        <v>18000</v>
      </c>
      <c r="AL24" s="36">
        <v>19000</v>
      </c>
      <c r="AM24" s="36">
        <v>20000</v>
      </c>
      <c r="AN24" s="36">
        <v>20000</v>
      </c>
      <c r="AO24" s="36">
        <v>21000</v>
      </c>
      <c r="AP24" s="36">
        <v>22000</v>
      </c>
      <c r="AQ24" s="36">
        <v>22000</v>
      </c>
      <c r="AR24" s="36">
        <v>22000</v>
      </c>
      <c r="AS24" s="36"/>
      <c r="AT24" s="36"/>
      <c r="AU24" s="36"/>
      <c r="AV24" s="36"/>
      <c r="AW24" s="36"/>
      <c r="AX24" s="36"/>
    </row>
    <row r="25" spans="1:51" ht="13.5" thickBot="1" x14ac:dyDescent="0.25">
      <c r="A25" s="796" t="s">
        <v>1769</v>
      </c>
      <c r="B25" s="27" t="s">
        <v>1770</v>
      </c>
      <c r="C25" s="35"/>
      <c r="D25" s="35"/>
      <c r="E25" s="35"/>
      <c r="F25" s="35"/>
      <c r="G25" s="35"/>
      <c r="H25" s="35"/>
      <c r="I25" s="35"/>
      <c r="J25" s="35">
        <v>1000</v>
      </c>
      <c r="K25" s="36">
        <v>2000</v>
      </c>
      <c r="L25" s="35">
        <v>2000</v>
      </c>
      <c r="M25" s="36">
        <v>2000</v>
      </c>
      <c r="N25" s="35">
        <v>2000</v>
      </c>
      <c r="O25" s="36">
        <v>2000</v>
      </c>
      <c r="P25" s="35">
        <v>2000</v>
      </c>
      <c r="Q25" s="36">
        <f t="shared" si="0"/>
        <v>2000</v>
      </c>
      <c r="R25" s="36"/>
      <c r="S25" s="36"/>
      <c r="U25" s="36">
        <v>2000</v>
      </c>
      <c r="V25" s="36">
        <v>2000</v>
      </c>
      <c r="W25" s="36">
        <v>2000</v>
      </c>
      <c r="X25" s="36">
        <v>2000</v>
      </c>
      <c r="Y25" s="36">
        <v>2000</v>
      </c>
      <c r="Z25" s="36">
        <v>2000</v>
      </c>
      <c r="AA25" s="36">
        <v>2000</v>
      </c>
      <c r="AB25" s="36">
        <v>2000</v>
      </c>
      <c r="AC25" s="36">
        <v>2000</v>
      </c>
      <c r="AD25" s="36">
        <v>2000</v>
      </c>
      <c r="AE25" s="36">
        <v>3000</v>
      </c>
      <c r="AF25" s="36">
        <v>3000</v>
      </c>
      <c r="AG25" s="36">
        <v>3000</v>
      </c>
      <c r="AH25" s="36">
        <v>3000</v>
      </c>
      <c r="AI25" s="36">
        <v>3000</v>
      </c>
      <c r="AJ25" s="36">
        <v>3000</v>
      </c>
      <c r="AK25" s="36">
        <v>3000</v>
      </c>
      <c r="AL25" s="36">
        <v>3000</v>
      </c>
      <c r="AM25" s="36">
        <v>2000</v>
      </c>
      <c r="AN25" s="36">
        <v>3000</v>
      </c>
      <c r="AO25" s="36">
        <v>3000</v>
      </c>
      <c r="AP25" s="36">
        <v>4000</v>
      </c>
      <c r="AQ25" s="36">
        <v>4000</v>
      </c>
      <c r="AR25" s="36">
        <v>4000</v>
      </c>
      <c r="AS25" s="36"/>
      <c r="AT25" s="36"/>
      <c r="AU25" s="36"/>
      <c r="AV25" s="36"/>
      <c r="AW25" s="36"/>
      <c r="AX25" s="36"/>
    </row>
    <row r="26" spans="1:51" hidden="1" x14ac:dyDescent="0.2">
      <c r="A26" s="779" t="s">
        <v>1771</v>
      </c>
      <c r="B26" s="12" t="s">
        <v>1772</v>
      </c>
      <c r="C26" s="35"/>
      <c r="D26" s="35"/>
      <c r="E26" s="35"/>
      <c r="F26" s="35"/>
      <c r="G26" s="35"/>
      <c r="H26" s="35"/>
      <c r="I26" s="35"/>
      <c r="J26" s="35"/>
      <c r="K26" s="36"/>
      <c r="L26" s="35"/>
      <c r="M26" s="36"/>
      <c r="N26" s="35"/>
      <c r="O26" s="36"/>
      <c r="P26" s="35"/>
      <c r="Q26" s="36">
        <f t="shared" ref="Q26" si="1">+W26</f>
        <v>0</v>
      </c>
      <c r="R26" s="36"/>
      <c r="S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row>
    <row r="27" spans="1:51" hidden="1" x14ac:dyDescent="0.2">
      <c r="A27" s="779"/>
      <c r="B27" s="12"/>
      <c r="C27" s="35"/>
      <c r="D27" s="35"/>
      <c r="E27" s="35"/>
      <c r="F27" s="35"/>
      <c r="G27" s="35"/>
      <c r="H27" s="35"/>
      <c r="I27" s="35"/>
      <c r="J27" s="35"/>
      <c r="K27" s="36"/>
      <c r="L27" s="35"/>
      <c r="M27" s="36"/>
      <c r="N27" s="35"/>
      <c r="O27" s="36"/>
      <c r="P27" s="35"/>
      <c r="Q27" s="36">
        <f>+W27</f>
        <v>0</v>
      </c>
      <c r="R27" s="36"/>
      <c r="S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row>
    <row r="28" spans="1:51" ht="13.5" hidden="1" thickBot="1" x14ac:dyDescent="0.25">
      <c r="A28" s="779"/>
      <c r="B28" s="12" t="s">
        <v>1773</v>
      </c>
      <c r="C28" s="15"/>
      <c r="D28" s="263"/>
      <c r="E28" s="263"/>
      <c r="F28" s="263"/>
      <c r="G28" s="263"/>
      <c r="H28" s="263"/>
      <c r="I28" s="897"/>
      <c r="J28" s="897"/>
      <c r="K28" s="893"/>
      <c r="L28" s="897"/>
      <c r="M28" s="893"/>
      <c r="N28" s="897"/>
      <c r="O28" s="893"/>
      <c r="P28" s="35"/>
      <c r="Q28" s="893"/>
      <c r="R28" s="893"/>
      <c r="S28" s="893"/>
      <c r="U28" s="155"/>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55"/>
    </row>
    <row r="29" spans="1:51" ht="13.5" thickTop="1" x14ac:dyDescent="0.2">
      <c r="A29" s="779"/>
      <c r="B29" s="17" t="s">
        <v>1534</v>
      </c>
      <c r="C29" s="18">
        <f t="shared" ref="C29:P29" si="2">SUM(C9:C28)</f>
        <v>206863.17</v>
      </c>
      <c r="D29" s="18">
        <f t="shared" si="2"/>
        <v>205789.56</v>
      </c>
      <c r="E29" s="18">
        <f t="shared" si="2"/>
        <v>270272</v>
      </c>
      <c r="F29" s="18">
        <f t="shared" si="2"/>
        <v>263679.39</v>
      </c>
      <c r="G29" s="18">
        <f t="shared" si="2"/>
        <v>267810.93</v>
      </c>
      <c r="H29" s="18">
        <f t="shared" si="2"/>
        <v>200344.94</v>
      </c>
      <c r="I29" s="896">
        <f t="shared" si="2"/>
        <v>192350.88999999998</v>
      </c>
      <c r="J29" s="896">
        <f t="shared" si="2"/>
        <v>282623.78999999998</v>
      </c>
      <c r="K29" s="895">
        <f t="shared" si="2"/>
        <v>302817</v>
      </c>
      <c r="L29" s="896">
        <f t="shared" si="2"/>
        <v>302329.96999999997</v>
      </c>
      <c r="M29" s="895">
        <f t="shared" si="2"/>
        <v>306646</v>
      </c>
      <c r="N29" s="896">
        <f t="shared" si="2"/>
        <v>306644.88</v>
      </c>
      <c r="O29" s="895">
        <f t="shared" si="2"/>
        <v>308041</v>
      </c>
      <c r="P29" s="896">
        <f t="shared" si="2"/>
        <v>201039.75</v>
      </c>
      <c r="Q29" s="895">
        <f t="shared" ref="Q29" si="3">SUM(Q9:Q28)</f>
        <v>296520</v>
      </c>
      <c r="R29" s="895"/>
      <c r="S29" s="895">
        <f>SUM(S8:S28)</f>
        <v>0</v>
      </c>
      <c r="U29" s="19">
        <f t="shared" ref="U29:AX29" si="4">SUM(U8:U28)</f>
        <v>302817</v>
      </c>
      <c r="V29" s="19">
        <f t="shared" si="4"/>
        <v>306646</v>
      </c>
      <c r="W29" s="19">
        <f t="shared" si="4"/>
        <v>308040</v>
      </c>
      <c r="X29" s="19">
        <f t="shared" si="4"/>
        <v>296520</v>
      </c>
      <c r="Y29" s="19">
        <f t="shared" si="4"/>
        <v>300087</v>
      </c>
      <c r="Z29" s="19">
        <f t="shared" si="4"/>
        <v>310739</v>
      </c>
      <c r="AA29" s="19">
        <f t="shared" si="4"/>
        <v>315483</v>
      </c>
      <c r="AB29" s="19">
        <f t="shared" si="4"/>
        <v>285057</v>
      </c>
      <c r="AC29" s="19">
        <f t="shared" si="4"/>
        <v>295277</v>
      </c>
      <c r="AD29" s="19">
        <f t="shared" si="4"/>
        <v>300581</v>
      </c>
      <c r="AE29" s="19">
        <f t="shared" si="4"/>
        <v>313970</v>
      </c>
      <c r="AF29" s="19">
        <f t="shared" si="4"/>
        <v>323417</v>
      </c>
      <c r="AG29" s="19">
        <f t="shared" si="4"/>
        <v>333014</v>
      </c>
      <c r="AH29" s="19">
        <f t="shared" si="4"/>
        <v>344674</v>
      </c>
      <c r="AI29" s="19">
        <f t="shared" si="4"/>
        <v>239430</v>
      </c>
      <c r="AJ29" s="19">
        <f t="shared" si="4"/>
        <v>245285</v>
      </c>
      <c r="AK29" s="19">
        <f t="shared" si="4"/>
        <v>252241</v>
      </c>
      <c r="AL29" s="19">
        <f t="shared" si="4"/>
        <v>260301</v>
      </c>
      <c r="AM29" s="19">
        <f t="shared" si="4"/>
        <v>212998</v>
      </c>
      <c r="AN29" s="19">
        <f t="shared" si="4"/>
        <v>119503</v>
      </c>
      <c r="AO29" s="19">
        <f t="shared" si="4"/>
        <v>122390</v>
      </c>
      <c r="AP29" s="19">
        <f t="shared" si="4"/>
        <v>128314</v>
      </c>
      <c r="AQ29" s="19">
        <f t="shared" si="4"/>
        <v>134275</v>
      </c>
      <c r="AR29" s="19">
        <f t="shared" si="4"/>
        <v>132277</v>
      </c>
      <c r="AS29" s="19">
        <f t="shared" si="4"/>
        <v>53319</v>
      </c>
      <c r="AT29" s="19">
        <f t="shared" si="4"/>
        <v>27405</v>
      </c>
      <c r="AU29" s="19">
        <f t="shared" si="4"/>
        <v>28535</v>
      </c>
      <c r="AV29" s="19">
        <f t="shared" si="4"/>
        <v>29528</v>
      </c>
      <c r="AW29" s="19">
        <f t="shared" si="4"/>
        <v>0</v>
      </c>
      <c r="AX29" s="19">
        <f t="shared" si="4"/>
        <v>0</v>
      </c>
      <c r="AY29" s="29">
        <f>SUM(U29:AX29)</f>
        <v>6322123</v>
      </c>
    </row>
    <row r="30" spans="1:51" x14ac:dyDescent="0.2">
      <c r="A30" s="779"/>
      <c r="B30" s="17"/>
      <c r="C30" s="18"/>
      <c r="D30" s="264"/>
      <c r="E30" s="264"/>
      <c r="F30" s="264"/>
      <c r="G30" s="264"/>
      <c r="H30" s="264"/>
      <c r="I30" s="264"/>
      <c r="J30" s="264"/>
      <c r="K30" s="151"/>
      <c r="L30" s="264"/>
      <c r="M30" s="151"/>
      <c r="N30" s="264"/>
      <c r="O30" s="151"/>
      <c r="P30" s="18"/>
      <c r="Q30" s="151"/>
      <c r="R30" s="151"/>
      <c r="S30" s="151"/>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1"/>
      <c r="AS30" s="151"/>
      <c r="AT30" s="151"/>
      <c r="AU30" s="151"/>
      <c r="AV30" s="151"/>
      <c r="AW30" s="151"/>
      <c r="AX30" s="151"/>
      <c r="AY30">
        <f>SUM(U29:AE29)</f>
        <v>3335217</v>
      </c>
    </row>
    <row r="31" spans="1:51" ht="13.5" thickBot="1" x14ac:dyDescent="0.25">
      <c r="A31" s="779"/>
      <c r="B31" s="90" t="s">
        <v>1557</v>
      </c>
      <c r="C31" s="13"/>
      <c r="D31" s="127"/>
      <c r="E31" s="127"/>
      <c r="F31" s="127"/>
      <c r="G31" s="127"/>
      <c r="H31" s="127"/>
      <c r="I31" s="127"/>
      <c r="J31" s="127"/>
      <c r="K31" s="152"/>
      <c r="L31" s="127"/>
      <c r="M31" s="152"/>
      <c r="N31" s="127"/>
      <c r="O31" s="152"/>
      <c r="P31" s="13"/>
      <c r="Q31" s="152"/>
      <c r="R31" s="152"/>
      <c r="S31" s="152"/>
      <c r="U31" s="152"/>
      <c r="V31" s="152"/>
      <c r="W31" s="152"/>
      <c r="X31" s="152"/>
      <c r="Y31" s="152"/>
      <c r="Z31" s="152"/>
      <c r="AA31" s="152"/>
      <c r="AB31" s="152"/>
      <c r="AC31" s="152"/>
      <c r="AD31" s="152"/>
      <c r="AE31" s="152"/>
      <c r="AF31" s="152"/>
      <c r="AG31" s="152"/>
      <c r="AH31" s="152"/>
      <c r="AI31" s="152"/>
      <c r="AJ31" s="152"/>
      <c r="AK31" s="152"/>
      <c r="AL31" s="152"/>
      <c r="AM31" s="152"/>
      <c r="AN31" s="152"/>
      <c r="AO31" s="152"/>
      <c r="AP31" s="152"/>
      <c r="AQ31" s="152"/>
      <c r="AR31" s="152"/>
      <c r="AS31" s="152"/>
      <c r="AT31" s="152"/>
      <c r="AU31" s="152"/>
      <c r="AV31" s="152"/>
      <c r="AW31" s="152"/>
      <c r="AX31" s="152"/>
    </row>
    <row r="32" spans="1:51" x14ac:dyDescent="0.2">
      <c r="A32" s="779" t="s">
        <v>1774</v>
      </c>
      <c r="B32" s="12" t="s">
        <v>1742</v>
      </c>
      <c r="C32" s="94">
        <v>14325</v>
      </c>
      <c r="D32" s="265">
        <f>6600+6600</f>
        <v>13200</v>
      </c>
      <c r="E32" s="265">
        <v>12000</v>
      </c>
      <c r="F32" s="265">
        <v>10725</v>
      </c>
      <c r="G32" s="265">
        <v>9375</v>
      </c>
      <c r="H32" s="265">
        <v>8025</v>
      </c>
      <c r="I32" s="265">
        <v>6675</v>
      </c>
      <c r="J32" s="265">
        <v>5250</v>
      </c>
      <c r="K32" s="32">
        <v>3750</v>
      </c>
      <c r="L32" s="265">
        <v>3750</v>
      </c>
      <c r="M32" s="32">
        <v>2500</v>
      </c>
      <c r="N32" s="265">
        <v>2500</v>
      </c>
      <c r="O32" s="32">
        <v>1250</v>
      </c>
      <c r="P32" s="94">
        <v>625</v>
      </c>
      <c r="Q32" s="36">
        <f t="shared" ref="Q32:Q53" si="5">+X32</f>
        <v>0</v>
      </c>
      <c r="R32" s="36"/>
      <c r="S32" s="36"/>
      <c r="U32" s="14">
        <f>1875+1875</f>
        <v>3750</v>
      </c>
      <c r="V32" s="14">
        <f>1250+1250</f>
        <v>2500</v>
      </c>
      <c r="W32" s="14">
        <f>625+625</f>
        <v>1250</v>
      </c>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row>
    <row r="33" spans="1:50" x14ac:dyDescent="0.2">
      <c r="A33" s="779" t="s">
        <v>1775</v>
      </c>
      <c r="B33" s="12" t="s">
        <v>1744</v>
      </c>
      <c r="C33" s="110">
        <v>2262.5</v>
      </c>
      <c r="D33" s="266">
        <f>1037.5+1037.5</f>
        <v>2075</v>
      </c>
      <c r="E33" s="266">
        <v>1875</v>
      </c>
      <c r="F33" s="266">
        <v>1662.5</v>
      </c>
      <c r="G33" s="266">
        <v>1437.5</v>
      </c>
      <c r="H33" s="266">
        <v>1212.5</v>
      </c>
      <c r="I33" s="266">
        <v>987.5</v>
      </c>
      <c r="J33" s="266">
        <v>750</v>
      </c>
      <c r="K33" s="229">
        <v>500</v>
      </c>
      <c r="L33" s="266">
        <v>500</v>
      </c>
      <c r="M33" s="229">
        <v>250</v>
      </c>
      <c r="N33" s="266">
        <v>250</v>
      </c>
      <c r="O33" s="229">
        <v>0</v>
      </c>
      <c r="P33" s="110"/>
      <c r="Q33" s="36">
        <f t="shared" si="5"/>
        <v>0</v>
      </c>
      <c r="R33" s="36"/>
      <c r="S33" s="36"/>
      <c r="U33" s="36">
        <v>500</v>
      </c>
      <c r="V33" s="36">
        <v>250</v>
      </c>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row>
    <row r="34" spans="1:50" hidden="1" x14ac:dyDescent="0.2">
      <c r="A34" s="779" t="s">
        <v>1776</v>
      </c>
      <c r="B34" s="12" t="s">
        <v>1746</v>
      </c>
      <c r="C34" s="110">
        <v>4144.22</v>
      </c>
      <c r="D34" s="266">
        <v>2496.9499999999998</v>
      </c>
      <c r="E34" s="266">
        <v>1096.1600000000001</v>
      </c>
      <c r="F34" s="266">
        <v>1006.08</v>
      </c>
      <c r="G34" s="266">
        <v>365.85</v>
      </c>
      <c r="H34" s="266">
        <v>9695.77</v>
      </c>
      <c r="I34" s="266">
        <v>0</v>
      </c>
      <c r="J34" s="266"/>
      <c r="K34" s="229"/>
      <c r="L34" s="266"/>
      <c r="M34" s="229"/>
      <c r="N34" s="266"/>
      <c r="O34" s="229"/>
      <c r="P34" s="110"/>
      <c r="Q34" s="36">
        <f t="shared" si="5"/>
        <v>0</v>
      </c>
      <c r="R34" s="36"/>
      <c r="S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row>
    <row r="35" spans="1:50" hidden="1" x14ac:dyDescent="0.2">
      <c r="A35" s="779" t="s">
        <v>1777</v>
      </c>
      <c r="B35" s="12" t="s">
        <v>1778</v>
      </c>
      <c r="C35" s="110">
        <v>122.19</v>
      </c>
      <c r="D35" s="266">
        <v>44.59</v>
      </c>
      <c r="E35" s="266">
        <v>78.03</v>
      </c>
      <c r="F35" s="266">
        <v>55.73</v>
      </c>
      <c r="G35" s="266">
        <v>33.44</v>
      </c>
      <c r="H35" s="266">
        <v>11.15</v>
      </c>
      <c r="I35" s="266">
        <v>0</v>
      </c>
      <c r="J35" s="266"/>
      <c r="K35" s="229"/>
      <c r="L35" s="266"/>
      <c r="M35" s="229"/>
      <c r="N35" s="266"/>
      <c r="O35" s="229"/>
      <c r="P35" s="110"/>
      <c r="Q35" s="36">
        <f t="shared" si="5"/>
        <v>0</v>
      </c>
      <c r="R35" s="36"/>
      <c r="S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row>
    <row r="36" spans="1:50" x14ac:dyDescent="0.2">
      <c r="A36" s="779" t="s">
        <v>1779</v>
      </c>
      <c r="B36" s="12" t="s">
        <v>1748</v>
      </c>
      <c r="C36" s="110">
        <v>8675</v>
      </c>
      <c r="D36" s="265">
        <f>3125+2750+900+775</f>
        <v>7550</v>
      </c>
      <c r="E36" s="265">
        <v>6675</v>
      </c>
      <c r="F36" s="265">
        <v>5925</v>
      </c>
      <c r="G36" s="265">
        <v>5175</v>
      </c>
      <c r="H36" s="265">
        <v>4500</v>
      </c>
      <c r="I36" s="265">
        <v>3900</v>
      </c>
      <c r="J36" s="266">
        <v>3300</v>
      </c>
      <c r="K36" s="229">
        <v>2700</v>
      </c>
      <c r="L36" s="266">
        <v>2700</v>
      </c>
      <c r="M36" s="229">
        <v>2200</v>
      </c>
      <c r="N36" s="266">
        <v>2200</v>
      </c>
      <c r="O36" s="229">
        <v>1800</v>
      </c>
      <c r="P36" s="110">
        <v>1000</v>
      </c>
      <c r="Q36" s="36">
        <f t="shared" si="5"/>
        <v>1400</v>
      </c>
      <c r="R36" s="36"/>
      <c r="S36" s="36"/>
      <c r="U36" s="36">
        <f>1400+1200+100</f>
        <v>2700</v>
      </c>
      <c r="V36" s="36">
        <v>2200</v>
      </c>
      <c r="W36" s="36">
        <v>1800</v>
      </c>
      <c r="X36" s="36">
        <v>1400</v>
      </c>
      <c r="Y36" s="36">
        <v>1000</v>
      </c>
      <c r="Z36" s="36">
        <v>600</v>
      </c>
      <c r="AA36" s="36">
        <v>200</v>
      </c>
      <c r="AB36" s="36"/>
      <c r="AC36" s="36"/>
      <c r="AD36" s="36"/>
      <c r="AE36" s="36"/>
      <c r="AF36" s="36"/>
      <c r="AG36" s="36"/>
      <c r="AH36" s="36"/>
      <c r="AI36" s="36"/>
      <c r="AJ36" s="36"/>
      <c r="AK36" s="36"/>
      <c r="AL36" s="36"/>
      <c r="AM36" s="36"/>
      <c r="AN36" s="36"/>
      <c r="AO36" s="36"/>
      <c r="AP36" s="36"/>
      <c r="AQ36" s="36"/>
      <c r="AR36" s="36"/>
      <c r="AS36" s="36"/>
      <c r="AT36" s="36"/>
      <c r="AU36" s="36"/>
      <c r="AV36" s="36"/>
      <c r="AW36" s="36"/>
      <c r="AX36" s="36"/>
    </row>
    <row r="37" spans="1:50" x14ac:dyDescent="0.2">
      <c r="A37" s="779" t="s">
        <v>1780</v>
      </c>
      <c r="B37" s="60" t="s">
        <v>1538</v>
      </c>
      <c r="C37" s="110">
        <v>8786.7199999999993</v>
      </c>
      <c r="D37" s="266">
        <v>8258.9699999999993</v>
      </c>
      <c r="E37" s="266">
        <v>7720.61</v>
      </c>
      <c r="F37" s="266">
        <v>7171.36</v>
      </c>
      <c r="G37" s="266">
        <v>6571.41</v>
      </c>
      <c r="H37" s="266">
        <v>6039.35</v>
      </c>
      <c r="I37" s="266">
        <v>5456.13</v>
      </c>
      <c r="J37" s="266">
        <v>4861.13</v>
      </c>
      <c r="K37" s="229">
        <v>4255</v>
      </c>
      <c r="L37" s="266">
        <v>4254.1099999999997</v>
      </c>
      <c r="M37" s="229">
        <v>3635</v>
      </c>
      <c r="N37" s="266">
        <v>3634.82</v>
      </c>
      <c r="O37" s="229">
        <v>3004</v>
      </c>
      <c r="P37" s="110">
        <v>1661.05</v>
      </c>
      <c r="Q37" s="36">
        <f t="shared" si="5"/>
        <v>2359</v>
      </c>
      <c r="R37" s="36"/>
      <c r="S37" s="36"/>
      <c r="U37" s="229">
        <f>+'Split Debt Service'!G42</f>
        <v>4255</v>
      </c>
      <c r="V37" s="229">
        <f>ROUND((+'Split Debt Service'!H42),0)</f>
        <v>3635</v>
      </c>
      <c r="W37" s="229">
        <f>+'Split Debt Service'!I42</f>
        <v>3004</v>
      </c>
      <c r="X37" s="229">
        <f>+'Split Debt Service'!J42</f>
        <v>2359</v>
      </c>
      <c r="Y37" s="229">
        <f>+'Split Debt Service'!K42</f>
        <v>1701</v>
      </c>
      <c r="Z37" s="229">
        <f>+'Split Debt Service'!L42</f>
        <v>1030</v>
      </c>
      <c r="AA37" s="229">
        <f>+'Split Debt Service'!M42</f>
        <v>346</v>
      </c>
      <c r="AB37" s="229">
        <f>+'Split Debt Service'!N42</f>
        <v>0</v>
      </c>
      <c r="AC37" s="229">
        <f>+'Split Debt Service'!O42</f>
        <v>0</v>
      </c>
      <c r="AD37" s="229">
        <f>+'Split Debt Service'!P42</f>
        <v>0</v>
      </c>
      <c r="AE37" s="229">
        <f>+'Split Debt Service'!Q42</f>
        <v>0</v>
      </c>
      <c r="AF37" s="229">
        <f>+'Split Debt Service'!R42</f>
        <v>0</v>
      </c>
      <c r="AG37" s="229">
        <f>+'Split Debt Service'!S42</f>
        <v>0</v>
      </c>
      <c r="AH37" s="229">
        <f>+'Split Debt Service'!T42</f>
        <v>0</v>
      </c>
      <c r="AI37" s="229">
        <f>+'Split Debt Service'!U42</f>
        <v>0</v>
      </c>
      <c r="AJ37" s="229">
        <f>+'Split Debt Service'!V42</f>
        <v>0</v>
      </c>
      <c r="AK37" s="229">
        <f>+'Split Debt Service'!W42</f>
        <v>0</v>
      </c>
      <c r="AL37" s="229">
        <f>+'Split Debt Service'!X42</f>
        <v>0</v>
      </c>
      <c r="AM37" s="229">
        <f>+'Split Debt Service'!Y42</f>
        <v>0</v>
      </c>
      <c r="AN37" s="229">
        <f>+'Split Debt Service'!Z42</f>
        <v>0</v>
      </c>
      <c r="AO37" s="229">
        <f>+'Split Debt Service'!AA42</f>
        <v>0</v>
      </c>
      <c r="AP37" s="229">
        <f>+'Split Debt Service'!AB42</f>
        <v>0</v>
      </c>
      <c r="AQ37" s="229">
        <f>+'Split Debt Service'!AC42</f>
        <v>0</v>
      </c>
      <c r="AR37" s="229">
        <f>+'Split Debt Service'!AD42</f>
        <v>0</v>
      </c>
      <c r="AS37" s="229">
        <f>+'Split Debt Service'!AE42</f>
        <v>0</v>
      </c>
      <c r="AT37" s="229">
        <f>+'Split Debt Service'!AF42</f>
        <v>0</v>
      </c>
      <c r="AU37" s="229">
        <f>+'Split Debt Service'!AG42</f>
        <v>0</v>
      </c>
      <c r="AV37" s="229">
        <f>+'Split Debt Service'!AH42</f>
        <v>0</v>
      </c>
      <c r="AW37" s="229">
        <f>+'Split Debt Service'!AI42</f>
        <v>0</v>
      </c>
      <c r="AX37" s="229">
        <f>+'Split Debt Service'!AJ42</f>
        <v>0</v>
      </c>
    </row>
    <row r="38" spans="1:50" x14ac:dyDescent="0.2">
      <c r="A38" s="779" t="s">
        <v>1781</v>
      </c>
      <c r="B38" s="60" t="s">
        <v>1560</v>
      </c>
      <c r="C38" s="110">
        <v>545.9</v>
      </c>
      <c r="D38" s="266">
        <v>619.41</v>
      </c>
      <c r="E38" s="266">
        <v>579.04</v>
      </c>
      <c r="F38" s="266">
        <v>537.85</v>
      </c>
      <c r="G38" s="266">
        <v>495.82</v>
      </c>
      <c r="H38" s="266">
        <v>452.95</v>
      </c>
      <c r="I38" s="266">
        <v>409.21</v>
      </c>
      <c r="J38" s="266">
        <v>364.58</v>
      </c>
      <c r="K38" s="229">
        <v>319</v>
      </c>
      <c r="L38" s="266">
        <v>319.05</v>
      </c>
      <c r="M38" s="229">
        <v>273</v>
      </c>
      <c r="N38" s="266">
        <v>272.60000000000002</v>
      </c>
      <c r="O38" s="229">
        <v>226</v>
      </c>
      <c r="P38" s="110">
        <v>124.58</v>
      </c>
      <c r="Q38" s="36">
        <f t="shared" si="5"/>
        <v>177</v>
      </c>
      <c r="R38" s="36"/>
      <c r="S38" s="36"/>
      <c r="U38" s="229">
        <f>+'Split Debt Service'!G43</f>
        <v>319</v>
      </c>
      <c r="V38" s="229">
        <f>ROUND((+'Split Debt Service'!H43),0)</f>
        <v>273</v>
      </c>
      <c r="W38" s="229">
        <f>+'Split Debt Service'!I43</f>
        <v>226</v>
      </c>
      <c r="X38" s="229">
        <f>+'Split Debt Service'!J43</f>
        <v>177</v>
      </c>
      <c r="Y38" s="229">
        <f>+'Split Debt Service'!K43</f>
        <v>128</v>
      </c>
      <c r="Z38" s="229">
        <f>+'Split Debt Service'!L43</f>
        <v>77</v>
      </c>
      <c r="AA38" s="229">
        <f>+'Split Debt Service'!M43</f>
        <v>266</v>
      </c>
      <c r="AB38" s="229">
        <f>+'Split Debt Service'!N43</f>
        <v>0</v>
      </c>
      <c r="AC38" s="229">
        <f>+'Split Debt Service'!O43</f>
        <v>0</v>
      </c>
      <c r="AD38" s="229">
        <f>+'Split Debt Service'!P43</f>
        <v>0</v>
      </c>
      <c r="AE38" s="229">
        <f>+'Split Debt Service'!Q43</f>
        <v>0</v>
      </c>
      <c r="AF38" s="229">
        <f>+'Split Debt Service'!R43</f>
        <v>0</v>
      </c>
      <c r="AG38" s="229">
        <f>+'Split Debt Service'!S43</f>
        <v>0</v>
      </c>
      <c r="AH38" s="229">
        <f>+'Split Debt Service'!T43</f>
        <v>0</v>
      </c>
      <c r="AI38" s="229">
        <f>+'Split Debt Service'!U43</f>
        <v>0</v>
      </c>
      <c r="AJ38" s="229">
        <f>+'Split Debt Service'!V43</f>
        <v>0</v>
      </c>
      <c r="AK38" s="229">
        <f>+'Split Debt Service'!W43</f>
        <v>0</v>
      </c>
      <c r="AL38" s="229">
        <f>+'Split Debt Service'!X43</f>
        <v>0</v>
      </c>
      <c r="AM38" s="229">
        <f>+'Split Debt Service'!Y43</f>
        <v>0</v>
      </c>
      <c r="AN38" s="229">
        <f>+'Split Debt Service'!Z43</f>
        <v>0</v>
      </c>
      <c r="AO38" s="229">
        <f>+'Split Debt Service'!AA43</f>
        <v>0</v>
      </c>
      <c r="AP38" s="229">
        <f>+'Split Debt Service'!AB43</f>
        <v>0</v>
      </c>
      <c r="AQ38" s="229">
        <f>+'Split Debt Service'!AC43</f>
        <v>0</v>
      </c>
      <c r="AR38" s="229">
        <f>+'Split Debt Service'!AD43</f>
        <v>0</v>
      </c>
      <c r="AS38" s="229">
        <f>+'Split Debt Service'!AE43</f>
        <v>0</v>
      </c>
      <c r="AT38" s="229">
        <f>+'Split Debt Service'!AF43</f>
        <v>0</v>
      </c>
      <c r="AU38" s="229">
        <f>+'Split Debt Service'!AG43</f>
        <v>0</v>
      </c>
      <c r="AV38" s="229">
        <f>+'Split Debt Service'!AH43</f>
        <v>0</v>
      </c>
      <c r="AW38" s="229">
        <f>+'Split Debt Service'!AI43</f>
        <v>0</v>
      </c>
      <c r="AX38" s="229">
        <f>+'Split Debt Service'!AJ43</f>
        <v>0</v>
      </c>
    </row>
    <row r="39" spans="1:50" x14ac:dyDescent="0.2">
      <c r="A39" s="779" t="s">
        <v>1782</v>
      </c>
      <c r="B39" s="60" t="s">
        <v>1539</v>
      </c>
      <c r="C39" s="110">
        <v>24734.01</v>
      </c>
      <c r="D39" s="266">
        <v>24023.5</v>
      </c>
      <c r="E39" s="266">
        <v>23295.65</v>
      </c>
      <c r="F39" s="266">
        <v>22550.01</v>
      </c>
      <c r="G39" s="266">
        <v>21786.15</v>
      </c>
      <c r="H39" s="266">
        <v>21003.63</v>
      </c>
      <c r="I39" s="266">
        <v>20201.97</v>
      </c>
      <c r="J39" s="266">
        <v>19380.72</v>
      </c>
      <c r="K39" s="229">
        <v>18540</v>
      </c>
      <c r="L39" s="266">
        <v>18539.419999999998</v>
      </c>
      <c r="M39" s="229">
        <v>17678</v>
      </c>
      <c r="N39" s="266">
        <v>17677.560000000001</v>
      </c>
      <c r="O39" s="229">
        <v>16795</v>
      </c>
      <c r="P39" s="110">
        <v>8620.7199999999993</v>
      </c>
      <c r="Q39" s="36">
        <f t="shared" si="5"/>
        <v>15890</v>
      </c>
      <c r="R39" s="36"/>
      <c r="S39" s="36"/>
      <c r="U39" s="229">
        <f>+'Split Debt Service'!G44</f>
        <v>18540</v>
      </c>
      <c r="V39" s="229">
        <f>ROUND((+'Split Debt Service'!H44),0)</f>
        <v>17678</v>
      </c>
      <c r="W39" s="229">
        <f>+'Split Debt Service'!I44</f>
        <v>16795</v>
      </c>
      <c r="X39" s="229">
        <f>+'Split Debt Service'!J44</f>
        <v>15890</v>
      </c>
      <c r="Y39" s="229">
        <f>+'Split Debt Service'!K44</f>
        <v>14964</v>
      </c>
      <c r="Z39" s="229">
        <f>+'Split Debt Service'!L44</f>
        <v>14015</v>
      </c>
      <c r="AA39" s="229">
        <f>+'Split Debt Service'!M44</f>
        <v>13042</v>
      </c>
      <c r="AB39" s="229">
        <f>+'Split Debt Service'!N44</f>
        <v>12046.119999999999</v>
      </c>
      <c r="AC39" s="229">
        <f>+'Split Debt Service'!O44</f>
        <v>11026</v>
      </c>
      <c r="AD39" s="229">
        <f>+'Split Debt Service'!P44</f>
        <v>9980</v>
      </c>
      <c r="AE39" s="229">
        <f>+'Split Debt Service'!Q44</f>
        <v>8909</v>
      </c>
      <c r="AF39" s="229">
        <f>+'Split Debt Service'!R44</f>
        <v>7812</v>
      </c>
      <c r="AG39" s="229">
        <f>+'Split Debt Service'!S44</f>
        <v>6688</v>
      </c>
      <c r="AH39" s="229">
        <f>+'Split Debt Service'!T44</f>
        <v>5536</v>
      </c>
      <c r="AI39" s="229">
        <f>+'Split Debt Service'!U44</f>
        <v>4357</v>
      </c>
      <c r="AJ39" s="229">
        <f>+'Split Debt Service'!V44</f>
        <v>3148</v>
      </c>
      <c r="AK39" s="229">
        <f>+'Split Debt Service'!W44</f>
        <v>1910</v>
      </c>
      <c r="AL39" s="229">
        <f>+'Split Debt Service'!X44</f>
        <v>642</v>
      </c>
      <c r="AM39" s="229">
        <f>+'Split Debt Service'!Y44</f>
        <v>0</v>
      </c>
      <c r="AN39" s="229">
        <f>+'Split Debt Service'!Z44</f>
        <v>0</v>
      </c>
      <c r="AO39" s="229">
        <f>+'Split Debt Service'!AA44</f>
        <v>0</v>
      </c>
      <c r="AP39" s="229">
        <f>+'Split Debt Service'!AB44</f>
        <v>0</v>
      </c>
      <c r="AQ39" s="229">
        <f>+'Split Debt Service'!AC44</f>
        <v>0</v>
      </c>
      <c r="AR39" s="229">
        <f>+'Split Debt Service'!AD44</f>
        <v>0</v>
      </c>
      <c r="AS39" s="229">
        <f>+'Split Debt Service'!AE44</f>
        <v>0</v>
      </c>
      <c r="AT39" s="229">
        <f>+'Split Debt Service'!AF44</f>
        <v>0</v>
      </c>
      <c r="AU39" s="229">
        <f>+'Split Debt Service'!AG44</f>
        <v>0</v>
      </c>
      <c r="AV39" s="229">
        <f>+'Split Debt Service'!AH44</f>
        <v>0</v>
      </c>
      <c r="AW39" s="229">
        <f>+'Split Debt Service'!AI44</f>
        <v>0</v>
      </c>
      <c r="AX39" s="229">
        <f>+'Split Debt Service'!AJ44</f>
        <v>0</v>
      </c>
    </row>
    <row r="40" spans="1:50" x14ac:dyDescent="0.2">
      <c r="A40" s="779" t="s">
        <v>1783</v>
      </c>
      <c r="B40" s="60" t="s">
        <v>1562</v>
      </c>
      <c r="C40" s="110">
        <v>1536.9</v>
      </c>
      <c r="D40" s="266">
        <v>1548.49</v>
      </c>
      <c r="E40" s="266">
        <v>1447.54</v>
      </c>
      <c r="F40" s="266">
        <v>1401.21</v>
      </c>
      <c r="G40" s="266">
        <v>1353.74</v>
      </c>
      <c r="H40" s="266">
        <v>1305.1099999999999</v>
      </c>
      <c r="I40" s="266">
        <v>1255.3</v>
      </c>
      <c r="J40" s="266">
        <v>1204.27</v>
      </c>
      <c r="K40" s="229">
        <v>1152</v>
      </c>
      <c r="L40" s="266">
        <v>1151.99</v>
      </c>
      <c r="M40" s="229">
        <v>1099</v>
      </c>
      <c r="N40" s="266">
        <v>1098.43</v>
      </c>
      <c r="O40" s="229">
        <v>1044</v>
      </c>
      <c r="P40" s="110">
        <v>535.66999999999996</v>
      </c>
      <c r="Q40" s="36">
        <f t="shared" si="5"/>
        <v>988</v>
      </c>
      <c r="R40" s="36"/>
      <c r="S40" s="36"/>
      <c r="U40" s="229">
        <f>+'Split Debt Service'!G45</f>
        <v>1152</v>
      </c>
      <c r="V40" s="229">
        <f>ROUND((+'Split Debt Service'!H45),0)</f>
        <v>1099</v>
      </c>
      <c r="W40" s="229">
        <f>+'Split Debt Service'!I45</f>
        <v>1044</v>
      </c>
      <c r="X40" s="229">
        <f>+'Split Debt Service'!J45</f>
        <v>988</v>
      </c>
      <c r="Y40" s="229">
        <f>+'Split Debt Service'!K45</f>
        <v>870</v>
      </c>
      <c r="Z40" s="229">
        <f>+'Split Debt Service'!L45</f>
        <v>871</v>
      </c>
      <c r="AA40" s="229">
        <f>+'Split Debt Service'!M45</f>
        <v>811</v>
      </c>
      <c r="AB40" s="229">
        <f>+'Split Debt Service'!N45</f>
        <v>749</v>
      </c>
      <c r="AC40" s="229">
        <f>+'Split Debt Service'!O45</f>
        <v>685</v>
      </c>
      <c r="AD40" s="229">
        <f>+'Split Debt Service'!P45</f>
        <v>620</v>
      </c>
      <c r="AE40" s="229">
        <f>+'Split Debt Service'!Q45</f>
        <v>554</v>
      </c>
      <c r="AF40" s="229">
        <f>+'Split Debt Service'!R45</f>
        <v>485</v>
      </c>
      <c r="AG40" s="229">
        <f>+'Split Debt Service'!S45</f>
        <v>416</v>
      </c>
      <c r="AH40" s="229">
        <f>+'Split Debt Service'!T45</f>
        <v>344</v>
      </c>
      <c r="AI40" s="229">
        <f>+'Split Debt Service'!U45</f>
        <v>271</v>
      </c>
      <c r="AJ40" s="229">
        <f>+'Split Debt Service'!V45</f>
        <v>196</v>
      </c>
      <c r="AK40" s="229">
        <f>+'Split Debt Service'!W45</f>
        <v>119</v>
      </c>
      <c r="AL40" s="229">
        <f>+'Split Debt Service'!X45</f>
        <v>40</v>
      </c>
      <c r="AM40" s="229">
        <f>+'Split Debt Service'!Y45</f>
        <v>0</v>
      </c>
      <c r="AN40" s="229">
        <f>+'Split Debt Service'!Z45</f>
        <v>0</v>
      </c>
      <c r="AO40" s="229">
        <f>+'Split Debt Service'!AA45</f>
        <v>0</v>
      </c>
      <c r="AP40" s="229">
        <f>+'Split Debt Service'!AB45</f>
        <v>0</v>
      </c>
      <c r="AQ40" s="229">
        <f>+'Split Debt Service'!AC45</f>
        <v>0</v>
      </c>
      <c r="AR40" s="229">
        <f>+'Split Debt Service'!AD45</f>
        <v>0</v>
      </c>
      <c r="AS40" s="229">
        <f>+'Split Debt Service'!AE45</f>
        <v>0</v>
      </c>
      <c r="AT40" s="229">
        <f>+'Split Debt Service'!AF45</f>
        <v>0</v>
      </c>
      <c r="AU40" s="229">
        <f>+'Split Debt Service'!AG45</f>
        <v>0</v>
      </c>
      <c r="AV40" s="229">
        <f>+'Split Debt Service'!AH45</f>
        <v>0</v>
      </c>
      <c r="AW40" s="229">
        <f>+'Split Debt Service'!AI45</f>
        <v>0</v>
      </c>
      <c r="AX40" s="229">
        <f>+'Split Debt Service'!AJ45</f>
        <v>0</v>
      </c>
    </row>
    <row r="41" spans="1:50" x14ac:dyDescent="0.2">
      <c r="A41" s="779" t="s">
        <v>1784</v>
      </c>
      <c r="B41" s="60" t="s">
        <v>1540</v>
      </c>
      <c r="C41" s="110">
        <v>25310.43</v>
      </c>
      <c r="D41" s="266">
        <v>25310.43</v>
      </c>
      <c r="E41" s="266">
        <v>24954.14</v>
      </c>
      <c r="F41" s="266">
        <v>24582.26</v>
      </c>
      <c r="G41" s="266">
        <v>24194.12</v>
      </c>
      <c r="H41" s="266">
        <v>23788.99</v>
      </c>
      <c r="I41" s="266">
        <v>23366.14</v>
      </c>
      <c r="J41" s="266">
        <v>27785.46</v>
      </c>
      <c r="K41" s="229">
        <v>16148</v>
      </c>
      <c r="L41" s="266">
        <v>16147.59</v>
      </c>
      <c r="M41" s="229">
        <v>15154</v>
      </c>
      <c r="N41" s="266">
        <v>15153.76</v>
      </c>
      <c r="O41" s="229">
        <v>14554</v>
      </c>
      <c r="P41" s="110">
        <v>7276.88</v>
      </c>
      <c r="Q41" s="36">
        <f t="shared" si="5"/>
        <v>13954</v>
      </c>
      <c r="R41" s="36"/>
      <c r="S41" s="36"/>
      <c r="U41" s="229">
        <f>+'Split Debt Service'!G46</f>
        <v>16148</v>
      </c>
      <c r="V41" s="229">
        <f>ROUND((+'Split Debt Service'!H46),0)</f>
        <v>15154</v>
      </c>
      <c r="W41" s="229">
        <f>+'Split Debt Service'!I46</f>
        <v>14554</v>
      </c>
      <c r="X41" s="229">
        <f>+'Split Debt Service'!J46</f>
        <v>13954</v>
      </c>
      <c r="Y41" s="229">
        <f>+'Split Debt Service'!K46</f>
        <v>13204</v>
      </c>
      <c r="Z41" s="229">
        <f>+'Split Debt Service'!L46</f>
        <v>12454</v>
      </c>
      <c r="AA41" s="229">
        <f>+'Split Debt Service'!M46</f>
        <v>11704</v>
      </c>
      <c r="AB41" s="229">
        <f>+'Split Debt Service'!N46</f>
        <v>10954</v>
      </c>
      <c r="AC41" s="229">
        <f>+'Split Debt Service'!O46</f>
        <v>10054</v>
      </c>
      <c r="AD41" s="229">
        <f>+'Split Debt Service'!P46</f>
        <v>9154</v>
      </c>
      <c r="AE41" s="229">
        <f>+'Split Debt Service'!Q46</f>
        <v>8254</v>
      </c>
      <c r="AF41" s="229">
        <f>+'Split Debt Service'!R46</f>
        <v>7834</v>
      </c>
      <c r="AG41" s="229">
        <f>+'Split Debt Service'!S46</f>
        <v>7414</v>
      </c>
      <c r="AH41" s="229">
        <f>+'Split Debt Service'!T46</f>
        <v>6994</v>
      </c>
      <c r="AI41" s="229">
        <f>+'Split Debt Service'!U46</f>
        <v>6548</v>
      </c>
      <c r="AJ41" s="229">
        <f>+'Split Debt Service'!V46</f>
        <v>6101</v>
      </c>
      <c r="AK41" s="229">
        <f>+'Split Debt Service'!W46</f>
        <v>5629</v>
      </c>
      <c r="AL41" s="229">
        <f>+'Split Debt Service'!X46</f>
        <v>5130</v>
      </c>
      <c r="AM41" s="229">
        <f>+'Split Debt Service'!Y46</f>
        <v>4560</v>
      </c>
      <c r="AN41" s="229">
        <f>+'Split Debt Service'!Z46</f>
        <v>3990</v>
      </c>
      <c r="AO41" s="229">
        <f>+'Split Debt Service'!AA46</f>
        <v>3390</v>
      </c>
      <c r="AP41" s="229">
        <f>+'Split Debt Service'!AB46</f>
        <v>2790</v>
      </c>
      <c r="AQ41" s="229">
        <f>+'Split Debt Service'!AC46</f>
        <v>2160</v>
      </c>
      <c r="AR41" s="229">
        <f>+'Split Debt Service'!AD46</f>
        <v>1451</v>
      </c>
      <c r="AS41" s="229">
        <f>+'Split Debt Service'!AE46</f>
        <v>743</v>
      </c>
      <c r="AT41" s="229">
        <f>+'Split Debt Service'!AF46</f>
        <v>0</v>
      </c>
      <c r="AU41" s="229">
        <f>+'Split Debt Service'!AG46</f>
        <v>0</v>
      </c>
      <c r="AV41" s="229">
        <f>+'Split Debt Service'!AH46</f>
        <v>0</v>
      </c>
      <c r="AW41" s="229">
        <f>+'Split Debt Service'!AI46</f>
        <v>0</v>
      </c>
      <c r="AX41" s="229">
        <f>+'Split Debt Service'!AJ46</f>
        <v>0</v>
      </c>
    </row>
    <row r="42" spans="1:50" x14ac:dyDescent="0.2">
      <c r="A42" s="779" t="s">
        <v>1785</v>
      </c>
      <c r="B42" s="60" t="s">
        <v>1541</v>
      </c>
      <c r="C42" s="35">
        <v>23710.799999999999</v>
      </c>
      <c r="D42" s="266">
        <v>23412.71</v>
      </c>
      <c r="E42" s="266">
        <v>23102.63</v>
      </c>
      <c r="F42" s="266">
        <v>22779.73</v>
      </c>
      <c r="G42" s="266">
        <v>22443.54</v>
      </c>
      <c r="H42" s="266">
        <v>22093.47</v>
      </c>
      <c r="I42" s="266">
        <v>21728.97</v>
      </c>
      <c r="J42" s="266">
        <v>21349.43</v>
      </c>
      <c r="K42" s="229">
        <v>20954</v>
      </c>
      <c r="L42" s="266">
        <v>20954.22</v>
      </c>
      <c r="M42" s="229">
        <v>20543</v>
      </c>
      <c r="N42" s="266">
        <v>20542.72</v>
      </c>
      <c r="O42" s="229">
        <v>20114</v>
      </c>
      <c r="P42" s="110">
        <v>20114.25</v>
      </c>
      <c r="Q42" s="36">
        <f t="shared" si="5"/>
        <v>19669</v>
      </c>
      <c r="R42" s="36"/>
      <c r="S42" s="36"/>
      <c r="U42" s="229">
        <f>+'Split Debt Service'!G47</f>
        <v>20954</v>
      </c>
      <c r="V42" s="229">
        <f>ROUND((+'Split Debt Service'!H47),0)</f>
        <v>20543</v>
      </c>
      <c r="W42" s="229">
        <f>+'Split Debt Service'!I47</f>
        <v>20114</v>
      </c>
      <c r="X42" s="229">
        <f>+'Split Debt Service'!J47</f>
        <v>19669</v>
      </c>
      <c r="Y42" s="229">
        <f>+'Split Debt Service'!K47</f>
        <v>19204</v>
      </c>
      <c r="Z42" s="229">
        <f>+'Split Debt Service'!L47</f>
        <v>18720</v>
      </c>
      <c r="AA42" s="229">
        <f>+'Split Debt Service'!M47</f>
        <v>18217</v>
      </c>
      <c r="AB42" s="229">
        <f>+'Split Debt Service'!N47</f>
        <v>17692</v>
      </c>
      <c r="AC42" s="229">
        <f>+'Split Debt Service'!O47</f>
        <v>17146</v>
      </c>
      <c r="AD42" s="229">
        <f>+'Split Debt Service'!P47</f>
        <v>16577</v>
      </c>
      <c r="AE42" s="229">
        <f>+'Split Debt Service'!Q47</f>
        <v>15985</v>
      </c>
      <c r="AF42" s="229">
        <f>+'Split Debt Service'!R47</f>
        <v>15369</v>
      </c>
      <c r="AG42" s="229">
        <f>+'Split Debt Service'!S47</f>
        <v>14727</v>
      </c>
      <c r="AH42" s="229">
        <f>+'Split Debt Service'!T47</f>
        <v>14059</v>
      </c>
      <c r="AI42" s="229">
        <f>+'Split Debt Service'!U47</f>
        <v>13363</v>
      </c>
      <c r="AJ42" s="229">
        <f>+'Split Debt Service'!V47</f>
        <v>12638</v>
      </c>
      <c r="AK42" s="229">
        <f>+'Split Debt Service'!W47</f>
        <v>11883</v>
      </c>
      <c r="AL42" s="229">
        <f>+'Split Debt Service'!X47</f>
        <v>11098</v>
      </c>
      <c r="AM42" s="229">
        <f>+'Split Debt Service'!Y47</f>
        <v>10280</v>
      </c>
      <c r="AN42" s="229">
        <f>+'Split Debt Service'!Z47</f>
        <v>9428</v>
      </c>
      <c r="AO42" s="229">
        <f>+'Split Debt Service'!AA47</f>
        <v>8540</v>
      </c>
      <c r="AP42" s="229">
        <f>+'Split Debt Service'!AB47</f>
        <v>7617</v>
      </c>
      <c r="AQ42" s="229">
        <f>+'Split Debt Service'!AC47</f>
        <v>6655</v>
      </c>
      <c r="AR42" s="229">
        <f>+'Split Debt Service'!AD47</f>
        <v>5654</v>
      </c>
      <c r="AS42" s="229">
        <f>+'Split Debt Service'!AE47</f>
        <v>4612</v>
      </c>
      <c r="AT42" s="229">
        <f>+'Split Debt Service'!AF47</f>
        <v>1726</v>
      </c>
      <c r="AU42" s="229">
        <f>+'Split Debt Service'!AG47</f>
        <v>2395</v>
      </c>
      <c r="AV42" s="229">
        <f>+'Split Debt Service'!AH47</f>
        <v>1218</v>
      </c>
      <c r="AW42" s="229">
        <f>+'Split Debt Service'!AI47</f>
        <v>0</v>
      </c>
      <c r="AX42" s="229">
        <f>+'Split Debt Service'!AJ47</f>
        <v>0</v>
      </c>
    </row>
    <row r="43" spans="1:50" hidden="1" x14ac:dyDescent="0.2">
      <c r="A43" s="779" t="s">
        <v>1786</v>
      </c>
      <c r="B43" s="12" t="s">
        <v>1754</v>
      </c>
      <c r="C43" s="110">
        <v>18050.560000000001</v>
      </c>
      <c r="D43" s="266">
        <v>14609.79</v>
      </c>
      <c r="E43" s="266">
        <v>11041.41</v>
      </c>
      <c r="F43" s="266">
        <v>7320.51</v>
      </c>
      <c r="G43" s="266">
        <v>1534.09</v>
      </c>
      <c r="H43" s="266"/>
      <c r="I43" s="266">
        <v>0</v>
      </c>
      <c r="J43" s="266"/>
      <c r="K43" s="229"/>
      <c r="L43" s="266"/>
      <c r="M43" s="229"/>
      <c r="N43" s="266"/>
      <c r="O43" s="229"/>
      <c r="P43" s="110"/>
      <c r="Q43" s="36">
        <f t="shared" si="5"/>
        <v>0</v>
      </c>
      <c r="R43" s="36"/>
      <c r="S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row>
    <row r="44" spans="1:50" hidden="1" x14ac:dyDescent="0.2">
      <c r="A44" s="779" t="s">
        <v>1787</v>
      </c>
      <c r="B44" s="12" t="s">
        <v>1788</v>
      </c>
      <c r="C44" s="110">
        <v>493.92</v>
      </c>
      <c r="D44" s="266">
        <v>400.92</v>
      </c>
      <c r="E44" s="266">
        <v>305.18</v>
      </c>
      <c r="F44" s="266">
        <v>206.52</v>
      </c>
      <c r="G44" s="266">
        <v>104.82</v>
      </c>
      <c r="H44" s="266"/>
      <c r="I44" s="266">
        <v>0</v>
      </c>
      <c r="J44" s="266"/>
      <c r="K44" s="229"/>
      <c r="L44" s="266"/>
      <c r="M44" s="229"/>
      <c r="N44" s="266"/>
      <c r="O44" s="229"/>
      <c r="P44" s="110"/>
      <c r="Q44" s="36">
        <f t="shared" si="5"/>
        <v>0</v>
      </c>
      <c r="R44" s="36"/>
      <c r="S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row>
    <row r="45" spans="1:50" x14ac:dyDescent="0.2">
      <c r="A45" s="779" t="s">
        <v>1789</v>
      </c>
      <c r="B45" s="12" t="s">
        <v>1756</v>
      </c>
      <c r="C45" s="110"/>
      <c r="D45" s="266"/>
      <c r="E45" s="266">
        <v>44234.86</v>
      </c>
      <c r="F45" s="266">
        <v>52400</v>
      </c>
      <c r="G45" s="266">
        <v>50750</v>
      </c>
      <c r="H45" s="266">
        <v>49100</v>
      </c>
      <c r="I45" s="266">
        <v>47299.25</v>
      </c>
      <c r="J45" s="266">
        <v>45500</v>
      </c>
      <c r="K45" s="229">
        <v>43550</v>
      </c>
      <c r="L45" s="266">
        <v>43550</v>
      </c>
      <c r="M45" s="229">
        <v>41600</v>
      </c>
      <c r="N45" s="266">
        <v>41600</v>
      </c>
      <c r="O45" s="229">
        <v>39500</v>
      </c>
      <c r="P45" s="110">
        <v>19750</v>
      </c>
      <c r="Q45" s="36">
        <f t="shared" si="5"/>
        <v>37400</v>
      </c>
      <c r="R45" s="36"/>
      <c r="S45" s="36"/>
      <c r="U45" s="36">
        <v>43550</v>
      </c>
      <c r="V45" s="36">
        <v>41600</v>
      </c>
      <c r="W45" s="36">
        <v>39500</v>
      </c>
      <c r="X45" s="36">
        <v>37400</v>
      </c>
      <c r="Y45" s="36">
        <v>35150</v>
      </c>
      <c r="Z45" s="36">
        <v>32338</v>
      </c>
      <c r="AA45" s="36">
        <v>29338</v>
      </c>
      <c r="AB45" s="36">
        <v>26338</v>
      </c>
      <c r="AC45" s="36">
        <v>23150</v>
      </c>
      <c r="AD45" s="36">
        <v>19775</v>
      </c>
      <c r="AE45" s="36">
        <v>16400</v>
      </c>
      <c r="AF45" s="36">
        <v>12600</v>
      </c>
      <c r="AG45" s="36">
        <v>8600</v>
      </c>
      <c r="AH45" s="36">
        <v>4400</v>
      </c>
      <c r="AI45" s="36"/>
      <c r="AJ45" s="36"/>
      <c r="AK45" s="36"/>
      <c r="AL45" s="36"/>
      <c r="AM45" s="36"/>
      <c r="AN45" s="36"/>
      <c r="AO45" s="36"/>
      <c r="AP45" s="36"/>
      <c r="AQ45" s="36"/>
      <c r="AR45" s="36"/>
      <c r="AS45" s="36"/>
      <c r="AT45" s="36"/>
      <c r="AU45" s="36"/>
      <c r="AV45" s="36"/>
      <c r="AW45" s="36"/>
      <c r="AX45" s="36"/>
    </row>
    <row r="46" spans="1:50" x14ac:dyDescent="0.2">
      <c r="A46" s="779" t="s">
        <v>1790</v>
      </c>
      <c r="B46" s="12" t="s">
        <v>1758</v>
      </c>
      <c r="C46" s="110"/>
      <c r="D46" s="266"/>
      <c r="E46" s="266"/>
      <c r="F46" s="266"/>
      <c r="G46" s="266"/>
      <c r="H46" s="266"/>
      <c r="I46" s="266">
        <v>10817.49</v>
      </c>
      <c r="J46" s="266">
        <v>31020.58</v>
      </c>
      <c r="K46" s="229">
        <v>29726</v>
      </c>
      <c r="L46" s="266">
        <v>29725.94</v>
      </c>
      <c r="M46" s="229">
        <v>28403</v>
      </c>
      <c r="N46" s="266">
        <v>28403.16</v>
      </c>
      <c r="O46" s="229">
        <v>27052</v>
      </c>
      <c r="P46" s="110">
        <v>13867.33</v>
      </c>
      <c r="Q46" s="36">
        <f t="shared" si="5"/>
        <v>25670.75</v>
      </c>
      <c r="R46" s="36"/>
      <c r="S46" s="36"/>
      <c r="U46" s="36">
        <f>15190.11+14535.83</f>
        <v>29725.940000000002</v>
      </c>
      <c r="V46" s="36">
        <f>ROUND((14535.83+13867.33),0)</f>
        <v>28403</v>
      </c>
      <c r="W46" s="36">
        <f>13867.33+13184.31</f>
        <v>27051.64</v>
      </c>
      <c r="X46" s="36">
        <f>13184.31+12486.44</f>
        <v>25670.75</v>
      </c>
      <c r="Y46" s="36">
        <f>12486.44+11773.4</f>
        <v>24259.84</v>
      </c>
      <c r="Z46" s="36">
        <f>11773.4+11044.87</f>
        <v>22818.27</v>
      </c>
      <c r="AA46" s="36">
        <f>11044.87+10300.5</f>
        <v>21345.370000000003</v>
      </c>
      <c r="AB46" s="36">
        <f>10300.5+9539.96</f>
        <v>19840.46</v>
      </c>
      <c r="AC46" s="36">
        <f>5939.96+8762.89</f>
        <v>14702.849999999999</v>
      </c>
      <c r="AD46" s="36">
        <f>8762.89+7968.93</f>
        <v>16731.82</v>
      </c>
      <c r="AE46" s="36">
        <f>7968.93+7157.71</f>
        <v>15126.64</v>
      </c>
      <c r="AF46" s="36">
        <f>7157.71+6328.86</f>
        <v>13486.57</v>
      </c>
      <c r="AG46" s="36">
        <f>6328.86+5482</f>
        <v>11810.86</v>
      </c>
      <c r="AH46" s="36">
        <f>5482+4616.73</f>
        <v>10098.73</v>
      </c>
      <c r="AI46" s="36">
        <f>4616.73+3732.66</f>
        <v>8349.39</v>
      </c>
      <c r="AJ46" s="36">
        <f>3732.66+2829.37</f>
        <v>6562.03</v>
      </c>
      <c r="AK46" s="36">
        <f>2839.37+1906.45</f>
        <v>4745.82</v>
      </c>
      <c r="AL46" s="36">
        <f>1906.45+963.47</f>
        <v>2869.92</v>
      </c>
      <c r="AM46" s="36">
        <v>963.47</v>
      </c>
      <c r="AN46" s="36"/>
      <c r="AO46" s="36"/>
      <c r="AP46" s="36"/>
      <c r="AQ46" s="36"/>
      <c r="AR46" s="36"/>
      <c r="AS46" s="36"/>
      <c r="AT46" s="36"/>
      <c r="AU46" s="36"/>
      <c r="AV46" s="36"/>
      <c r="AW46" s="36"/>
      <c r="AX46" s="36"/>
    </row>
    <row r="47" spans="1:50" x14ac:dyDescent="0.2">
      <c r="A47" s="779" t="s">
        <v>1791</v>
      </c>
      <c r="B47" s="12" t="s">
        <v>1792</v>
      </c>
      <c r="C47" s="110"/>
      <c r="D47" s="266"/>
      <c r="E47" s="266"/>
      <c r="F47" s="266"/>
      <c r="G47" s="266"/>
      <c r="H47" s="266"/>
      <c r="I47" s="266">
        <v>8726.5499999999993</v>
      </c>
      <c r="J47" s="266">
        <v>2326.5500000000002</v>
      </c>
      <c r="K47" s="229">
        <v>2229</v>
      </c>
      <c r="L47" s="266">
        <v>2229.4499999999998</v>
      </c>
      <c r="M47" s="229">
        <v>2130</v>
      </c>
      <c r="N47" s="266">
        <v>2130.2399999999998</v>
      </c>
      <c r="O47" s="229">
        <v>2029</v>
      </c>
      <c r="P47" s="110">
        <v>1040.05</v>
      </c>
      <c r="Q47" s="36">
        <f t="shared" si="5"/>
        <v>1925.3000000000002</v>
      </c>
      <c r="R47" s="36"/>
      <c r="S47" s="36"/>
      <c r="U47" s="36">
        <f>1090.19+1139.28</f>
        <v>2229.4700000000003</v>
      </c>
      <c r="V47" s="36">
        <f>ROUND((1040.05+1090.19),0)</f>
        <v>2130</v>
      </c>
      <c r="W47" s="36">
        <f>988.82+1040.05</f>
        <v>2028.87</v>
      </c>
      <c r="X47" s="36">
        <f>936.48+988.82</f>
        <v>1925.3000000000002</v>
      </c>
      <c r="Y47" s="36">
        <f>883.01+936.48</f>
        <v>1819.49</v>
      </c>
      <c r="Z47" s="36">
        <f>828.37+883.01</f>
        <v>1711.38</v>
      </c>
      <c r="AA47" s="36">
        <f>772.54+828.37</f>
        <v>1600.9099999999999</v>
      </c>
      <c r="AB47" s="36">
        <f>715.5+772.54</f>
        <v>1488.04</v>
      </c>
      <c r="AC47" s="36">
        <f>257.22+715.5</f>
        <v>972.72</v>
      </c>
      <c r="AD47" s="36">
        <f>597.67+657.22</f>
        <v>1254.8899999999999</v>
      </c>
      <c r="AE47" s="36">
        <f>536.83+597.67</f>
        <v>1134.5</v>
      </c>
      <c r="AF47" s="36">
        <f>474.66+536.83</f>
        <v>1011.49</v>
      </c>
      <c r="AG47" s="36">
        <f>411.15+474.66</f>
        <v>885.81</v>
      </c>
      <c r="AH47" s="36">
        <f>346.25+411.15</f>
        <v>757.4</v>
      </c>
      <c r="AI47" s="36">
        <f>279.95+346.25</f>
        <v>626.20000000000005</v>
      </c>
      <c r="AJ47" s="36">
        <f>212.2+279.95</f>
        <v>492.15</v>
      </c>
      <c r="AK47" s="36">
        <f>142.98+212.2</f>
        <v>355.17999999999995</v>
      </c>
      <c r="AL47" s="36">
        <f>72.26+142.98</f>
        <v>215.24</v>
      </c>
      <c r="AM47" s="36">
        <v>72.260000000000005</v>
      </c>
      <c r="AN47" s="36"/>
      <c r="AO47" s="36"/>
      <c r="AP47" s="36"/>
      <c r="AQ47" s="36"/>
      <c r="AR47" s="36"/>
      <c r="AS47" s="36"/>
      <c r="AT47" s="36"/>
      <c r="AU47" s="36"/>
      <c r="AV47" s="36"/>
      <c r="AW47" s="36"/>
      <c r="AX47" s="36"/>
    </row>
    <row r="48" spans="1:50" x14ac:dyDescent="0.2">
      <c r="A48" s="779" t="s">
        <v>1793</v>
      </c>
      <c r="B48" s="12" t="s">
        <v>1760</v>
      </c>
      <c r="C48" s="110"/>
      <c r="D48" s="266"/>
      <c r="E48" s="266"/>
      <c r="F48" s="266"/>
      <c r="G48" s="266"/>
      <c r="H48" s="266"/>
      <c r="I48" s="266">
        <v>0</v>
      </c>
      <c r="J48" s="266">
        <v>7138.34</v>
      </c>
      <c r="K48" s="229">
        <v>5192</v>
      </c>
      <c r="L48" s="266">
        <v>5191.26</v>
      </c>
      <c r="M48" s="229">
        <v>4992</v>
      </c>
      <c r="N48" s="266">
        <v>4991.26</v>
      </c>
      <c r="O48" s="229">
        <v>4767</v>
      </c>
      <c r="P48" s="110">
        <v>2445.62</v>
      </c>
      <c r="Q48" s="36">
        <f t="shared" si="5"/>
        <v>4517</v>
      </c>
      <c r="R48" s="36"/>
      <c r="S48" s="36"/>
      <c r="U48" s="559">
        <v>5192</v>
      </c>
      <c r="V48" s="559">
        <v>4992</v>
      </c>
      <c r="W48" s="559">
        <v>4767</v>
      </c>
      <c r="X48" s="559">
        <v>4517</v>
      </c>
      <c r="Y48" s="559">
        <v>4323</v>
      </c>
      <c r="Z48" s="559">
        <v>4185</v>
      </c>
      <c r="AA48" s="559">
        <v>3992</v>
      </c>
      <c r="AB48" s="559">
        <v>3792</v>
      </c>
      <c r="AC48" s="559">
        <v>3627</v>
      </c>
      <c r="AD48" s="36">
        <v>3447</v>
      </c>
      <c r="AE48" s="36">
        <v>3267</v>
      </c>
      <c r="AF48" s="36">
        <v>3087</v>
      </c>
      <c r="AG48" s="36">
        <v>2907</v>
      </c>
      <c r="AH48" s="36">
        <v>2712</v>
      </c>
      <c r="AI48" s="36">
        <v>2497</v>
      </c>
      <c r="AJ48" s="36">
        <v>2274</v>
      </c>
      <c r="AK48" s="36">
        <v>2047</v>
      </c>
      <c r="AL48" s="36">
        <v>1819</v>
      </c>
      <c r="AM48" s="36">
        <v>1570</v>
      </c>
      <c r="AN48" s="36">
        <v>1295</v>
      </c>
      <c r="AO48" s="36">
        <v>1015</v>
      </c>
      <c r="AP48" s="36">
        <v>735</v>
      </c>
      <c r="AQ48" s="36">
        <v>738</v>
      </c>
      <c r="AR48" s="36">
        <v>140</v>
      </c>
      <c r="AS48" s="36"/>
      <c r="AT48" s="36"/>
      <c r="AU48" s="36"/>
      <c r="AV48" s="36"/>
      <c r="AW48" s="36"/>
      <c r="AX48" s="36"/>
    </row>
    <row r="49" spans="1:50" x14ac:dyDescent="0.2">
      <c r="A49" s="779" t="s">
        <v>1794</v>
      </c>
      <c r="B49" s="12" t="s">
        <v>1762</v>
      </c>
      <c r="C49" s="110"/>
      <c r="D49" s="266"/>
      <c r="E49" s="266"/>
      <c r="F49" s="266"/>
      <c r="G49" s="266"/>
      <c r="H49" s="266"/>
      <c r="I49" s="266">
        <v>0</v>
      </c>
      <c r="J49" s="266">
        <v>17480</v>
      </c>
      <c r="K49" s="229">
        <v>12704</v>
      </c>
      <c r="L49" s="266">
        <v>12703.76</v>
      </c>
      <c r="M49" s="229">
        <v>12204</v>
      </c>
      <c r="N49" s="266">
        <v>12203.76</v>
      </c>
      <c r="O49" s="229">
        <v>11679</v>
      </c>
      <c r="P49" s="110">
        <v>5976.88</v>
      </c>
      <c r="Q49" s="36">
        <f t="shared" si="5"/>
        <v>11104</v>
      </c>
      <c r="R49" s="36"/>
      <c r="S49" s="36"/>
      <c r="U49" s="559">
        <v>12704</v>
      </c>
      <c r="V49" s="559">
        <v>12204</v>
      </c>
      <c r="W49" s="559">
        <v>11679</v>
      </c>
      <c r="X49" s="559">
        <v>11104</v>
      </c>
      <c r="Y49" s="559">
        <v>10639</v>
      </c>
      <c r="Z49" s="559">
        <v>10309</v>
      </c>
      <c r="AA49" s="559">
        <v>9819</v>
      </c>
      <c r="AB49" s="559">
        <v>9299</v>
      </c>
      <c r="AC49" s="559">
        <v>8894</v>
      </c>
      <c r="AD49" s="36">
        <v>8474</v>
      </c>
      <c r="AE49" s="36">
        <v>8039</v>
      </c>
      <c r="AF49" s="36">
        <v>7589</v>
      </c>
      <c r="AG49" s="36">
        <v>7139</v>
      </c>
      <c r="AH49" s="36">
        <v>6674</v>
      </c>
      <c r="AI49" s="36">
        <v>6184</v>
      </c>
      <c r="AJ49" s="36">
        <v>5658</v>
      </c>
      <c r="AK49" s="36">
        <v>5089</v>
      </c>
      <c r="AL49" s="36">
        <v>4504</v>
      </c>
      <c r="AM49" s="36">
        <v>3891</v>
      </c>
      <c r="AN49" s="36">
        <v>3238</v>
      </c>
      <c r="AO49" s="36">
        <v>2555</v>
      </c>
      <c r="AP49" s="36">
        <v>1838</v>
      </c>
      <c r="AQ49" s="36">
        <v>1103</v>
      </c>
      <c r="AR49" s="36">
        <v>368</v>
      </c>
      <c r="AS49" s="36"/>
      <c r="AT49" s="36"/>
      <c r="AU49" s="36"/>
      <c r="AV49" s="36"/>
      <c r="AW49" s="36"/>
      <c r="AX49" s="36"/>
    </row>
    <row r="50" spans="1:50" x14ac:dyDescent="0.2">
      <c r="A50" s="779" t="s">
        <v>1795</v>
      </c>
      <c r="B50" s="12" t="s">
        <v>1764</v>
      </c>
      <c r="C50" s="110"/>
      <c r="D50" s="266"/>
      <c r="E50" s="266"/>
      <c r="F50" s="266"/>
      <c r="G50" s="266"/>
      <c r="H50" s="266"/>
      <c r="I50" s="266"/>
      <c r="J50" s="266">
        <v>16835</v>
      </c>
      <c r="K50" s="229">
        <v>12220</v>
      </c>
      <c r="L50" s="266">
        <v>12220</v>
      </c>
      <c r="M50" s="229">
        <v>11720</v>
      </c>
      <c r="N50" s="266">
        <v>11720</v>
      </c>
      <c r="O50" s="229">
        <v>11195</v>
      </c>
      <c r="P50" s="110">
        <v>5735</v>
      </c>
      <c r="Q50" s="36">
        <f t="shared" si="5"/>
        <v>10645</v>
      </c>
      <c r="R50" s="36"/>
      <c r="S50" s="36"/>
      <c r="U50" s="559">
        <v>12220</v>
      </c>
      <c r="V50" s="559">
        <v>11720</v>
      </c>
      <c r="W50" s="559">
        <v>11195</v>
      </c>
      <c r="X50" s="559">
        <v>10645</v>
      </c>
      <c r="Y50" s="559">
        <v>10219</v>
      </c>
      <c r="Z50" s="559">
        <v>9903</v>
      </c>
      <c r="AA50" s="559">
        <v>9438</v>
      </c>
      <c r="AB50" s="559">
        <v>8943</v>
      </c>
      <c r="AC50" s="559">
        <v>8553</v>
      </c>
      <c r="AD50" s="36">
        <v>8148</v>
      </c>
      <c r="AE50" s="36">
        <v>7728</v>
      </c>
      <c r="AF50" s="36">
        <v>7308</v>
      </c>
      <c r="AG50" s="36">
        <v>6873</v>
      </c>
      <c r="AH50" s="36">
        <v>6423</v>
      </c>
      <c r="AI50" s="36">
        <v>5948</v>
      </c>
      <c r="AJ50" s="36">
        <v>5438</v>
      </c>
      <c r="AK50" s="36">
        <v>4902</v>
      </c>
      <c r="AL50" s="36">
        <v>4349</v>
      </c>
      <c r="AM50" s="36">
        <v>3769</v>
      </c>
      <c r="AN50" s="36">
        <v>3133</v>
      </c>
      <c r="AO50" s="36">
        <v>2468</v>
      </c>
      <c r="AP50" s="36">
        <v>1785</v>
      </c>
      <c r="AQ50" s="36">
        <v>1068</v>
      </c>
      <c r="AR50" s="36">
        <v>350</v>
      </c>
      <c r="AS50" s="36"/>
      <c r="AT50" s="36"/>
      <c r="AU50" s="36"/>
      <c r="AV50" s="36"/>
      <c r="AW50" s="36"/>
      <c r="AX50" s="36"/>
    </row>
    <row r="51" spans="1:50" x14ac:dyDescent="0.2">
      <c r="A51" s="779" t="s">
        <v>1796</v>
      </c>
      <c r="B51" s="12" t="s">
        <v>1766</v>
      </c>
      <c r="C51" s="110"/>
      <c r="D51" s="266"/>
      <c r="E51" s="266"/>
      <c r="F51" s="266"/>
      <c r="G51" s="266"/>
      <c r="H51" s="266"/>
      <c r="I51" s="266"/>
      <c r="J51" s="266">
        <v>4640</v>
      </c>
      <c r="K51" s="229">
        <v>3374</v>
      </c>
      <c r="L51" s="266">
        <v>3373.76</v>
      </c>
      <c r="M51" s="229">
        <v>3224</v>
      </c>
      <c r="N51" s="266">
        <v>3223.75</v>
      </c>
      <c r="O51" s="229">
        <v>3074</v>
      </c>
      <c r="P51" s="110">
        <v>1574.38</v>
      </c>
      <c r="Q51" s="36">
        <f t="shared" si="5"/>
        <v>2924</v>
      </c>
      <c r="R51" s="36"/>
      <c r="S51" s="36"/>
      <c r="U51" s="559">
        <v>3374</v>
      </c>
      <c r="V51" s="559">
        <v>3224</v>
      </c>
      <c r="W51" s="559">
        <v>3074</v>
      </c>
      <c r="X51" s="559">
        <v>2924</v>
      </c>
      <c r="Y51" s="559">
        <v>2808</v>
      </c>
      <c r="Z51" s="559">
        <v>2725</v>
      </c>
      <c r="AA51" s="559">
        <v>2609</v>
      </c>
      <c r="AB51" s="559">
        <v>2474</v>
      </c>
      <c r="AC51" s="559">
        <v>2354</v>
      </c>
      <c r="AD51" s="36">
        <v>2234</v>
      </c>
      <c r="AE51" s="36">
        <v>2114</v>
      </c>
      <c r="AF51" s="36">
        <v>1994</v>
      </c>
      <c r="AG51" s="36">
        <v>1874</v>
      </c>
      <c r="AH51" s="36">
        <v>1754</v>
      </c>
      <c r="AI51" s="36">
        <v>1632</v>
      </c>
      <c r="AJ51" s="36">
        <v>1504</v>
      </c>
      <c r="AK51" s="36">
        <v>1358</v>
      </c>
      <c r="AL51" s="36">
        <v>1195</v>
      </c>
      <c r="AM51" s="36">
        <v>1030</v>
      </c>
      <c r="AN51" s="36">
        <v>858</v>
      </c>
      <c r="AO51" s="36">
        <v>683</v>
      </c>
      <c r="AP51" s="36">
        <v>490</v>
      </c>
      <c r="AQ51" s="36">
        <v>580</v>
      </c>
      <c r="AR51" s="36">
        <v>88</v>
      </c>
      <c r="AS51" s="36"/>
      <c r="AT51" s="36"/>
      <c r="AU51" s="36"/>
      <c r="AV51" s="36"/>
      <c r="AW51" s="36"/>
      <c r="AX51" s="36"/>
    </row>
    <row r="52" spans="1:50" x14ac:dyDescent="0.2">
      <c r="A52" s="779" t="s">
        <v>1767</v>
      </c>
      <c r="B52" s="12" t="s">
        <v>1768</v>
      </c>
      <c r="C52" s="110"/>
      <c r="D52" s="266"/>
      <c r="E52" s="266"/>
      <c r="F52" s="266"/>
      <c r="G52" s="266"/>
      <c r="H52" s="266"/>
      <c r="I52" s="266"/>
      <c r="J52" s="266">
        <v>18190</v>
      </c>
      <c r="K52" s="229">
        <v>13237</v>
      </c>
      <c r="L52" s="266">
        <v>13236.26</v>
      </c>
      <c r="M52" s="229">
        <v>12712</v>
      </c>
      <c r="N52" s="266">
        <v>12711.26</v>
      </c>
      <c r="O52" s="229">
        <v>12162</v>
      </c>
      <c r="P52" s="110">
        <v>6218.13</v>
      </c>
      <c r="Q52" s="36">
        <f t="shared" si="5"/>
        <v>11587</v>
      </c>
      <c r="R52" s="36"/>
      <c r="S52" s="36"/>
      <c r="U52" s="559">
        <v>13237</v>
      </c>
      <c r="V52" s="559">
        <v>12712</v>
      </c>
      <c r="W52" s="559">
        <v>12162</v>
      </c>
      <c r="X52" s="559">
        <v>11587</v>
      </c>
      <c r="Y52" s="559">
        <v>11122</v>
      </c>
      <c r="Z52" s="559">
        <v>10778</v>
      </c>
      <c r="AA52" s="559">
        <v>10274</v>
      </c>
      <c r="AB52" s="559">
        <v>9739</v>
      </c>
      <c r="AC52" s="559">
        <v>9319</v>
      </c>
      <c r="AD52" s="36">
        <v>8884</v>
      </c>
      <c r="AE52" s="36">
        <v>8434</v>
      </c>
      <c r="AF52" s="36">
        <v>7969</v>
      </c>
      <c r="AG52" s="36">
        <v>7489</v>
      </c>
      <c r="AH52" s="36">
        <v>6994</v>
      </c>
      <c r="AI52" s="36">
        <v>6474</v>
      </c>
      <c r="AJ52" s="36">
        <v>5915</v>
      </c>
      <c r="AK52" s="36">
        <v>5330</v>
      </c>
      <c r="AL52" s="36">
        <v>4729</v>
      </c>
      <c r="AM52" s="36">
        <v>1083</v>
      </c>
      <c r="AN52" s="36">
        <v>3395</v>
      </c>
      <c r="AO52" s="36">
        <v>2678</v>
      </c>
      <c r="AP52" s="36">
        <v>1925</v>
      </c>
      <c r="AQ52" s="36">
        <v>1155</v>
      </c>
      <c r="AR52" s="36">
        <v>385</v>
      </c>
      <c r="AS52" s="36"/>
      <c r="AT52" s="36"/>
      <c r="AU52" s="36"/>
      <c r="AV52" s="36"/>
      <c r="AW52" s="36"/>
      <c r="AX52" s="36"/>
    </row>
    <row r="53" spans="1:50" ht="13.5" thickBot="1" x14ac:dyDescent="0.25">
      <c r="A53" s="796" t="s">
        <v>1769</v>
      </c>
      <c r="B53" s="27" t="s">
        <v>1770</v>
      </c>
      <c r="C53" s="110"/>
      <c r="D53" s="266"/>
      <c r="E53" s="266"/>
      <c r="F53" s="266"/>
      <c r="G53" s="266"/>
      <c r="H53" s="266"/>
      <c r="I53" s="266">
        <v>0.75</v>
      </c>
      <c r="J53" s="266">
        <v>3020</v>
      </c>
      <c r="K53" s="229">
        <v>2184</v>
      </c>
      <c r="L53" s="266">
        <v>2183.75</v>
      </c>
      <c r="M53" s="229">
        <v>2084</v>
      </c>
      <c r="N53" s="266">
        <v>2083.75</v>
      </c>
      <c r="O53" s="229">
        <v>1984</v>
      </c>
      <c r="P53" s="110">
        <v>1016.88</v>
      </c>
      <c r="Q53" s="36">
        <f t="shared" si="5"/>
        <v>1884</v>
      </c>
      <c r="R53" s="36"/>
      <c r="S53" s="36"/>
      <c r="U53" s="559">
        <v>2184</v>
      </c>
      <c r="V53" s="559">
        <v>2084</v>
      </c>
      <c r="W53" s="559">
        <v>1984</v>
      </c>
      <c r="X53" s="559">
        <v>1884</v>
      </c>
      <c r="Y53" s="559">
        <v>1807</v>
      </c>
      <c r="Z53" s="559">
        <v>1752</v>
      </c>
      <c r="AA53" s="559">
        <v>1674</v>
      </c>
      <c r="AB53" s="559">
        <v>1594</v>
      </c>
      <c r="AC53" s="559">
        <v>1534</v>
      </c>
      <c r="AD53" s="36">
        <v>1474</v>
      </c>
      <c r="AE53" s="36">
        <v>1399</v>
      </c>
      <c r="AF53" s="36">
        <v>1309</v>
      </c>
      <c r="AG53" s="36">
        <v>1219</v>
      </c>
      <c r="AH53" s="36">
        <v>1129</v>
      </c>
      <c r="AI53" s="36">
        <v>1037</v>
      </c>
      <c r="AJ53" s="36">
        <v>942</v>
      </c>
      <c r="AK53" s="36">
        <v>844</v>
      </c>
      <c r="AL53" s="36">
        <v>747</v>
      </c>
      <c r="AM53" s="36">
        <v>664</v>
      </c>
      <c r="AN53" s="36">
        <v>558</v>
      </c>
      <c r="AO53" s="36">
        <v>572</v>
      </c>
      <c r="AP53" s="36">
        <v>350</v>
      </c>
      <c r="AQ53" s="36">
        <v>210</v>
      </c>
      <c r="AR53" s="36">
        <v>70</v>
      </c>
      <c r="AS53" s="36"/>
      <c r="AT53" s="36"/>
      <c r="AU53" s="36"/>
      <c r="AV53" s="36"/>
      <c r="AW53" s="36"/>
      <c r="AX53" s="36"/>
    </row>
    <row r="54" spans="1:50" hidden="1" x14ac:dyDescent="0.2">
      <c r="A54" s="779" t="s">
        <v>1771</v>
      </c>
      <c r="B54" s="12" t="s">
        <v>1797</v>
      </c>
      <c r="C54" s="110"/>
      <c r="D54" s="266"/>
      <c r="E54" s="266"/>
      <c r="F54" s="266"/>
      <c r="G54" s="266"/>
      <c r="H54" s="266"/>
      <c r="I54" s="266"/>
      <c r="J54" s="266"/>
      <c r="K54" s="229"/>
      <c r="L54" s="266"/>
      <c r="M54" s="229"/>
      <c r="N54" s="266"/>
      <c r="O54" s="229"/>
      <c r="P54" s="110"/>
      <c r="Q54" s="36">
        <f t="shared" ref="Q54" si="6">+W54</f>
        <v>0</v>
      </c>
      <c r="R54" s="36"/>
      <c r="S54" s="36"/>
      <c r="U54" s="559"/>
      <c r="V54" s="559"/>
      <c r="W54" s="559"/>
      <c r="X54" s="559"/>
      <c r="Y54" s="559"/>
      <c r="Z54" s="559"/>
      <c r="AA54" s="559"/>
      <c r="AB54" s="559"/>
      <c r="AC54" s="559"/>
      <c r="AD54" s="36"/>
      <c r="AE54" s="36"/>
      <c r="AF54" s="36"/>
      <c r="AG54" s="36"/>
      <c r="AH54" s="36"/>
      <c r="AI54" s="36"/>
      <c r="AJ54" s="36"/>
      <c r="AK54" s="36"/>
      <c r="AL54" s="36"/>
      <c r="AM54" s="36"/>
      <c r="AN54" s="36"/>
      <c r="AO54" s="36"/>
      <c r="AP54" s="36"/>
      <c r="AQ54" s="36"/>
      <c r="AR54" s="36"/>
      <c r="AS54" s="36"/>
      <c r="AT54" s="36"/>
      <c r="AU54" s="36"/>
      <c r="AV54" s="36"/>
      <c r="AW54" s="36"/>
      <c r="AX54" s="36"/>
    </row>
    <row r="55" spans="1:50" ht="13.5" hidden="1" thickBot="1" x14ac:dyDescent="0.25">
      <c r="A55" s="779"/>
      <c r="B55" s="12"/>
      <c r="C55" s="111"/>
      <c r="D55" s="267"/>
      <c r="E55" s="267"/>
      <c r="F55" s="267"/>
      <c r="G55" s="267"/>
      <c r="H55" s="267"/>
      <c r="I55" s="891"/>
      <c r="J55" s="891"/>
      <c r="K55" s="892"/>
      <c r="L55" s="891"/>
      <c r="M55" s="892"/>
      <c r="N55" s="891"/>
      <c r="O55" s="892"/>
      <c r="P55" s="110"/>
      <c r="Q55" s="892"/>
      <c r="R55" s="892"/>
      <c r="S55" s="893"/>
      <c r="U55" s="155"/>
      <c r="V55" s="155"/>
      <c r="W55" s="155"/>
      <c r="X55" s="155"/>
      <c r="Y55" s="155"/>
      <c r="Z55" s="155"/>
      <c r="AA55" s="155"/>
      <c r="AB55" s="155"/>
      <c r="AC55" s="155"/>
      <c r="AD55" s="155"/>
      <c r="AE55" s="155"/>
      <c r="AF55" s="155"/>
      <c r="AG55" s="155"/>
      <c r="AH55" s="155"/>
      <c r="AI55" s="155"/>
      <c r="AJ55" s="155"/>
      <c r="AK55" s="155"/>
      <c r="AL55" s="155"/>
      <c r="AM55" s="155"/>
      <c r="AN55" s="155"/>
      <c r="AO55" s="155"/>
      <c r="AP55" s="155"/>
      <c r="AQ55" s="155"/>
      <c r="AR55" s="155"/>
      <c r="AS55" s="155"/>
      <c r="AT55" s="155"/>
      <c r="AU55" s="155"/>
      <c r="AV55" s="155"/>
      <c r="AW55" s="155"/>
      <c r="AX55" s="155"/>
    </row>
    <row r="56" spans="1:50" ht="13.5" thickTop="1" x14ac:dyDescent="0.2">
      <c r="A56" s="779"/>
      <c r="B56" s="17" t="s">
        <v>1557</v>
      </c>
      <c r="C56" s="18">
        <f t="shared" ref="C56:P56" si="7">SUM(C32:C55)</f>
        <v>132698.15000000002</v>
      </c>
      <c r="D56" s="18">
        <f t="shared" si="7"/>
        <v>123550.76</v>
      </c>
      <c r="E56" s="18">
        <f t="shared" si="7"/>
        <v>158405.25</v>
      </c>
      <c r="F56" s="18">
        <f t="shared" si="7"/>
        <v>158323.76</v>
      </c>
      <c r="G56" s="18">
        <f t="shared" si="7"/>
        <v>145620.48000000001</v>
      </c>
      <c r="H56" s="18">
        <f t="shared" si="7"/>
        <v>147227.92000000001</v>
      </c>
      <c r="I56" s="894">
        <f t="shared" si="7"/>
        <v>150824.25999999998</v>
      </c>
      <c r="J56" s="894">
        <f t="shared" ref="J56" si="8">SUM(J32:J55)</f>
        <v>230396.05999999997</v>
      </c>
      <c r="K56" s="895">
        <f t="shared" ref="K56:O56" si="9">SUM(K32:K55)</f>
        <v>192734</v>
      </c>
      <c r="L56" s="894">
        <f t="shared" si="9"/>
        <v>192730.56000000006</v>
      </c>
      <c r="M56" s="895">
        <f t="shared" si="9"/>
        <v>182401</v>
      </c>
      <c r="N56" s="894">
        <f t="shared" ref="N56" si="10">SUM(N32:N55)</f>
        <v>182397.07000000004</v>
      </c>
      <c r="O56" s="895">
        <f t="shared" si="9"/>
        <v>172229</v>
      </c>
      <c r="P56" s="896">
        <f t="shared" si="7"/>
        <v>97582.420000000013</v>
      </c>
      <c r="Q56" s="895">
        <f t="shared" ref="Q56" si="11">SUM(Q32:Q55)</f>
        <v>162094.04999999999</v>
      </c>
      <c r="R56" s="895"/>
      <c r="S56" s="895">
        <f>SUM(S31:S55)</f>
        <v>0</v>
      </c>
      <c r="U56" s="19">
        <f t="shared" ref="U56:AX56" si="12">SUM(U31:U55)</f>
        <v>192734.41</v>
      </c>
      <c r="V56" s="19">
        <f t="shared" si="12"/>
        <v>182401</v>
      </c>
      <c r="W56" s="19">
        <f t="shared" si="12"/>
        <v>172228.51</v>
      </c>
      <c r="X56" s="19">
        <f t="shared" si="12"/>
        <v>162094.04999999999</v>
      </c>
      <c r="Y56" s="19">
        <f t="shared" si="12"/>
        <v>153218.33000000002</v>
      </c>
      <c r="Z56" s="19">
        <f t="shared" si="12"/>
        <v>144286.65000000002</v>
      </c>
      <c r="AA56" s="19">
        <f t="shared" si="12"/>
        <v>134676.28</v>
      </c>
      <c r="AB56" s="19">
        <f t="shared" si="12"/>
        <v>124948.61999999998</v>
      </c>
      <c r="AC56" s="19">
        <f t="shared" si="12"/>
        <v>112017.57</v>
      </c>
      <c r="AD56" s="19">
        <f t="shared" si="12"/>
        <v>106753.71</v>
      </c>
      <c r="AE56" s="19">
        <f t="shared" si="12"/>
        <v>97344.14</v>
      </c>
      <c r="AF56" s="19">
        <f t="shared" si="12"/>
        <v>87854.06</v>
      </c>
      <c r="AG56" s="19">
        <f t="shared" si="12"/>
        <v>78042.67</v>
      </c>
      <c r="AH56" s="19">
        <f t="shared" si="12"/>
        <v>67875.13</v>
      </c>
      <c r="AI56" s="19">
        <f t="shared" si="12"/>
        <v>57286.59</v>
      </c>
      <c r="AJ56" s="19">
        <f t="shared" si="12"/>
        <v>50868.18</v>
      </c>
      <c r="AK56" s="19">
        <f t="shared" si="12"/>
        <v>44212</v>
      </c>
      <c r="AL56" s="19">
        <f t="shared" si="12"/>
        <v>37338.160000000003</v>
      </c>
      <c r="AM56" s="19">
        <f t="shared" si="12"/>
        <v>27882.73</v>
      </c>
      <c r="AN56" s="19">
        <f t="shared" si="12"/>
        <v>25895</v>
      </c>
      <c r="AO56" s="19">
        <f t="shared" si="12"/>
        <v>21901</v>
      </c>
      <c r="AP56" s="19">
        <f t="shared" si="12"/>
        <v>17530</v>
      </c>
      <c r="AQ56" s="19">
        <f t="shared" si="12"/>
        <v>13669</v>
      </c>
      <c r="AR56" s="19">
        <f t="shared" si="12"/>
        <v>8506</v>
      </c>
      <c r="AS56" s="19">
        <f t="shared" si="12"/>
        <v>5355</v>
      </c>
      <c r="AT56" s="19">
        <f t="shared" si="12"/>
        <v>1726</v>
      </c>
      <c r="AU56" s="19">
        <f t="shared" si="12"/>
        <v>2395</v>
      </c>
      <c r="AV56" s="19">
        <f t="shared" si="12"/>
        <v>1218</v>
      </c>
      <c r="AW56" s="19">
        <f t="shared" si="12"/>
        <v>0</v>
      </c>
      <c r="AX56" s="19">
        <f t="shared" si="12"/>
        <v>0</v>
      </c>
    </row>
    <row r="57" spans="1:50" x14ac:dyDescent="0.2">
      <c r="A57" s="779"/>
      <c r="B57" s="12"/>
      <c r="C57" s="13"/>
      <c r="D57" s="127"/>
      <c r="E57" s="127"/>
      <c r="F57" s="127"/>
      <c r="G57" s="127"/>
      <c r="H57" s="127"/>
      <c r="I57" s="127"/>
      <c r="J57" s="127"/>
      <c r="K57" s="152"/>
      <c r="L57" s="127"/>
      <c r="M57" s="152"/>
      <c r="N57" s="127"/>
      <c r="O57" s="152"/>
      <c r="P57" s="13"/>
      <c r="Q57" s="152"/>
      <c r="R57" s="152"/>
      <c r="S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row>
    <row r="58" spans="1:50" ht="13.5" thickBot="1" x14ac:dyDescent="0.25">
      <c r="A58" s="779" t="s">
        <v>1571</v>
      </c>
      <c r="B58" s="12" t="s">
        <v>1572</v>
      </c>
      <c r="C58" s="15">
        <v>0</v>
      </c>
      <c r="D58" s="15">
        <v>3829.25</v>
      </c>
      <c r="E58" s="15">
        <v>1687.82</v>
      </c>
      <c r="F58" s="15">
        <v>4042.69</v>
      </c>
      <c r="G58" s="15">
        <v>18640.21</v>
      </c>
      <c r="H58" s="15">
        <v>16073.39</v>
      </c>
      <c r="I58" s="15">
        <v>19952.82</v>
      </c>
      <c r="J58" s="15"/>
      <c r="K58" s="16">
        <v>25000</v>
      </c>
      <c r="L58" s="15"/>
      <c r="M58" s="16">
        <v>25000</v>
      </c>
      <c r="N58" s="15"/>
      <c r="O58" s="16">
        <v>25000</v>
      </c>
      <c r="P58" s="15"/>
      <c r="Q58" s="16">
        <v>25000</v>
      </c>
      <c r="R58" s="16"/>
      <c r="S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row>
    <row r="59" spans="1:50" x14ac:dyDescent="0.2">
      <c r="A59" s="779"/>
      <c r="B59" s="17" t="s">
        <v>1573</v>
      </c>
      <c r="C59" s="18">
        <f t="shared" ref="C59:P59" si="13">SUM(C58:C58)</f>
        <v>0</v>
      </c>
      <c r="D59" s="18">
        <f t="shared" si="13"/>
        <v>3829.25</v>
      </c>
      <c r="E59" s="18">
        <f t="shared" si="13"/>
        <v>1687.82</v>
      </c>
      <c r="F59" s="18">
        <f>SUM(F58)</f>
        <v>4042.69</v>
      </c>
      <c r="G59" s="18">
        <f>SUM(G58)</f>
        <v>18640.21</v>
      </c>
      <c r="H59" s="18">
        <f>SUM(H58)</f>
        <v>16073.39</v>
      </c>
      <c r="I59" s="18">
        <f t="shared" si="13"/>
        <v>19952.82</v>
      </c>
      <c r="J59" s="18">
        <f t="shared" ref="J59" si="14">SUM(J58:J58)</f>
        <v>0</v>
      </c>
      <c r="K59" s="19">
        <f t="shared" ref="K59:O59" si="15">SUM(K58:K58)</f>
        <v>25000</v>
      </c>
      <c r="L59" s="18">
        <f t="shared" si="15"/>
        <v>0</v>
      </c>
      <c r="M59" s="19">
        <f t="shared" si="15"/>
        <v>25000</v>
      </c>
      <c r="N59" s="18">
        <f t="shared" ref="N59" si="16">SUM(N58:N58)</f>
        <v>0</v>
      </c>
      <c r="O59" s="19">
        <f t="shared" si="15"/>
        <v>25000</v>
      </c>
      <c r="P59" s="18">
        <f t="shared" si="13"/>
        <v>0</v>
      </c>
      <c r="Q59" s="19">
        <f t="shared" ref="Q59" si="17">SUM(Q58:Q58)</f>
        <v>25000</v>
      </c>
      <c r="R59" s="19"/>
      <c r="S59" s="19">
        <f>SUM(S57:S58)</f>
        <v>0</v>
      </c>
      <c r="U59" s="19">
        <f t="shared" ref="U59:AX59" si="18">SUM(U57:U58)</f>
        <v>0</v>
      </c>
      <c r="V59" s="19">
        <f t="shared" si="18"/>
        <v>0</v>
      </c>
      <c r="W59" s="19">
        <f t="shared" si="18"/>
        <v>0</v>
      </c>
      <c r="X59" s="19">
        <f t="shared" si="18"/>
        <v>0</v>
      </c>
      <c r="Y59" s="19">
        <f t="shared" si="18"/>
        <v>0</v>
      </c>
      <c r="Z59" s="19">
        <f t="shared" si="18"/>
        <v>0</v>
      </c>
      <c r="AA59" s="19">
        <f t="shared" si="18"/>
        <v>0</v>
      </c>
      <c r="AB59" s="19">
        <f t="shared" si="18"/>
        <v>0</v>
      </c>
      <c r="AC59" s="19">
        <f t="shared" si="18"/>
        <v>0</v>
      </c>
      <c r="AD59" s="19">
        <f t="shared" si="18"/>
        <v>0</v>
      </c>
      <c r="AE59" s="19">
        <f t="shared" si="18"/>
        <v>0</v>
      </c>
      <c r="AF59" s="19">
        <f t="shared" si="18"/>
        <v>0</v>
      </c>
      <c r="AG59" s="19">
        <f t="shared" si="18"/>
        <v>0</v>
      </c>
      <c r="AH59" s="19">
        <f t="shared" si="18"/>
        <v>0</v>
      </c>
      <c r="AI59" s="19">
        <f t="shared" si="18"/>
        <v>0</v>
      </c>
      <c r="AJ59" s="19">
        <f t="shared" si="18"/>
        <v>0</v>
      </c>
      <c r="AK59" s="19">
        <f t="shared" si="18"/>
        <v>0</v>
      </c>
      <c r="AL59" s="19">
        <f t="shared" si="18"/>
        <v>0</v>
      </c>
      <c r="AM59" s="19">
        <f t="shared" si="18"/>
        <v>0</v>
      </c>
      <c r="AN59" s="19">
        <f t="shared" si="18"/>
        <v>0</v>
      </c>
      <c r="AO59" s="19">
        <f t="shared" si="18"/>
        <v>0</v>
      </c>
      <c r="AP59" s="19">
        <f t="shared" si="18"/>
        <v>0</v>
      </c>
      <c r="AQ59" s="19">
        <f t="shared" si="18"/>
        <v>0</v>
      </c>
      <c r="AR59" s="19">
        <f t="shared" si="18"/>
        <v>0</v>
      </c>
      <c r="AS59" s="19">
        <f t="shared" si="18"/>
        <v>0</v>
      </c>
      <c r="AT59" s="19">
        <f t="shared" si="18"/>
        <v>0</v>
      </c>
      <c r="AU59" s="19">
        <f t="shared" si="18"/>
        <v>0</v>
      </c>
      <c r="AV59" s="19">
        <f t="shared" si="18"/>
        <v>0</v>
      </c>
      <c r="AW59" s="19">
        <f t="shared" si="18"/>
        <v>0</v>
      </c>
      <c r="AX59" s="19">
        <f t="shared" si="18"/>
        <v>0</v>
      </c>
    </row>
    <row r="60" spans="1:50" x14ac:dyDescent="0.2">
      <c r="A60" s="779"/>
      <c r="B60" s="12"/>
      <c r="C60" s="13"/>
      <c r="D60" s="13"/>
      <c r="E60" s="13"/>
      <c r="F60" s="13"/>
      <c r="G60" s="13"/>
      <c r="H60" s="13"/>
      <c r="I60" s="13"/>
      <c r="J60" s="13"/>
      <c r="K60" s="14"/>
      <c r="L60" s="13"/>
      <c r="M60" s="14"/>
      <c r="N60" s="13"/>
      <c r="O60" s="14"/>
      <c r="P60" s="13"/>
      <c r="Q60" s="14"/>
      <c r="R60" s="14"/>
      <c r="S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row>
    <row r="61" spans="1:50" ht="13.5" thickBot="1" x14ac:dyDescent="0.25">
      <c r="A61" s="780"/>
      <c r="B61" s="20" t="s">
        <v>1664</v>
      </c>
      <c r="C61" s="21">
        <f t="shared" ref="C61:P61" si="19">+C59+C56+C29</f>
        <v>339561.32000000007</v>
      </c>
      <c r="D61" s="21">
        <f t="shared" si="19"/>
        <v>333169.57</v>
      </c>
      <c r="E61" s="21">
        <f t="shared" si="19"/>
        <v>430365.07</v>
      </c>
      <c r="F61" s="21">
        <f t="shared" si="19"/>
        <v>426045.84</v>
      </c>
      <c r="G61" s="21">
        <f t="shared" si="19"/>
        <v>432071.62</v>
      </c>
      <c r="H61" s="21">
        <f>+H59+H56+H29</f>
        <v>363646.25</v>
      </c>
      <c r="I61" s="21">
        <f t="shared" si="19"/>
        <v>363127.97</v>
      </c>
      <c r="J61" s="21">
        <f t="shared" ref="J61" si="20">+J59+J56+J29</f>
        <v>513019.85</v>
      </c>
      <c r="K61" s="22">
        <f t="shared" ref="K61:O61" si="21">+K59+K56+K29</f>
        <v>520551</v>
      </c>
      <c r="L61" s="21">
        <f t="shared" si="21"/>
        <v>495060.53</v>
      </c>
      <c r="M61" s="22">
        <f t="shared" si="21"/>
        <v>514047</v>
      </c>
      <c r="N61" s="21">
        <f t="shared" ref="N61" si="22">+N59+N56+N29</f>
        <v>489041.95000000007</v>
      </c>
      <c r="O61" s="22">
        <f t="shared" si="21"/>
        <v>505270</v>
      </c>
      <c r="P61" s="21">
        <f t="shared" si="19"/>
        <v>298622.17000000004</v>
      </c>
      <c r="Q61" s="22">
        <f>+Q59+Q56+Q29</f>
        <v>483614.05</v>
      </c>
      <c r="R61" s="22">
        <f>+Q61</f>
        <v>483614.05</v>
      </c>
      <c r="S61" s="22">
        <f>+Q61</f>
        <v>483614.05</v>
      </c>
      <c r="U61" s="22">
        <f t="shared" ref="U61:AX61" si="23">+U59+U56+U29</f>
        <v>495551.41000000003</v>
      </c>
      <c r="V61" s="22">
        <f t="shared" si="23"/>
        <v>489047</v>
      </c>
      <c r="W61" s="22">
        <f t="shared" si="23"/>
        <v>480268.51</v>
      </c>
      <c r="X61" s="22">
        <f t="shared" si="23"/>
        <v>458614.05</v>
      </c>
      <c r="Y61" s="22">
        <f t="shared" si="23"/>
        <v>453305.33</v>
      </c>
      <c r="Z61" s="22">
        <f t="shared" si="23"/>
        <v>455025.65</v>
      </c>
      <c r="AA61" s="22">
        <f t="shared" si="23"/>
        <v>450159.28</v>
      </c>
      <c r="AB61" s="22">
        <f t="shared" si="23"/>
        <v>410005.62</v>
      </c>
      <c r="AC61" s="22">
        <f t="shared" si="23"/>
        <v>407294.57</v>
      </c>
      <c r="AD61" s="22">
        <f t="shared" si="23"/>
        <v>407334.71</v>
      </c>
      <c r="AE61" s="22">
        <f t="shared" si="23"/>
        <v>411314.14</v>
      </c>
      <c r="AF61" s="22">
        <f t="shared" si="23"/>
        <v>411271.06</v>
      </c>
      <c r="AG61" s="22">
        <f t="shared" si="23"/>
        <v>411056.67</v>
      </c>
      <c r="AH61" s="22">
        <f t="shared" si="23"/>
        <v>412549.13</v>
      </c>
      <c r="AI61" s="22">
        <f t="shared" si="23"/>
        <v>296716.58999999997</v>
      </c>
      <c r="AJ61" s="22">
        <f t="shared" si="23"/>
        <v>296153.18</v>
      </c>
      <c r="AK61" s="22">
        <f t="shared" si="23"/>
        <v>296453</v>
      </c>
      <c r="AL61" s="22">
        <f t="shared" si="23"/>
        <v>297639.16000000003</v>
      </c>
      <c r="AM61" s="22">
        <f t="shared" si="23"/>
        <v>240880.73</v>
      </c>
      <c r="AN61" s="22">
        <f t="shared" si="23"/>
        <v>145398</v>
      </c>
      <c r="AO61" s="22">
        <f t="shared" si="23"/>
        <v>144291</v>
      </c>
      <c r="AP61" s="22">
        <f t="shared" si="23"/>
        <v>145844</v>
      </c>
      <c r="AQ61" s="22">
        <f t="shared" si="23"/>
        <v>147944</v>
      </c>
      <c r="AR61" s="22">
        <f t="shared" si="23"/>
        <v>140783</v>
      </c>
      <c r="AS61" s="22">
        <f t="shared" si="23"/>
        <v>58674</v>
      </c>
      <c r="AT61" s="22">
        <f t="shared" si="23"/>
        <v>29131</v>
      </c>
      <c r="AU61" s="22">
        <f t="shared" si="23"/>
        <v>30930</v>
      </c>
      <c r="AV61" s="22">
        <f t="shared" si="23"/>
        <v>30746</v>
      </c>
      <c r="AW61" s="22">
        <f t="shared" si="23"/>
        <v>0</v>
      </c>
      <c r="AX61" s="22">
        <f t="shared" si="23"/>
        <v>0</v>
      </c>
    </row>
    <row r="62" spans="1:50" ht="13.5" thickTop="1" x14ac:dyDescent="0.2">
      <c r="A62" s="774"/>
      <c r="B62" s="4"/>
      <c r="C62" s="23"/>
      <c r="D62" s="23"/>
      <c r="E62" s="23"/>
      <c r="F62" s="23"/>
      <c r="G62" s="23"/>
      <c r="H62" s="23"/>
      <c r="I62" s="23"/>
      <c r="J62" s="23"/>
      <c r="K62" s="23"/>
      <c r="L62" s="23"/>
      <c r="M62" s="23"/>
      <c r="N62" s="23"/>
      <c r="O62" s="23"/>
      <c r="P62" s="199" t="s">
        <v>843</v>
      </c>
      <c r="Q62" s="1116">
        <f>+Q61-O61</f>
        <v>-21655.950000000012</v>
      </c>
      <c r="R62" s="1117">
        <f>ROUND((+Q62/O61),4)</f>
        <v>-4.2900000000000001E-2</v>
      </c>
      <c r="S62" s="25"/>
    </row>
    <row r="63" spans="1:50" x14ac:dyDescent="0.2">
      <c r="A63" s="774"/>
      <c r="B63" s="4"/>
      <c r="C63" s="277"/>
      <c r="D63" s="277"/>
      <c r="E63" s="277"/>
      <c r="F63" s="277" t="s">
        <v>1798</v>
      </c>
      <c r="G63" s="1094"/>
      <c r="H63" s="1094"/>
      <c r="I63" s="277"/>
      <c r="J63" s="277"/>
      <c r="K63" s="277"/>
      <c r="L63" s="277"/>
      <c r="M63" s="277"/>
      <c r="N63" s="277"/>
      <c r="O63" s="277"/>
      <c r="P63" s="25"/>
      <c r="Q63" s="277"/>
      <c r="R63" s="277"/>
      <c r="S63" s="567"/>
    </row>
    <row r="64" spans="1:50" x14ac:dyDescent="0.2">
      <c r="A64" s="774"/>
      <c r="B64" s="4"/>
      <c r="C64" s="277"/>
      <c r="D64" s="277"/>
      <c r="E64" s="277"/>
      <c r="F64" s="277"/>
      <c r="G64" s="1094"/>
      <c r="H64" s="1094"/>
      <c r="I64" s="277"/>
      <c r="J64" s="277"/>
      <c r="K64" s="277"/>
      <c r="L64" s="277"/>
      <c r="M64" s="277"/>
      <c r="N64" s="277"/>
      <c r="O64" s="277"/>
      <c r="P64" s="25"/>
      <c r="Q64" s="277"/>
      <c r="R64" s="277"/>
      <c r="S64" s="25"/>
    </row>
    <row r="65" spans="1:20" x14ac:dyDescent="0.2">
      <c r="A65" s="774"/>
      <c r="B65" s="4"/>
      <c r="C65" s="23"/>
      <c r="D65" s="23"/>
      <c r="E65" s="23"/>
      <c r="F65" s="23"/>
      <c r="G65" s="23"/>
      <c r="H65" s="23"/>
      <c r="I65" s="23"/>
      <c r="J65" s="23"/>
      <c r="K65" s="23"/>
      <c r="L65" s="23"/>
      <c r="M65" s="23"/>
      <c r="N65" s="23"/>
      <c r="O65" s="23"/>
      <c r="P65" s="25"/>
      <c r="Q65" s="23"/>
      <c r="R65" s="23"/>
      <c r="S65" s="23"/>
      <c r="T65" s="25"/>
    </row>
    <row r="66" spans="1:20" x14ac:dyDescent="0.2">
      <c r="A66" s="774"/>
      <c r="B66" s="4"/>
      <c r="C66" s="23"/>
      <c r="D66" s="23"/>
      <c r="E66" s="23"/>
      <c r="F66" s="23"/>
      <c r="G66" s="23"/>
      <c r="H66" s="23"/>
      <c r="I66" s="23"/>
      <c r="J66" s="23"/>
      <c r="K66" s="212"/>
      <c r="L66" s="23"/>
      <c r="M66" s="23"/>
      <c r="N66" s="23"/>
      <c r="O66" s="23"/>
      <c r="P66" s="4"/>
      <c r="Q66" s="23"/>
      <c r="R66" s="23"/>
      <c r="S66" s="23"/>
      <c r="T66" s="4"/>
    </row>
    <row r="67" spans="1:20" x14ac:dyDescent="0.2">
      <c r="A67" s="774"/>
      <c r="B67" s="4"/>
      <c r="C67" s="23"/>
      <c r="D67" s="23"/>
      <c r="E67" s="23"/>
      <c r="F67" s="23"/>
      <c r="G67" s="23"/>
      <c r="H67" s="23"/>
      <c r="I67" s="23"/>
      <c r="J67" s="23"/>
      <c r="K67" s="23"/>
      <c r="L67" s="23"/>
      <c r="M67" s="23"/>
      <c r="N67" s="23"/>
      <c r="O67" s="23"/>
      <c r="P67" s="4"/>
      <c r="Q67" s="23"/>
      <c r="R67" s="23"/>
      <c r="S67" s="23"/>
      <c r="T67" s="4"/>
    </row>
    <row r="68" spans="1:20" x14ac:dyDescent="0.2">
      <c r="A68" s="774"/>
      <c r="B68" s="4"/>
      <c r="C68" s="23"/>
      <c r="D68" s="23"/>
      <c r="E68" s="23"/>
      <c r="F68" s="23"/>
      <c r="G68" s="23"/>
      <c r="H68" s="23"/>
      <c r="I68" s="23"/>
      <c r="J68" s="23"/>
      <c r="K68" s="23"/>
      <c r="L68" s="23"/>
      <c r="M68" s="23"/>
      <c r="N68" s="23"/>
      <c r="O68" s="23"/>
      <c r="P68" s="4"/>
      <c r="Q68" s="23"/>
      <c r="R68" s="23"/>
      <c r="S68" s="23"/>
      <c r="T68" s="4"/>
    </row>
    <row r="69" spans="1:20" x14ac:dyDescent="0.2">
      <c r="A69" s="774"/>
      <c r="B69" s="4"/>
      <c r="C69" s="23"/>
      <c r="D69" s="23"/>
      <c r="E69" s="23"/>
      <c r="F69" s="23"/>
      <c r="G69" s="23"/>
      <c r="H69" s="23"/>
      <c r="I69" s="23"/>
      <c r="J69" s="23"/>
      <c r="K69" s="23"/>
      <c r="L69" s="23"/>
      <c r="M69" s="23"/>
      <c r="N69" s="23"/>
      <c r="O69" s="23"/>
      <c r="P69" s="4"/>
      <c r="Q69" s="23"/>
      <c r="R69" s="23"/>
      <c r="S69" s="23"/>
      <c r="T69" s="4"/>
    </row>
    <row r="70" spans="1:20" x14ac:dyDescent="0.2">
      <c r="A70" s="774"/>
      <c r="B70" s="4"/>
      <c r="C70" s="23"/>
      <c r="D70" s="23"/>
      <c r="E70" s="23"/>
      <c r="F70" s="23"/>
      <c r="G70" s="23"/>
      <c r="H70" s="23"/>
      <c r="I70" s="23"/>
      <c r="J70" s="23"/>
      <c r="K70" s="23"/>
      <c r="L70" s="23"/>
      <c r="M70" s="23"/>
      <c r="N70" s="23"/>
      <c r="O70" s="23"/>
      <c r="P70" s="4"/>
      <c r="Q70" s="23"/>
      <c r="R70" s="23"/>
      <c r="S70" s="23"/>
      <c r="T70" s="4"/>
    </row>
    <row r="71" spans="1:20" x14ac:dyDescent="0.2">
      <c r="A71" s="774"/>
      <c r="B71" s="4"/>
      <c r="C71" s="23"/>
      <c r="D71" s="23"/>
      <c r="E71" s="23"/>
      <c r="F71" s="23"/>
      <c r="G71" s="23"/>
      <c r="H71" s="23"/>
      <c r="I71" s="23"/>
      <c r="J71" s="23"/>
      <c r="K71" s="23"/>
      <c r="L71" s="23"/>
      <c r="M71" s="23"/>
      <c r="N71" s="23"/>
      <c r="O71" s="23"/>
      <c r="P71" s="4"/>
      <c r="Q71" s="23"/>
      <c r="R71" s="23"/>
      <c r="S71" s="23"/>
      <c r="T71" s="4"/>
    </row>
    <row r="72" spans="1:20" x14ac:dyDescent="0.2">
      <c r="A72" s="774"/>
      <c r="B72" s="4"/>
      <c r="C72" s="23"/>
      <c r="D72" s="23"/>
      <c r="E72" s="23"/>
      <c r="F72" s="23"/>
      <c r="G72" s="23"/>
      <c r="H72" s="23"/>
      <c r="I72" s="23"/>
      <c r="J72" s="23"/>
      <c r="K72" s="23"/>
      <c r="L72" s="23"/>
      <c r="M72" s="23"/>
      <c r="N72" s="23"/>
      <c r="O72" s="23"/>
      <c r="P72" s="4"/>
      <c r="Q72" s="23"/>
      <c r="R72" s="23"/>
      <c r="S72" s="23"/>
      <c r="T72" s="4"/>
    </row>
    <row r="73" spans="1:20" x14ac:dyDescent="0.2">
      <c r="A73" s="774"/>
      <c r="B73" s="4"/>
      <c r="C73" s="23"/>
      <c r="D73" s="23"/>
      <c r="E73" s="23"/>
      <c r="F73" s="23"/>
      <c r="G73" s="23"/>
      <c r="H73" s="23"/>
      <c r="I73" s="23"/>
      <c r="J73" s="23"/>
      <c r="K73" s="23"/>
      <c r="L73" s="23"/>
      <c r="M73" s="23"/>
      <c r="N73" s="23"/>
      <c r="O73" s="23"/>
      <c r="P73" s="4"/>
      <c r="Q73" s="23"/>
      <c r="R73" s="23"/>
      <c r="S73" s="23"/>
      <c r="T73" s="4"/>
    </row>
    <row r="74" spans="1:20" x14ac:dyDescent="0.2">
      <c r="A74" s="774"/>
      <c r="B74" s="4"/>
      <c r="C74" s="23"/>
      <c r="D74" s="23"/>
      <c r="E74" s="23"/>
      <c r="F74" s="23"/>
      <c r="G74" s="23"/>
      <c r="H74" s="23"/>
      <c r="I74" s="23"/>
      <c r="J74" s="23"/>
      <c r="K74" s="23"/>
      <c r="L74" s="23"/>
      <c r="M74" s="23"/>
      <c r="N74" s="23"/>
      <c r="O74" s="23"/>
      <c r="P74" s="4"/>
      <c r="Q74" s="23"/>
      <c r="R74" s="23"/>
      <c r="S74" s="23"/>
      <c r="T74" s="4"/>
    </row>
    <row r="75" spans="1:20" x14ac:dyDescent="0.2">
      <c r="A75" s="774"/>
      <c r="B75" s="4"/>
      <c r="C75" s="23"/>
      <c r="D75" s="23"/>
      <c r="E75" s="23"/>
      <c r="F75" s="23"/>
      <c r="G75" s="23"/>
      <c r="H75" s="23"/>
      <c r="I75" s="23"/>
      <c r="J75" s="23"/>
      <c r="K75" s="23"/>
      <c r="L75" s="23"/>
      <c r="M75" s="23"/>
      <c r="N75" s="23"/>
      <c r="O75" s="23"/>
      <c r="P75" s="4"/>
      <c r="Q75" s="23"/>
      <c r="R75" s="23"/>
      <c r="S75" s="23"/>
      <c r="T75" s="4"/>
    </row>
    <row r="76" spans="1:20" x14ac:dyDescent="0.2">
      <c r="A76" s="774"/>
      <c r="B76" s="4"/>
      <c r="C76" s="23"/>
      <c r="D76" s="23"/>
      <c r="E76" s="23"/>
      <c r="F76" s="23"/>
      <c r="G76" s="23"/>
      <c r="H76" s="23"/>
      <c r="I76" s="23"/>
      <c r="J76" s="23"/>
      <c r="K76" s="23"/>
      <c r="L76" s="23"/>
      <c r="M76" s="23"/>
      <c r="N76" s="23"/>
      <c r="O76" s="23"/>
      <c r="P76" s="4"/>
      <c r="Q76" s="23"/>
      <c r="R76" s="23"/>
      <c r="S76" s="23"/>
      <c r="T76" s="4"/>
    </row>
    <row r="77" spans="1:20" x14ac:dyDescent="0.2">
      <c r="A77" s="774"/>
      <c r="B77" s="4"/>
      <c r="C77" s="23"/>
      <c r="D77" s="23"/>
      <c r="E77" s="23"/>
      <c r="F77" s="23"/>
      <c r="G77" s="23"/>
      <c r="H77" s="23"/>
      <c r="I77" s="23"/>
      <c r="J77" s="23"/>
      <c r="K77" s="23"/>
      <c r="L77" s="23"/>
      <c r="M77" s="23"/>
      <c r="N77" s="23"/>
      <c r="O77" s="23"/>
      <c r="P77" s="4"/>
      <c r="Q77" s="23"/>
      <c r="R77" s="23"/>
      <c r="S77" s="23"/>
      <c r="T77" s="4"/>
    </row>
    <row r="78" spans="1:20" x14ac:dyDescent="0.2">
      <c r="A78" s="774"/>
      <c r="B78" s="4"/>
      <c r="C78" s="23"/>
      <c r="D78" s="23"/>
      <c r="E78" s="23"/>
      <c r="F78" s="23"/>
      <c r="G78" s="23"/>
      <c r="H78" s="23"/>
      <c r="I78" s="23"/>
      <c r="J78" s="23"/>
      <c r="K78" s="23"/>
      <c r="L78" s="23"/>
      <c r="M78" s="23"/>
      <c r="N78" s="23"/>
      <c r="O78" s="23"/>
      <c r="P78" s="4"/>
      <c r="Q78" s="23"/>
      <c r="R78" s="23"/>
      <c r="S78" s="23"/>
      <c r="T78" s="4"/>
    </row>
    <row r="79" spans="1:20" x14ac:dyDescent="0.2">
      <c r="A79" s="774"/>
      <c r="B79" s="4"/>
      <c r="C79" s="23"/>
      <c r="D79" s="23"/>
      <c r="E79" s="23"/>
      <c r="F79" s="23"/>
      <c r="G79" s="23"/>
      <c r="H79" s="23"/>
      <c r="I79" s="23"/>
      <c r="J79" s="23"/>
      <c r="K79" s="23"/>
      <c r="L79" s="23"/>
      <c r="M79" s="23"/>
      <c r="N79" s="23"/>
      <c r="O79" s="23"/>
      <c r="P79" s="4"/>
      <c r="Q79" s="23"/>
      <c r="R79" s="23"/>
      <c r="S79" s="23"/>
      <c r="T79" s="4"/>
    </row>
    <row r="80" spans="1:20" x14ac:dyDescent="0.2">
      <c r="A80" s="774"/>
      <c r="B80" s="4"/>
      <c r="C80" s="23"/>
      <c r="D80" s="23"/>
      <c r="E80" s="23"/>
      <c r="F80" s="23"/>
      <c r="G80" s="23"/>
      <c r="H80" s="23"/>
      <c r="I80" s="23"/>
      <c r="J80" s="23"/>
      <c r="K80" s="23"/>
      <c r="L80" s="23"/>
      <c r="M80" s="23"/>
      <c r="N80" s="23"/>
      <c r="O80" s="23"/>
      <c r="P80" s="4"/>
      <c r="Q80" s="23"/>
      <c r="R80" s="23"/>
      <c r="S80" s="23"/>
      <c r="T80" s="4"/>
    </row>
    <row r="81" spans="1:20" x14ac:dyDescent="0.2">
      <c r="A81" s="774"/>
      <c r="B81" s="4"/>
      <c r="C81" s="23"/>
      <c r="D81" s="23"/>
      <c r="E81" s="23"/>
      <c r="F81" s="23"/>
      <c r="G81" s="23"/>
      <c r="H81" s="23"/>
      <c r="I81" s="23"/>
      <c r="J81" s="23"/>
      <c r="K81" s="23"/>
      <c r="L81" s="23"/>
      <c r="M81" s="23"/>
      <c r="N81" s="23"/>
      <c r="O81" s="23"/>
      <c r="P81" s="4"/>
      <c r="Q81" s="23"/>
      <c r="R81" s="23"/>
      <c r="S81" s="23"/>
      <c r="T81" s="4"/>
    </row>
    <row r="82" spans="1:20" x14ac:dyDescent="0.2">
      <c r="A82" s="774"/>
      <c r="B82" s="4"/>
      <c r="C82" s="23"/>
      <c r="D82" s="23"/>
      <c r="E82" s="23"/>
      <c r="F82" s="23"/>
      <c r="G82" s="23"/>
      <c r="H82" s="23"/>
      <c r="I82" s="23"/>
      <c r="J82" s="23"/>
      <c r="K82" s="23"/>
      <c r="L82" s="23"/>
      <c r="M82" s="23"/>
      <c r="N82" s="23"/>
      <c r="O82" s="23"/>
      <c r="P82" s="4"/>
      <c r="Q82" s="23"/>
      <c r="R82" s="23"/>
      <c r="S82" s="23"/>
      <c r="T82" s="4"/>
    </row>
    <row r="83" spans="1:20" x14ac:dyDescent="0.2">
      <c r="A83" s="774"/>
      <c r="B83" s="4"/>
      <c r="C83" s="23"/>
      <c r="D83" s="23"/>
      <c r="E83" s="23"/>
      <c r="F83" s="23"/>
      <c r="G83" s="23"/>
      <c r="H83" s="23"/>
      <c r="I83" s="23"/>
      <c r="J83" s="23"/>
      <c r="K83" s="23"/>
      <c r="L83" s="23"/>
      <c r="M83" s="23"/>
      <c r="N83" s="23"/>
      <c r="O83" s="23"/>
      <c r="P83" s="4"/>
      <c r="Q83" s="23"/>
      <c r="R83" s="23"/>
      <c r="S83" s="23"/>
      <c r="T83" s="4"/>
    </row>
    <row r="84" spans="1:20" x14ac:dyDescent="0.2">
      <c r="A84" s="774"/>
      <c r="B84" s="4"/>
      <c r="C84" s="23"/>
      <c r="D84" s="23"/>
      <c r="E84" s="23"/>
      <c r="F84" s="23"/>
      <c r="G84" s="23"/>
      <c r="H84" s="23"/>
      <c r="I84" s="23"/>
      <c r="J84" s="23"/>
      <c r="K84" s="23"/>
      <c r="L84" s="23"/>
      <c r="M84" s="23"/>
      <c r="N84" s="23"/>
      <c r="O84" s="23"/>
      <c r="P84" s="4"/>
      <c r="Q84" s="23"/>
      <c r="R84" s="23"/>
      <c r="S84" s="23"/>
      <c r="T84" s="4"/>
    </row>
    <row r="85" spans="1:20" x14ac:dyDescent="0.2">
      <c r="A85" s="774"/>
      <c r="B85" s="4"/>
      <c r="C85" s="23"/>
      <c r="D85" s="23"/>
      <c r="E85" s="23"/>
      <c r="F85" s="23"/>
      <c r="G85" s="23"/>
      <c r="H85" s="23"/>
      <c r="I85" s="23"/>
      <c r="J85" s="23"/>
      <c r="K85" s="23"/>
      <c r="L85" s="23"/>
      <c r="M85" s="23"/>
      <c r="N85" s="23"/>
      <c r="O85" s="23"/>
      <c r="P85" s="4"/>
      <c r="Q85" s="23"/>
      <c r="R85" s="23"/>
      <c r="S85" s="23"/>
      <c r="T85" s="4"/>
    </row>
    <row r="86" spans="1:20" x14ac:dyDescent="0.2">
      <c r="A86" s="774"/>
      <c r="B86" s="4"/>
      <c r="C86" s="23"/>
      <c r="D86" s="23"/>
      <c r="E86" s="23"/>
      <c r="F86" s="23"/>
      <c r="G86" s="23"/>
      <c r="H86" s="23"/>
      <c r="I86" s="23"/>
      <c r="J86" s="23"/>
      <c r="K86" s="23"/>
      <c r="L86" s="23"/>
      <c r="M86" s="23"/>
      <c r="N86" s="23"/>
      <c r="O86" s="23"/>
      <c r="P86" s="4"/>
      <c r="Q86" s="23"/>
      <c r="R86" s="23"/>
      <c r="S86" s="23"/>
      <c r="T86" s="4"/>
    </row>
    <row r="87" spans="1:20" x14ac:dyDescent="0.2">
      <c r="A87" s="774"/>
      <c r="B87" s="4"/>
      <c r="C87" s="23"/>
      <c r="D87" s="23"/>
      <c r="E87" s="23"/>
      <c r="F87" s="23"/>
      <c r="G87" s="23"/>
      <c r="H87" s="23"/>
      <c r="I87" s="23"/>
      <c r="J87" s="23"/>
      <c r="K87" s="23"/>
      <c r="L87" s="23"/>
      <c r="M87" s="23"/>
      <c r="N87" s="23"/>
      <c r="O87" s="23"/>
      <c r="P87" s="4"/>
      <c r="Q87" s="23"/>
      <c r="R87" s="23"/>
      <c r="S87" s="23"/>
      <c r="T87" s="4"/>
    </row>
    <row r="88" spans="1:20" x14ac:dyDescent="0.2">
      <c r="A88" s="774"/>
      <c r="B88" s="4"/>
      <c r="C88" s="23"/>
      <c r="D88" s="23"/>
      <c r="E88" s="23"/>
      <c r="F88" s="23"/>
      <c r="G88" s="23"/>
      <c r="H88" s="23"/>
      <c r="I88" s="23"/>
      <c r="J88" s="23"/>
      <c r="K88" s="23"/>
      <c r="L88" s="23"/>
      <c r="M88" s="23"/>
      <c r="N88" s="23"/>
      <c r="O88" s="23"/>
      <c r="P88" s="4"/>
      <c r="Q88" s="23"/>
      <c r="R88" s="23"/>
      <c r="S88" s="23"/>
      <c r="T88" s="4"/>
    </row>
    <row r="89" spans="1:20" x14ac:dyDescent="0.2">
      <c r="A89" s="774"/>
      <c r="B89" s="4"/>
      <c r="C89" s="23"/>
      <c r="D89" s="23"/>
      <c r="E89" s="23"/>
      <c r="F89" s="23"/>
      <c r="G89" s="23"/>
      <c r="H89" s="23"/>
      <c r="I89" s="23"/>
      <c r="J89" s="23"/>
      <c r="K89" s="23"/>
      <c r="L89" s="23"/>
      <c r="M89" s="23"/>
      <c r="N89" s="23"/>
      <c r="O89" s="23"/>
      <c r="P89" s="4"/>
      <c r="Q89" s="23"/>
      <c r="R89" s="23"/>
      <c r="S89" s="23"/>
      <c r="T89" s="4"/>
    </row>
    <row r="90" spans="1:20" x14ac:dyDescent="0.2">
      <c r="A90" s="774"/>
      <c r="B90" s="4"/>
      <c r="C90" s="23"/>
      <c r="D90" s="23"/>
      <c r="E90" s="23"/>
      <c r="F90" s="23"/>
      <c r="G90" s="23"/>
      <c r="H90" s="23"/>
      <c r="I90" s="23"/>
      <c r="J90" s="23"/>
      <c r="K90" s="23"/>
      <c r="L90" s="23"/>
      <c r="M90" s="23"/>
      <c r="N90" s="23"/>
      <c r="O90" s="23"/>
      <c r="P90" s="4"/>
      <c r="Q90" s="23"/>
      <c r="R90" s="23"/>
      <c r="S90" s="23"/>
      <c r="T90" s="4"/>
    </row>
    <row r="91" spans="1:20" x14ac:dyDescent="0.2">
      <c r="A91" s="774"/>
      <c r="B91" s="4"/>
      <c r="C91" s="23"/>
      <c r="D91" s="23"/>
      <c r="E91" s="23"/>
      <c r="F91" s="23"/>
      <c r="G91" s="23"/>
      <c r="H91" s="23"/>
      <c r="I91" s="23"/>
      <c r="J91" s="23"/>
      <c r="K91" s="23"/>
      <c r="L91" s="23"/>
      <c r="M91" s="23"/>
      <c r="N91" s="23"/>
      <c r="O91" s="23"/>
      <c r="P91" s="4"/>
      <c r="Q91" s="23"/>
      <c r="R91" s="23"/>
      <c r="S91" s="23"/>
      <c r="T91" s="4"/>
    </row>
    <row r="92" spans="1:20" x14ac:dyDescent="0.2">
      <c r="A92" s="774"/>
      <c r="B92" s="4"/>
      <c r="C92" s="23"/>
      <c r="D92" s="23"/>
      <c r="E92" s="23"/>
      <c r="F92" s="23"/>
      <c r="G92" s="23"/>
      <c r="H92" s="23"/>
      <c r="I92" s="23"/>
      <c r="J92" s="23"/>
      <c r="K92" s="23"/>
      <c r="L92" s="23"/>
      <c r="M92" s="23"/>
      <c r="N92" s="23"/>
      <c r="O92" s="23"/>
      <c r="P92" s="4"/>
      <c r="Q92" s="23"/>
      <c r="R92" s="23"/>
      <c r="S92" s="23"/>
      <c r="T92" s="4"/>
    </row>
    <row r="93" spans="1:20" x14ac:dyDescent="0.2">
      <c r="A93" s="774"/>
      <c r="B93" s="4"/>
      <c r="C93" s="23"/>
      <c r="D93" s="23"/>
      <c r="E93" s="23"/>
      <c r="F93" s="23"/>
      <c r="G93" s="23"/>
      <c r="H93" s="23"/>
      <c r="I93" s="23"/>
      <c r="J93" s="23"/>
      <c r="K93" s="23"/>
      <c r="L93" s="23"/>
      <c r="M93" s="23"/>
      <c r="N93" s="23"/>
      <c r="O93" s="23"/>
      <c r="P93" s="4"/>
      <c r="Q93" s="23"/>
      <c r="R93" s="23"/>
      <c r="S93" s="23"/>
      <c r="T93" s="4"/>
    </row>
    <row r="94" spans="1:20" x14ac:dyDescent="0.2">
      <c r="A94" s="774"/>
      <c r="B94" s="4"/>
      <c r="C94" s="23"/>
      <c r="D94" s="23"/>
      <c r="E94" s="23"/>
      <c r="F94" s="23"/>
      <c r="G94" s="23"/>
      <c r="H94" s="23"/>
      <c r="I94" s="23"/>
      <c r="J94" s="23"/>
      <c r="K94" s="23"/>
      <c r="L94" s="23"/>
      <c r="M94" s="23"/>
      <c r="N94" s="23"/>
      <c r="O94" s="23"/>
      <c r="P94" s="4"/>
      <c r="Q94" s="23"/>
      <c r="R94" s="23"/>
      <c r="S94" s="23"/>
      <c r="T94" s="4"/>
    </row>
    <row r="95" spans="1:20" x14ac:dyDescent="0.2">
      <c r="A95" s="774"/>
      <c r="B95" s="4"/>
      <c r="C95" s="23"/>
      <c r="D95" s="23"/>
      <c r="E95" s="23"/>
      <c r="F95" s="23"/>
      <c r="G95" s="23"/>
      <c r="H95" s="23"/>
      <c r="I95" s="23"/>
      <c r="J95" s="23"/>
      <c r="K95" s="23"/>
      <c r="L95" s="23"/>
      <c r="M95" s="23"/>
      <c r="N95" s="23"/>
      <c r="O95" s="23"/>
      <c r="P95" s="4"/>
      <c r="Q95" s="23"/>
      <c r="R95" s="23"/>
      <c r="S95" s="23"/>
      <c r="T95" s="4"/>
    </row>
    <row r="96" spans="1:20" x14ac:dyDescent="0.2">
      <c r="A96" s="774"/>
      <c r="B96" s="4"/>
      <c r="C96" s="23"/>
      <c r="D96" s="23"/>
      <c r="E96" s="23"/>
      <c r="F96" s="23"/>
      <c r="G96" s="23"/>
      <c r="H96" s="23"/>
      <c r="I96" s="23"/>
      <c r="J96" s="23"/>
      <c r="K96" s="23"/>
      <c r="L96" s="23"/>
      <c r="M96" s="23"/>
      <c r="N96" s="23"/>
      <c r="O96" s="23"/>
      <c r="P96" s="4"/>
      <c r="Q96" s="23"/>
      <c r="R96" s="23"/>
      <c r="S96" s="23"/>
      <c r="T96" s="4"/>
    </row>
    <row r="97" spans="1:20" x14ac:dyDescent="0.2">
      <c r="A97" s="774"/>
      <c r="B97" s="4"/>
      <c r="C97" s="23"/>
      <c r="D97" s="23"/>
      <c r="E97" s="23"/>
      <c r="F97" s="23"/>
      <c r="G97" s="23"/>
      <c r="H97" s="23"/>
      <c r="I97" s="23"/>
      <c r="J97" s="23"/>
      <c r="K97" s="23"/>
      <c r="L97" s="23"/>
      <c r="M97" s="23"/>
      <c r="N97" s="23"/>
      <c r="O97" s="23"/>
      <c r="P97" s="4"/>
      <c r="Q97" s="23"/>
      <c r="R97" s="23"/>
      <c r="S97" s="23"/>
      <c r="T97" s="4"/>
    </row>
    <row r="98" spans="1:20" x14ac:dyDescent="0.2">
      <c r="A98" s="774"/>
      <c r="B98" s="4"/>
      <c r="C98" s="23"/>
      <c r="D98" s="23"/>
      <c r="E98" s="23"/>
      <c r="F98" s="23"/>
      <c r="G98" s="23"/>
      <c r="H98" s="23"/>
      <c r="I98" s="23"/>
      <c r="J98" s="23"/>
      <c r="K98" s="23"/>
      <c r="L98" s="23"/>
      <c r="M98" s="23"/>
      <c r="N98" s="23"/>
      <c r="O98" s="23"/>
      <c r="P98" s="4"/>
      <c r="Q98" s="23"/>
      <c r="R98" s="23"/>
      <c r="S98" s="23"/>
      <c r="T98" s="4"/>
    </row>
    <row r="99" spans="1:20" x14ac:dyDescent="0.2">
      <c r="A99" s="774"/>
      <c r="B99" s="4"/>
      <c r="C99" s="23"/>
      <c r="D99" s="23"/>
      <c r="E99" s="23"/>
      <c r="F99" s="23"/>
      <c r="G99" s="23"/>
      <c r="H99" s="23"/>
      <c r="I99" s="23"/>
      <c r="J99" s="23"/>
      <c r="K99" s="23"/>
      <c r="L99" s="23"/>
      <c r="M99" s="23"/>
      <c r="N99" s="23"/>
      <c r="O99" s="23"/>
      <c r="P99" s="4"/>
      <c r="Q99" s="23"/>
      <c r="R99" s="23"/>
      <c r="S99" s="23"/>
      <c r="T99" s="4"/>
    </row>
    <row r="100" spans="1:20" x14ac:dyDescent="0.2">
      <c r="A100" s="774"/>
      <c r="B100" s="4"/>
      <c r="C100" s="23"/>
      <c r="D100" s="23"/>
      <c r="E100" s="23"/>
      <c r="F100" s="23"/>
      <c r="G100" s="23"/>
      <c r="H100" s="23"/>
      <c r="I100" s="23"/>
      <c r="J100" s="23"/>
      <c r="K100" s="23"/>
      <c r="L100" s="23"/>
      <c r="M100" s="23"/>
      <c r="N100" s="23"/>
      <c r="O100" s="23"/>
      <c r="P100" s="4"/>
      <c r="Q100" s="23"/>
      <c r="R100" s="23"/>
      <c r="S100" s="23"/>
      <c r="T100" s="4"/>
    </row>
    <row r="101" spans="1:20" x14ac:dyDescent="0.2">
      <c r="A101" s="774"/>
      <c r="B101" s="4"/>
      <c r="C101" s="23"/>
      <c r="D101" s="23"/>
      <c r="E101" s="23"/>
      <c r="F101" s="23"/>
      <c r="G101" s="23"/>
      <c r="H101" s="23"/>
      <c r="I101" s="23"/>
      <c r="J101" s="23"/>
      <c r="K101" s="23"/>
      <c r="L101" s="23"/>
      <c r="M101" s="23"/>
      <c r="N101" s="23"/>
      <c r="O101" s="23"/>
      <c r="P101" s="4"/>
      <c r="Q101" s="23"/>
      <c r="R101" s="23"/>
      <c r="S101" s="23"/>
      <c r="T101" s="4"/>
    </row>
    <row r="102" spans="1:20" x14ac:dyDescent="0.2">
      <c r="A102" s="774"/>
      <c r="B102" s="4"/>
      <c r="C102" s="23"/>
      <c r="D102" s="23"/>
      <c r="E102" s="23"/>
      <c r="F102" s="23"/>
      <c r="G102" s="23"/>
      <c r="H102" s="23"/>
      <c r="I102" s="23"/>
      <c r="J102" s="23"/>
      <c r="K102" s="23"/>
      <c r="L102" s="23"/>
      <c r="M102" s="23"/>
      <c r="N102" s="23"/>
      <c r="O102" s="23"/>
      <c r="P102" s="4"/>
      <c r="Q102" s="23"/>
      <c r="R102" s="23"/>
      <c r="S102" s="23"/>
      <c r="T102" s="4"/>
    </row>
    <row r="103" spans="1:20" x14ac:dyDescent="0.2">
      <c r="A103" s="774"/>
      <c r="B103" s="4"/>
      <c r="C103" s="23"/>
      <c r="D103" s="23"/>
      <c r="E103" s="23"/>
      <c r="F103" s="23"/>
      <c r="G103" s="23"/>
      <c r="H103" s="23"/>
      <c r="I103" s="23"/>
      <c r="J103" s="23"/>
      <c r="K103" s="23"/>
      <c r="L103" s="23"/>
      <c r="M103" s="23"/>
      <c r="N103" s="23"/>
      <c r="O103" s="23"/>
      <c r="P103" s="4"/>
      <c r="Q103" s="23"/>
      <c r="R103" s="23"/>
      <c r="S103" s="23"/>
      <c r="T103" s="4"/>
    </row>
    <row r="104" spans="1:20" x14ac:dyDescent="0.2">
      <c r="A104" s="774"/>
      <c r="B104" s="4"/>
      <c r="C104" s="23"/>
      <c r="D104" s="23"/>
      <c r="E104" s="23"/>
      <c r="F104" s="23"/>
      <c r="G104" s="23"/>
      <c r="H104" s="23"/>
      <c r="I104" s="23"/>
      <c r="J104" s="23"/>
      <c r="K104" s="23"/>
      <c r="L104" s="23"/>
      <c r="M104" s="23"/>
      <c r="N104" s="23"/>
      <c r="O104" s="23"/>
      <c r="P104" s="4"/>
      <c r="Q104" s="23"/>
      <c r="R104" s="23"/>
      <c r="S104" s="23"/>
      <c r="T104" s="4"/>
    </row>
    <row r="105" spans="1:20" x14ac:dyDescent="0.2">
      <c r="A105" s="774"/>
      <c r="B105" s="4"/>
      <c r="C105" s="23"/>
      <c r="D105" s="23"/>
      <c r="E105" s="23"/>
      <c r="F105" s="23"/>
      <c r="G105" s="23"/>
      <c r="H105" s="23"/>
      <c r="I105" s="23"/>
      <c r="J105" s="23"/>
      <c r="K105" s="23"/>
      <c r="L105" s="23"/>
      <c r="M105" s="23"/>
      <c r="N105" s="23"/>
      <c r="O105" s="23"/>
      <c r="P105" s="4"/>
      <c r="Q105" s="23"/>
      <c r="R105" s="23"/>
      <c r="S105" s="23"/>
      <c r="T105" s="4"/>
    </row>
    <row r="106" spans="1:20" x14ac:dyDescent="0.2">
      <c r="A106" s="774"/>
      <c r="B106" s="4"/>
      <c r="C106" s="23"/>
      <c r="D106" s="23"/>
      <c r="E106" s="23"/>
      <c r="F106" s="23"/>
      <c r="G106" s="23"/>
      <c r="H106" s="23"/>
      <c r="I106" s="23"/>
      <c r="J106" s="23"/>
      <c r="K106" s="23"/>
      <c r="L106" s="23"/>
      <c r="M106" s="23"/>
      <c r="N106" s="23"/>
      <c r="O106" s="23"/>
      <c r="P106" s="4"/>
      <c r="Q106" s="23"/>
      <c r="R106" s="23"/>
      <c r="S106" s="23"/>
      <c r="T106" s="4"/>
    </row>
    <row r="107" spans="1:20" x14ac:dyDescent="0.2">
      <c r="A107" s="774"/>
      <c r="B107" s="4"/>
      <c r="C107" s="23"/>
      <c r="D107" s="23"/>
      <c r="E107" s="23"/>
      <c r="F107" s="23"/>
      <c r="G107" s="23"/>
      <c r="H107" s="23"/>
      <c r="I107" s="23"/>
      <c r="J107" s="23"/>
      <c r="K107" s="23"/>
      <c r="L107" s="23"/>
      <c r="M107" s="23"/>
      <c r="N107" s="23"/>
      <c r="O107" s="23"/>
      <c r="P107" s="4"/>
      <c r="Q107" s="23"/>
      <c r="R107" s="23"/>
      <c r="S107" s="23"/>
      <c r="T107" s="4"/>
    </row>
    <row r="108" spans="1:20" x14ac:dyDescent="0.2">
      <c r="A108" s="774"/>
      <c r="B108" s="4"/>
      <c r="C108" s="23"/>
      <c r="D108" s="23"/>
      <c r="E108" s="23"/>
      <c r="F108" s="23"/>
      <c r="G108" s="23"/>
      <c r="H108" s="23"/>
      <c r="I108" s="23"/>
      <c r="J108" s="23"/>
      <c r="K108" s="23"/>
      <c r="L108" s="23"/>
      <c r="M108" s="23"/>
      <c r="N108" s="23"/>
      <c r="O108" s="23"/>
      <c r="P108" s="4"/>
      <c r="Q108" s="23"/>
      <c r="R108" s="23"/>
      <c r="S108" s="23"/>
      <c r="T108" s="4"/>
    </row>
    <row r="109" spans="1:20" x14ac:dyDescent="0.2">
      <c r="A109" s="774"/>
      <c r="B109" s="4"/>
      <c r="C109" s="23"/>
      <c r="D109" s="23"/>
      <c r="E109" s="23"/>
      <c r="F109" s="23"/>
      <c r="G109" s="23"/>
      <c r="H109" s="23"/>
      <c r="I109" s="23"/>
      <c r="J109" s="23"/>
      <c r="K109" s="23"/>
      <c r="L109" s="23"/>
      <c r="M109" s="23"/>
      <c r="N109" s="23"/>
      <c r="O109" s="23"/>
      <c r="P109" s="4"/>
      <c r="Q109" s="23"/>
      <c r="R109" s="23"/>
      <c r="S109" s="23"/>
      <c r="T109" s="4"/>
    </row>
    <row r="110" spans="1:20" x14ac:dyDescent="0.2">
      <c r="A110" s="774"/>
      <c r="B110" s="4"/>
      <c r="C110" s="23"/>
      <c r="D110" s="23"/>
      <c r="E110" s="23"/>
      <c r="F110" s="23"/>
      <c r="G110" s="23"/>
      <c r="H110" s="23"/>
      <c r="I110" s="23"/>
      <c r="J110" s="23"/>
      <c r="K110" s="23"/>
      <c r="L110" s="23"/>
      <c r="M110" s="23"/>
      <c r="N110" s="23"/>
      <c r="O110" s="23"/>
      <c r="P110" s="4"/>
      <c r="Q110" s="23"/>
      <c r="R110" s="23"/>
      <c r="S110" s="23"/>
      <c r="T110" s="4"/>
    </row>
    <row r="111" spans="1:20" x14ac:dyDescent="0.2">
      <c r="A111" s="774"/>
      <c r="B111" s="4"/>
      <c r="C111" s="23"/>
      <c r="D111" s="23"/>
      <c r="E111" s="23"/>
      <c r="F111" s="23"/>
      <c r="G111" s="23"/>
      <c r="H111" s="23"/>
      <c r="I111" s="23"/>
      <c r="J111" s="23"/>
      <c r="K111" s="23"/>
      <c r="L111" s="23"/>
      <c r="M111" s="23"/>
      <c r="N111" s="23"/>
      <c r="O111" s="23"/>
      <c r="P111" s="4"/>
      <c r="Q111" s="23"/>
      <c r="R111" s="23"/>
      <c r="S111" s="23"/>
      <c r="T111" s="4"/>
    </row>
    <row r="112" spans="1:20" x14ac:dyDescent="0.2">
      <c r="A112" s="774"/>
      <c r="B112" s="4"/>
      <c r="C112" s="23"/>
      <c r="D112" s="23"/>
      <c r="E112" s="23"/>
      <c r="F112" s="23"/>
      <c r="G112" s="23"/>
      <c r="H112" s="23"/>
      <c r="I112" s="23"/>
      <c r="J112" s="23"/>
      <c r="K112" s="23"/>
      <c r="L112" s="23"/>
      <c r="M112" s="23"/>
      <c r="N112" s="23"/>
      <c r="O112" s="23"/>
      <c r="P112" s="4"/>
      <c r="Q112" s="23"/>
      <c r="R112" s="23"/>
      <c r="S112" s="23"/>
      <c r="T112" s="4"/>
    </row>
    <row r="113" spans="1:20" x14ac:dyDescent="0.2">
      <c r="A113" s="774"/>
      <c r="B113" s="4"/>
      <c r="C113" s="23"/>
      <c r="D113" s="23"/>
      <c r="E113" s="23"/>
      <c r="F113" s="23"/>
      <c r="G113" s="23"/>
      <c r="H113" s="23"/>
      <c r="I113" s="23"/>
      <c r="J113" s="23"/>
      <c r="K113" s="23"/>
      <c r="L113" s="23"/>
      <c r="M113" s="23"/>
      <c r="N113" s="23"/>
      <c r="O113" s="23"/>
      <c r="P113" s="4"/>
      <c r="Q113" s="23"/>
      <c r="R113" s="23"/>
      <c r="S113" s="23"/>
      <c r="T113" s="4"/>
    </row>
    <row r="114" spans="1:20" x14ac:dyDescent="0.2">
      <c r="A114" s="774"/>
      <c r="B114" s="4"/>
      <c r="C114" s="23"/>
      <c r="D114" s="23"/>
      <c r="E114" s="23"/>
      <c r="F114" s="23"/>
      <c r="G114" s="23"/>
      <c r="H114" s="23"/>
      <c r="I114" s="23"/>
      <c r="J114" s="23"/>
      <c r="K114" s="23"/>
      <c r="L114" s="23"/>
      <c r="M114" s="23"/>
      <c r="N114" s="23"/>
      <c r="O114" s="23"/>
      <c r="P114" s="4"/>
      <c r="Q114" s="23"/>
      <c r="R114" s="23"/>
      <c r="S114" s="23"/>
      <c r="T114" s="4"/>
    </row>
    <row r="115" spans="1:20" x14ac:dyDescent="0.2">
      <c r="A115" s="774"/>
      <c r="B115" s="4"/>
      <c r="C115" s="23"/>
      <c r="D115" s="23"/>
      <c r="E115" s="23"/>
      <c r="F115" s="23"/>
      <c r="G115" s="23"/>
      <c r="H115" s="23"/>
      <c r="I115" s="23"/>
      <c r="J115" s="23"/>
      <c r="K115" s="23"/>
      <c r="L115" s="23"/>
      <c r="M115" s="23"/>
      <c r="N115" s="23"/>
      <c r="O115" s="23"/>
      <c r="P115" s="4"/>
      <c r="Q115" s="23"/>
      <c r="R115" s="23"/>
      <c r="S115" s="23"/>
      <c r="T115" s="4"/>
    </row>
    <row r="116" spans="1:20" x14ac:dyDescent="0.2">
      <c r="A116" s="774"/>
      <c r="B116" s="4"/>
      <c r="C116" s="23"/>
      <c r="D116" s="23"/>
      <c r="E116" s="23"/>
      <c r="F116" s="23"/>
      <c r="G116" s="23"/>
      <c r="H116" s="23"/>
      <c r="I116" s="23"/>
      <c r="J116" s="23"/>
      <c r="K116" s="23"/>
      <c r="L116" s="23"/>
      <c r="M116" s="23"/>
      <c r="N116" s="23"/>
      <c r="O116" s="23"/>
      <c r="P116" s="4"/>
      <c r="Q116" s="23"/>
      <c r="R116" s="23"/>
      <c r="S116" s="23"/>
      <c r="T116" s="4"/>
    </row>
    <row r="117" spans="1:20" x14ac:dyDescent="0.2">
      <c r="A117" s="774"/>
      <c r="B117" s="4"/>
      <c r="C117" s="23"/>
      <c r="D117" s="23"/>
      <c r="E117" s="23"/>
      <c r="F117" s="23"/>
      <c r="G117" s="23"/>
      <c r="H117" s="23"/>
      <c r="I117" s="23"/>
      <c r="J117" s="23"/>
      <c r="K117" s="23"/>
      <c r="L117" s="23"/>
      <c r="M117" s="23"/>
      <c r="N117" s="23"/>
      <c r="O117" s="23"/>
      <c r="P117" s="4"/>
      <c r="Q117" s="23"/>
      <c r="R117" s="23"/>
      <c r="S117" s="23"/>
      <c r="T117" s="4"/>
    </row>
    <row r="118" spans="1:20" x14ac:dyDescent="0.2">
      <c r="A118" s="774"/>
      <c r="B118" s="4"/>
      <c r="C118" s="23"/>
      <c r="D118" s="23"/>
      <c r="E118" s="23"/>
      <c r="F118" s="23"/>
      <c r="G118" s="23"/>
      <c r="H118" s="23"/>
      <c r="I118" s="23"/>
      <c r="J118" s="23"/>
      <c r="K118" s="23"/>
      <c r="L118" s="23"/>
      <c r="M118" s="23"/>
      <c r="N118" s="23"/>
      <c r="O118" s="23"/>
      <c r="P118" s="4"/>
      <c r="Q118" s="23"/>
      <c r="R118" s="23"/>
      <c r="S118" s="23"/>
      <c r="T118" s="4"/>
    </row>
    <row r="119" spans="1:20" x14ac:dyDescent="0.2">
      <c r="A119" s="774"/>
      <c r="B119" s="4"/>
      <c r="C119" s="23"/>
      <c r="D119" s="23"/>
      <c r="E119" s="23"/>
      <c r="F119" s="23"/>
      <c r="G119" s="23"/>
      <c r="H119" s="23"/>
      <c r="I119" s="23"/>
      <c r="J119" s="23"/>
      <c r="K119" s="23"/>
      <c r="L119" s="23"/>
      <c r="M119" s="23"/>
      <c r="N119" s="23"/>
      <c r="O119" s="23"/>
      <c r="P119" s="4"/>
      <c r="Q119" s="23"/>
      <c r="R119" s="23"/>
      <c r="S119" s="23"/>
      <c r="T119" s="4"/>
    </row>
    <row r="120" spans="1:20" x14ac:dyDescent="0.2">
      <c r="A120" s="774"/>
      <c r="B120" s="4"/>
      <c r="C120" s="23"/>
      <c r="D120" s="23"/>
      <c r="E120" s="23"/>
      <c r="F120" s="23"/>
      <c r="G120" s="23"/>
      <c r="H120" s="23"/>
      <c r="I120" s="23"/>
      <c r="J120" s="23"/>
      <c r="K120" s="23"/>
      <c r="L120" s="23"/>
      <c r="M120" s="23"/>
      <c r="N120" s="23"/>
      <c r="O120" s="23"/>
      <c r="P120" s="4"/>
      <c r="Q120" s="23"/>
      <c r="R120" s="23"/>
      <c r="S120" s="23"/>
      <c r="T120" s="4"/>
    </row>
    <row r="121" spans="1:20" x14ac:dyDescent="0.2">
      <c r="A121" s="774"/>
      <c r="B121" s="4"/>
      <c r="C121" s="23"/>
      <c r="D121" s="23"/>
      <c r="E121" s="23"/>
      <c r="F121" s="23"/>
      <c r="G121" s="23"/>
      <c r="H121" s="23"/>
      <c r="I121" s="23"/>
      <c r="J121" s="23"/>
      <c r="K121" s="23"/>
      <c r="L121" s="23"/>
      <c r="M121" s="23"/>
      <c r="N121" s="23"/>
      <c r="O121" s="23"/>
      <c r="P121" s="4"/>
      <c r="Q121" s="23"/>
      <c r="R121" s="23"/>
      <c r="S121" s="23"/>
      <c r="T121" s="4"/>
    </row>
    <row r="122" spans="1:20" x14ac:dyDescent="0.2">
      <c r="A122" s="774"/>
      <c r="B122" s="4"/>
      <c r="C122" s="23"/>
      <c r="D122" s="23"/>
      <c r="E122" s="23"/>
      <c r="F122" s="23"/>
      <c r="G122" s="23"/>
      <c r="H122" s="23"/>
      <c r="I122" s="23"/>
      <c r="J122" s="23"/>
      <c r="K122" s="23"/>
      <c r="L122" s="23"/>
      <c r="M122" s="23"/>
      <c r="N122" s="23"/>
      <c r="O122" s="23"/>
      <c r="P122" s="4"/>
      <c r="Q122" s="23"/>
      <c r="R122" s="23"/>
      <c r="S122" s="23"/>
      <c r="T122" s="4"/>
    </row>
    <row r="123" spans="1:20" x14ac:dyDescent="0.2">
      <c r="A123" s="774"/>
      <c r="B123" s="4"/>
      <c r="C123" s="23"/>
      <c r="D123" s="23"/>
      <c r="E123" s="23"/>
      <c r="F123" s="23"/>
      <c r="G123" s="23"/>
      <c r="H123" s="23"/>
      <c r="I123" s="23"/>
      <c r="J123" s="23"/>
      <c r="K123" s="23"/>
      <c r="L123" s="23"/>
      <c r="M123" s="23"/>
      <c r="N123" s="23"/>
      <c r="O123" s="23"/>
      <c r="P123" s="4"/>
      <c r="Q123" s="23"/>
      <c r="R123" s="23"/>
      <c r="S123" s="23"/>
      <c r="T123" s="4"/>
    </row>
    <row r="124" spans="1:20" x14ac:dyDescent="0.2">
      <c r="C124" s="212"/>
      <c r="D124" s="212"/>
      <c r="E124" s="212"/>
      <c r="F124" s="212"/>
      <c r="G124" s="212"/>
      <c r="H124" s="212"/>
      <c r="I124" s="212"/>
      <c r="J124" s="212"/>
      <c r="K124" s="212"/>
      <c r="L124" s="212"/>
      <c r="M124" s="212"/>
      <c r="N124" s="212"/>
      <c r="O124" s="212"/>
    </row>
    <row r="125" spans="1:20" x14ac:dyDescent="0.2">
      <c r="C125" s="212"/>
      <c r="D125" s="212"/>
      <c r="E125" s="212"/>
      <c r="F125" s="212"/>
      <c r="G125" s="212"/>
      <c r="H125" s="212"/>
      <c r="I125" s="212"/>
      <c r="J125" s="212"/>
      <c r="K125" s="212"/>
      <c r="L125" s="212"/>
      <c r="M125" s="212"/>
      <c r="N125" s="212"/>
      <c r="O125" s="212"/>
    </row>
    <row r="126" spans="1:20" x14ac:dyDescent="0.2">
      <c r="C126" s="212"/>
      <c r="D126" s="212"/>
      <c r="E126" s="212"/>
      <c r="F126" s="212"/>
      <c r="G126" s="212"/>
      <c r="H126" s="212"/>
      <c r="I126" s="212"/>
      <c r="J126" s="212"/>
      <c r="K126" s="212"/>
      <c r="L126" s="212"/>
      <c r="M126" s="212"/>
      <c r="N126" s="212"/>
      <c r="O126" s="212"/>
    </row>
    <row r="127" spans="1:20" x14ac:dyDescent="0.2">
      <c r="C127" s="212"/>
      <c r="D127" s="212"/>
      <c r="E127" s="212"/>
      <c r="F127" s="212"/>
      <c r="G127" s="212"/>
      <c r="H127" s="212"/>
      <c r="I127" s="212"/>
      <c r="J127" s="212"/>
      <c r="K127" s="212"/>
      <c r="L127" s="212"/>
      <c r="M127" s="212"/>
      <c r="N127" s="212"/>
      <c r="O127" s="212"/>
    </row>
    <row r="128" spans="1:20" x14ac:dyDescent="0.2">
      <c r="C128" s="212"/>
      <c r="D128" s="212"/>
      <c r="E128" s="212"/>
      <c r="F128" s="212"/>
      <c r="G128" s="212"/>
      <c r="H128" s="212"/>
      <c r="I128" s="212"/>
      <c r="J128" s="212"/>
      <c r="K128" s="212"/>
      <c r="L128" s="212"/>
      <c r="M128" s="212"/>
      <c r="N128" s="212"/>
      <c r="O128" s="212"/>
    </row>
    <row r="129" spans="3:3" x14ac:dyDescent="0.2">
      <c r="C129" s="212"/>
    </row>
    <row r="130" spans="3:3" x14ac:dyDescent="0.2">
      <c r="C130" s="212"/>
    </row>
    <row r="131" spans="3:3" x14ac:dyDescent="0.2">
      <c r="C131" s="212"/>
    </row>
    <row r="132" spans="3:3" x14ac:dyDescent="0.2">
      <c r="C132" s="212"/>
    </row>
    <row r="133" spans="3:3" x14ac:dyDescent="0.2">
      <c r="C133" s="212"/>
    </row>
    <row r="134" spans="3:3" x14ac:dyDescent="0.2">
      <c r="C134" s="212"/>
    </row>
    <row r="135" spans="3:3" x14ac:dyDescent="0.2">
      <c r="C135" s="212"/>
    </row>
    <row r="136" spans="3:3" x14ac:dyDescent="0.2">
      <c r="C136" s="212"/>
    </row>
    <row r="137" spans="3:3" x14ac:dyDescent="0.2">
      <c r="C137" s="212"/>
    </row>
    <row r="138" spans="3:3" x14ac:dyDescent="0.2">
      <c r="C138" s="212"/>
    </row>
    <row r="139" spans="3:3" x14ac:dyDescent="0.2">
      <c r="C139" s="212"/>
    </row>
    <row r="140" spans="3:3" x14ac:dyDescent="0.2">
      <c r="C140" s="212"/>
    </row>
    <row r="141" spans="3:3" x14ac:dyDescent="0.2">
      <c r="C141" s="212"/>
    </row>
    <row r="142" spans="3:3" x14ac:dyDescent="0.2">
      <c r="C142" s="212"/>
    </row>
    <row r="143" spans="3:3" x14ac:dyDescent="0.2">
      <c r="C143" s="212"/>
    </row>
    <row r="144" spans="3:3" x14ac:dyDescent="0.2">
      <c r="C144" s="212"/>
    </row>
    <row r="145" spans="3:3" x14ac:dyDescent="0.2">
      <c r="C145" s="212"/>
    </row>
    <row r="146" spans="3:3" x14ac:dyDescent="0.2">
      <c r="C146" s="212"/>
    </row>
    <row r="147" spans="3:3" x14ac:dyDescent="0.2">
      <c r="C147" s="212"/>
    </row>
    <row r="148" spans="3:3" x14ac:dyDescent="0.2">
      <c r="C148" s="212"/>
    </row>
    <row r="149" spans="3:3" x14ac:dyDescent="0.2">
      <c r="C149" s="212"/>
    </row>
    <row r="150" spans="3:3" x14ac:dyDescent="0.2">
      <c r="C150" s="212"/>
    </row>
    <row r="151" spans="3:3" x14ac:dyDescent="0.2">
      <c r="C151" s="212"/>
    </row>
    <row r="152" spans="3:3" x14ac:dyDescent="0.2">
      <c r="C152" s="212"/>
    </row>
    <row r="153" spans="3:3" x14ac:dyDescent="0.2">
      <c r="C153" s="212"/>
    </row>
    <row r="154" spans="3:3" x14ac:dyDescent="0.2">
      <c r="C154" s="212"/>
    </row>
    <row r="155" spans="3:3" x14ac:dyDescent="0.2">
      <c r="C155" s="212"/>
    </row>
  </sheetData>
  <phoneticPr fontId="0" type="noConversion"/>
  <hyperlinks>
    <hyperlink ref="A1" location="'Working Budget with funding det'!A1" display="Main " xr:uid="{00000000-0004-0000-3B00-000000000000}"/>
    <hyperlink ref="B1" location="'Table of Contents'!A1" display="TOC" xr:uid="{00000000-0004-0000-3B00-000001000000}"/>
  </hyperlinks>
  <pageMargins left="0.75" right="0.75" top="0.51" bottom="0.5" header="0.5" footer="0.5"/>
  <pageSetup scale="89" fitToHeight="0" orientation="landscape" r:id="rId1"/>
  <headerFooter alignWithMargins="0">
    <oddFooter>&amp;L&amp;D     &amp;T&amp;C&amp;F&amp;R&amp;A</oddFooter>
  </headerFooter>
  <rowBreaks count="1" manualBreakCount="1">
    <brk id="30" max="11"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B050"/>
    <pageSetUpPr fitToPage="1"/>
  </sheetPr>
  <dimension ref="A1:V145"/>
  <sheetViews>
    <sheetView workbookViewId="0">
      <selection activeCell="B24" sqref="B24"/>
    </sheetView>
  </sheetViews>
  <sheetFormatPr defaultRowHeight="12.75" x14ac:dyDescent="0.2"/>
  <cols>
    <col min="1" max="1" width="10.33203125" style="774" bestFit="1" customWidth="1"/>
    <col min="2" max="2" width="36.6640625" style="4" customWidth="1"/>
    <col min="3" max="12" width="14.5" style="23" hidden="1" customWidth="1"/>
    <col min="13" max="15" width="14.5" style="23" customWidth="1"/>
    <col min="16" max="16" width="14.5" style="4" customWidth="1"/>
    <col min="17" max="19" width="14.5" style="23" customWidth="1"/>
    <col min="20" max="22" width="14.5" customWidth="1"/>
    <col min="23" max="23" width="14.6640625" customWidth="1"/>
  </cols>
  <sheetData>
    <row r="1" spans="1:22" x14ac:dyDescent="0.2">
      <c r="A1" s="793" t="s">
        <v>847</v>
      </c>
      <c r="B1" s="308" t="s">
        <v>197</v>
      </c>
      <c r="C1" s="97"/>
      <c r="D1" s="97"/>
      <c r="E1" s="97"/>
      <c r="F1" s="97"/>
      <c r="G1" s="97"/>
      <c r="H1" s="97"/>
      <c r="I1" s="97"/>
      <c r="J1" s="97"/>
      <c r="K1" s="97"/>
      <c r="L1" s="97"/>
      <c r="M1" s="97"/>
      <c r="N1" s="97"/>
      <c r="O1" s="97"/>
      <c r="Q1" s="97"/>
      <c r="R1" s="97"/>
      <c r="S1" s="4"/>
    </row>
    <row r="2" spans="1:22" x14ac:dyDescent="0.2">
      <c r="A2" s="774" t="s">
        <v>1668</v>
      </c>
      <c r="C2" s="97"/>
      <c r="E2" s="97"/>
      <c r="I2" s="97" t="s">
        <v>816</v>
      </c>
      <c r="J2" s="97"/>
      <c r="K2" s="97"/>
      <c r="L2" s="97"/>
      <c r="M2" s="97"/>
      <c r="N2" s="97"/>
      <c r="O2" s="97"/>
      <c r="P2" s="320" t="s">
        <v>1799</v>
      </c>
      <c r="Q2" s="97"/>
      <c r="R2" s="97"/>
      <c r="S2" s="74" t="s">
        <v>1800</v>
      </c>
    </row>
    <row r="3" spans="1:22" ht="13.5" thickBot="1" x14ac:dyDescent="0.25">
      <c r="C3" s="97"/>
      <c r="D3" s="97"/>
      <c r="E3" s="97"/>
      <c r="F3" s="97"/>
      <c r="G3" s="97"/>
      <c r="H3" s="97"/>
      <c r="I3" s="97"/>
      <c r="J3" s="97"/>
      <c r="K3" s="97"/>
      <c r="L3" s="97"/>
      <c r="M3" s="97"/>
      <c r="N3" s="97"/>
      <c r="O3" s="97"/>
      <c r="Q3" s="97"/>
      <c r="R3" s="97"/>
      <c r="S3" s="4"/>
      <c r="V3" s="4"/>
    </row>
    <row r="4" spans="1:22" ht="13.5" thickTop="1" x14ac:dyDescent="0.2">
      <c r="A4" s="775"/>
      <c r="B4" s="542"/>
      <c r="C4" s="321" t="s">
        <v>280</v>
      </c>
      <c r="D4" s="321" t="s">
        <v>280</v>
      </c>
      <c r="E4" s="321" t="s">
        <v>280</v>
      </c>
      <c r="F4" s="321" t="s">
        <v>280</v>
      </c>
      <c r="G4" s="321" t="s">
        <v>280</v>
      </c>
      <c r="H4" s="322" t="s">
        <v>280</v>
      </c>
      <c r="I4" s="246" t="s">
        <v>280</v>
      </c>
      <c r="J4" s="246" t="s">
        <v>280</v>
      </c>
      <c r="K4" s="246" t="s">
        <v>279</v>
      </c>
      <c r="L4" s="246" t="s">
        <v>280</v>
      </c>
      <c r="M4" s="246" t="s">
        <v>279</v>
      </c>
      <c r="N4" s="246" t="s">
        <v>280</v>
      </c>
      <c r="O4" s="246" t="s">
        <v>279</v>
      </c>
      <c r="P4" s="322" t="s">
        <v>818</v>
      </c>
      <c r="Q4" s="79" t="s">
        <v>571</v>
      </c>
      <c r="R4" s="79" t="s">
        <v>571</v>
      </c>
      <c r="S4" s="7" t="s">
        <v>571</v>
      </c>
    </row>
    <row r="5" spans="1:22" x14ac:dyDescent="0.2">
      <c r="A5" s="776"/>
      <c r="B5" s="202"/>
      <c r="C5" s="323"/>
      <c r="D5" s="323"/>
      <c r="E5" s="324"/>
      <c r="F5" s="323"/>
      <c r="G5" s="323"/>
      <c r="H5" s="324"/>
      <c r="I5" s="247"/>
      <c r="J5" s="247"/>
      <c r="K5" s="247"/>
      <c r="L5" s="247"/>
      <c r="M5" s="247"/>
      <c r="N5" s="247"/>
      <c r="O5" s="247"/>
      <c r="P5" s="324" t="s">
        <v>819</v>
      </c>
      <c r="Q5" s="83" t="s">
        <v>820</v>
      </c>
      <c r="R5" s="83" t="s">
        <v>821</v>
      </c>
      <c r="S5" s="196" t="s">
        <v>822</v>
      </c>
    </row>
    <row r="6" spans="1:22" x14ac:dyDescent="0.2">
      <c r="A6" s="776"/>
      <c r="B6" s="202"/>
      <c r="C6" s="323"/>
      <c r="D6" s="323"/>
      <c r="E6" s="324"/>
      <c r="F6" s="323"/>
      <c r="G6" s="324"/>
      <c r="H6" s="324"/>
      <c r="I6" s="247"/>
      <c r="J6" s="247"/>
      <c r="K6" s="247"/>
      <c r="L6" s="247"/>
      <c r="M6" s="247"/>
      <c r="N6" s="247"/>
      <c r="O6" s="247"/>
      <c r="P6" s="324"/>
      <c r="Q6" s="83" t="s">
        <v>823</v>
      </c>
      <c r="R6" s="83" t="s">
        <v>585</v>
      </c>
      <c r="S6" s="45" t="s">
        <v>824</v>
      </c>
    </row>
    <row r="7" spans="1:22" ht="13.5" thickBot="1" x14ac:dyDescent="0.25">
      <c r="A7" s="777" t="s">
        <v>825</v>
      </c>
      <c r="B7" s="78"/>
      <c r="C7" s="325" t="s">
        <v>267</v>
      </c>
      <c r="D7" s="325" t="s">
        <v>268</v>
      </c>
      <c r="E7" s="77" t="s">
        <v>269</v>
      </c>
      <c r="F7" s="9" t="s">
        <v>566</v>
      </c>
      <c r="G7" s="77" t="s">
        <v>567</v>
      </c>
      <c r="H7" s="77" t="s">
        <v>272</v>
      </c>
      <c r="I7" s="77" t="s">
        <v>273</v>
      </c>
      <c r="J7" s="77" t="s">
        <v>570</v>
      </c>
      <c r="K7" s="77" t="s">
        <v>275</v>
      </c>
      <c r="L7" s="77" t="s">
        <v>275</v>
      </c>
      <c r="M7" s="77" t="s">
        <v>276</v>
      </c>
      <c r="N7" s="77" t="s">
        <v>276</v>
      </c>
      <c r="O7" s="77" t="s">
        <v>277</v>
      </c>
      <c r="P7" s="326">
        <v>44926</v>
      </c>
      <c r="Q7" s="77" t="s">
        <v>826</v>
      </c>
      <c r="R7" s="77"/>
      <c r="S7" s="9" t="s">
        <v>585</v>
      </c>
    </row>
    <row r="8" spans="1:22" ht="13.5" thickTop="1" x14ac:dyDescent="0.2">
      <c r="A8" s="778"/>
      <c r="B8" s="157"/>
      <c r="C8" s="328"/>
      <c r="D8" s="334"/>
      <c r="E8" s="327"/>
      <c r="F8" s="356"/>
      <c r="G8" s="327"/>
      <c r="H8" s="327"/>
      <c r="I8" s="144"/>
      <c r="J8" s="144"/>
      <c r="K8" s="144"/>
      <c r="L8" s="144"/>
      <c r="M8" s="144"/>
      <c r="N8" s="144"/>
      <c r="O8" s="144"/>
      <c r="P8" s="328"/>
      <c r="Q8" s="88"/>
      <c r="R8" s="88"/>
      <c r="S8" s="88"/>
    </row>
    <row r="9" spans="1:22" x14ac:dyDescent="0.2">
      <c r="A9" s="779">
        <v>5171</v>
      </c>
      <c r="B9" s="60" t="s">
        <v>1599</v>
      </c>
      <c r="C9" s="329">
        <v>64911</v>
      </c>
      <c r="D9" s="128">
        <v>74513</v>
      </c>
      <c r="E9" s="329">
        <v>74959</v>
      </c>
      <c r="F9" s="128">
        <v>88198</v>
      </c>
      <c r="G9" s="329">
        <v>88560</v>
      </c>
      <c r="H9" s="329">
        <v>77869</v>
      </c>
      <c r="I9" s="329">
        <v>80202</v>
      </c>
      <c r="J9" s="329">
        <v>93202</v>
      </c>
      <c r="K9" s="281">
        <v>85342</v>
      </c>
      <c r="L9" s="329">
        <v>85342</v>
      </c>
      <c r="M9" s="281">
        <v>92209</v>
      </c>
      <c r="N9" s="329">
        <v>92209</v>
      </c>
      <c r="O9" s="281">
        <v>136308</v>
      </c>
      <c r="P9" s="329">
        <v>136308</v>
      </c>
      <c r="Q9" s="281">
        <v>136308</v>
      </c>
      <c r="R9" s="281"/>
      <c r="S9" s="281"/>
    </row>
    <row r="10" spans="1:22" x14ac:dyDescent="0.2">
      <c r="A10" s="779">
        <v>5172</v>
      </c>
      <c r="B10" s="60" t="s">
        <v>1600</v>
      </c>
      <c r="C10" s="329">
        <v>5852.95</v>
      </c>
      <c r="D10" s="112">
        <v>4536.74</v>
      </c>
      <c r="E10" s="330">
        <v>5986.32</v>
      </c>
      <c r="F10" s="112">
        <v>8374.77</v>
      </c>
      <c r="G10" s="330">
        <v>8425.42</v>
      </c>
      <c r="H10" s="330">
        <v>9162</v>
      </c>
      <c r="I10" s="330">
        <v>9590</v>
      </c>
      <c r="J10" s="330">
        <v>9613.74</v>
      </c>
      <c r="K10" s="87">
        <v>17000</v>
      </c>
      <c r="L10" s="330">
        <v>10091</v>
      </c>
      <c r="M10" s="87">
        <v>12000</v>
      </c>
      <c r="N10" s="330">
        <v>6993.68</v>
      </c>
      <c r="O10" s="87">
        <v>12000</v>
      </c>
      <c r="P10" s="329">
        <v>6211</v>
      </c>
      <c r="Q10" s="87">
        <v>12000</v>
      </c>
      <c r="R10" s="87"/>
      <c r="S10" s="87"/>
    </row>
    <row r="11" spans="1:22" x14ac:dyDescent="0.2">
      <c r="A11" s="779">
        <v>5173</v>
      </c>
      <c r="B11" s="60" t="s">
        <v>1601</v>
      </c>
      <c r="C11" s="329"/>
      <c r="D11" s="112">
        <v>322</v>
      </c>
      <c r="E11" s="330"/>
      <c r="F11" s="112">
        <v>500.42</v>
      </c>
      <c r="G11" s="330"/>
      <c r="H11" s="330"/>
      <c r="I11" s="330">
        <v>0</v>
      </c>
      <c r="J11" s="330"/>
      <c r="K11" s="87">
        <v>28000</v>
      </c>
      <c r="L11" s="330">
        <v>7566</v>
      </c>
      <c r="M11" s="87">
        <v>28000</v>
      </c>
      <c r="N11" s="330">
        <v>1554.34</v>
      </c>
      <c r="O11" s="87">
        <v>28000</v>
      </c>
      <c r="P11" s="329"/>
      <c r="Q11" s="87">
        <v>28000</v>
      </c>
      <c r="R11" s="87"/>
      <c r="S11" s="87"/>
    </row>
    <row r="12" spans="1:22" x14ac:dyDescent="0.2">
      <c r="A12" s="779">
        <v>5174</v>
      </c>
      <c r="B12" s="60" t="s">
        <v>1602</v>
      </c>
      <c r="C12" s="329">
        <v>86130.559999999998</v>
      </c>
      <c r="D12" s="128">
        <v>75924.070000000007</v>
      </c>
      <c r="E12" s="329">
        <v>93076.36</v>
      </c>
      <c r="F12" s="128">
        <v>90104.19</v>
      </c>
      <c r="G12" s="329">
        <v>117708.89</v>
      </c>
      <c r="H12" s="329">
        <v>130930.22</v>
      </c>
      <c r="I12" s="329">
        <v>139043.88</v>
      </c>
      <c r="J12" s="329">
        <v>116261</v>
      </c>
      <c r="K12" s="281">
        <v>153912</v>
      </c>
      <c r="L12" s="329">
        <v>112949.92</v>
      </c>
      <c r="M12" s="281">
        <v>130000</v>
      </c>
      <c r="N12" s="329">
        <v>120237.74</v>
      </c>
      <c r="O12" s="281">
        <v>174000</v>
      </c>
      <c r="P12" s="329">
        <v>69257.03</v>
      </c>
      <c r="Q12" s="281">
        <v>178000</v>
      </c>
      <c r="R12" s="281"/>
      <c r="S12" s="281"/>
      <c r="T12" s="220"/>
    </row>
    <row r="13" spans="1:22" x14ac:dyDescent="0.2">
      <c r="A13" s="779">
        <v>5175</v>
      </c>
      <c r="B13" s="60" t="s">
        <v>1603</v>
      </c>
      <c r="C13" s="329">
        <v>759.92</v>
      </c>
      <c r="D13" s="128">
        <v>630.28</v>
      </c>
      <c r="E13" s="329">
        <v>931.52</v>
      </c>
      <c r="F13" s="128">
        <v>852</v>
      </c>
      <c r="G13" s="329">
        <v>602.08000000000004</v>
      </c>
      <c r="H13" s="329">
        <v>727.04</v>
      </c>
      <c r="I13" s="329">
        <v>431.68</v>
      </c>
      <c r="J13" s="329">
        <v>556.64</v>
      </c>
      <c r="K13" s="281">
        <v>1000</v>
      </c>
      <c r="L13" s="329">
        <v>556.64</v>
      </c>
      <c r="M13" s="281">
        <v>1000</v>
      </c>
      <c r="N13" s="329">
        <v>1056.48</v>
      </c>
      <c r="O13" s="281">
        <v>1000</v>
      </c>
      <c r="P13" s="329">
        <v>488.48</v>
      </c>
      <c r="Q13" s="281">
        <v>1100</v>
      </c>
      <c r="R13" s="281"/>
      <c r="S13" s="281"/>
    </row>
    <row r="14" spans="1:22" ht="13.5" thickBot="1" x14ac:dyDescent="0.25">
      <c r="A14" s="779">
        <v>5176</v>
      </c>
      <c r="B14" s="60" t="s">
        <v>1604</v>
      </c>
      <c r="C14" s="331">
        <v>4774.32</v>
      </c>
      <c r="D14" s="270">
        <v>4967.07</v>
      </c>
      <c r="E14" s="331">
        <v>6446.86</v>
      </c>
      <c r="F14" s="270">
        <v>6143.82</v>
      </c>
      <c r="G14" s="331">
        <v>5816.1</v>
      </c>
      <c r="H14" s="331">
        <v>5692.45</v>
      </c>
      <c r="I14" s="331">
        <v>5390.92</v>
      </c>
      <c r="J14" s="331">
        <v>5821.74</v>
      </c>
      <c r="K14" s="282">
        <v>6700</v>
      </c>
      <c r="L14" s="331">
        <v>5866.79</v>
      </c>
      <c r="M14" s="282">
        <v>7124</v>
      </c>
      <c r="N14" s="331">
        <v>6291.4</v>
      </c>
      <c r="O14" s="282">
        <v>7844</v>
      </c>
      <c r="P14" s="331">
        <v>3276.5</v>
      </c>
      <c r="Q14" s="282">
        <f>ROUND((+'661 440 CWF'!Q14*0.0145),0)</f>
        <v>8223</v>
      </c>
      <c r="R14" s="282"/>
      <c r="S14" s="282"/>
    </row>
    <row r="15" spans="1:22" x14ac:dyDescent="0.2">
      <c r="A15" s="779"/>
      <c r="B15" s="61" t="s">
        <v>828</v>
      </c>
      <c r="C15" s="330">
        <f t="shared" ref="C15:P15" si="0">SUM(C9:C14)</f>
        <v>162428.75000000003</v>
      </c>
      <c r="D15" s="112">
        <f t="shared" si="0"/>
        <v>160893.16</v>
      </c>
      <c r="E15" s="330">
        <f t="shared" si="0"/>
        <v>181400.05999999997</v>
      </c>
      <c r="F15" s="112">
        <f>SUM(F9:F14)</f>
        <v>194173.2</v>
      </c>
      <c r="G15" s="330">
        <f>SUM(G9:G14)</f>
        <v>221112.49</v>
      </c>
      <c r="H15" s="330">
        <f>SUM(H9:H14)</f>
        <v>224380.71000000002</v>
      </c>
      <c r="I15" s="330">
        <f t="shared" si="0"/>
        <v>234658.48</v>
      </c>
      <c r="J15" s="330">
        <f t="shared" si="0"/>
        <v>225455.12</v>
      </c>
      <c r="K15" s="87">
        <f t="shared" ref="K15:O15" si="1">SUM(K9:K14)</f>
        <v>291954</v>
      </c>
      <c r="L15" s="330">
        <f t="shared" si="1"/>
        <v>222372.35</v>
      </c>
      <c r="M15" s="87">
        <f t="shared" si="1"/>
        <v>270333</v>
      </c>
      <c r="N15" s="330">
        <f t="shared" ref="N15" si="2">SUM(N9:N14)</f>
        <v>228342.64</v>
      </c>
      <c r="O15" s="87">
        <f t="shared" si="1"/>
        <v>359152</v>
      </c>
      <c r="P15" s="330">
        <f t="shared" si="0"/>
        <v>215541.01</v>
      </c>
      <c r="Q15" s="87">
        <f>SUM(Q9:Q14)</f>
        <v>363631</v>
      </c>
      <c r="R15" s="87"/>
      <c r="S15" s="87">
        <f>SUM(S9:S14)</f>
        <v>0</v>
      </c>
    </row>
    <row r="16" spans="1:22" x14ac:dyDescent="0.2">
      <c r="A16" s="779"/>
      <c r="B16" s="60"/>
      <c r="C16" s="329"/>
      <c r="D16" s="128"/>
      <c r="E16" s="329"/>
      <c r="F16" s="128"/>
      <c r="G16" s="329"/>
      <c r="H16" s="329"/>
      <c r="I16" s="329"/>
      <c r="J16" s="329"/>
      <c r="K16" s="281"/>
      <c r="L16" s="329"/>
      <c r="M16" s="281"/>
      <c r="N16" s="329"/>
      <c r="O16" s="281"/>
      <c r="P16" s="329"/>
      <c r="Q16" s="281"/>
      <c r="R16" s="281"/>
      <c r="S16" s="281"/>
    </row>
    <row r="17" spans="1:22" x14ac:dyDescent="0.2">
      <c r="A17" s="779"/>
      <c r="B17" s="60"/>
      <c r="C17" s="329"/>
      <c r="D17" s="128"/>
      <c r="E17" s="329"/>
      <c r="F17" s="128"/>
      <c r="G17" s="329"/>
      <c r="H17" s="329"/>
      <c r="I17" s="329"/>
      <c r="J17" s="329"/>
      <c r="K17" s="281"/>
      <c r="L17" s="329"/>
      <c r="M17" s="281"/>
      <c r="N17" s="329"/>
      <c r="O17" s="281"/>
      <c r="P17" s="329"/>
      <c r="Q17" s="281"/>
      <c r="R17" s="281"/>
      <c r="S17" s="281"/>
    </row>
    <row r="18" spans="1:22" ht="13.5" thickBot="1" x14ac:dyDescent="0.25">
      <c r="A18" s="780"/>
      <c r="B18" s="602" t="s">
        <v>1667</v>
      </c>
      <c r="C18" s="332">
        <f t="shared" ref="C18:Q18" si="3">+C15</f>
        <v>162428.75000000003</v>
      </c>
      <c r="D18" s="273">
        <f t="shared" si="3"/>
        <v>160893.16</v>
      </c>
      <c r="E18" s="332">
        <f>+E15</f>
        <v>181400.05999999997</v>
      </c>
      <c r="F18" s="273">
        <f>+F15</f>
        <v>194173.2</v>
      </c>
      <c r="G18" s="332">
        <f>+G15</f>
        <v>221112.49</v>
      </c>
      <c r="H18" s="332">
        <f>+H15</f>
        <v>224380.71000000002</v>
      </c>
      <c r="I18" s="332">
        <f t="shared" si="3"/>
        <v>234658.48</v>
      </c>
      <c r="J18" s="332">
        <f t="shared" si="3"/>
        <v>225455.12</v>
      </c>
      <c r="K18" s="333">
        <f t="shared" ref="K18:O18" si="4">+K15</f>
        <v>291954</v>
      </c>
      <c r="L18" s="332">
        <f t="shared" si="4"/>
        <v>222372.35</v>
      </c>
      <c r="M18" s="333">
        <f t="shared" si="4"/>
        <v>270333</v>
      </c>
      <c r="N18" s="332">
        <f t="shared" ref="N18" si="5">+N15</f>
        <v>228342.64</v>
      </c>
      <c r="O18" s="333">
        <f t="shared" si="4"/>
        <v>359152</v>
      </c>
      <c r="P18" s="332">
        <f t="shared" si="3"/>
        <v>215541.01</v>
      </c>
      <c r="Q18" s="333">
        <f t="shared" si="3"/>
        <v>363631</v>
      </c>
      <c r="R18" s="333">
        <f>+Q18</f>
        <v>363631</v>
      </c>
      <c r="S18" s="333">
        <f>+Q18</f>
        <v>363631</v>
      </c>
    </row>
    <row r="19" spans="1:22" ht="13.5" thickTop="1" x14ac:dyDescent="0.2">
      <c r="B19" s="74"/>
      <c r="C19" s="24"/>
      <c r="D19" s="24"/>
      <c r="E19" s="24"/>
      <c r="F19" s="24"/>
      <c r="G19" s="24"/>
      <c r="H19" s="24"/>
      <c r="I19" s="24"/>
      <c r="J19" s="24"/>
      <c r="K19" s="24"/>
      <c r="L19" s="24"/>
      <c r="M19" s="24"/>
      <c r="N19" s="24"/>
      <c r="O19" s="24"/>
      <c r="P19" s="199" t="s">
        <v>843</v>
      </c>
      <c r="Q19" s="1116">
        <f>+Q18-O18</f>
        <v>4479</v>
      </c>
      <c r="R19" s="1117">
        <f>ROUND((+Q19/O18),4)</f>
        <v>1.2500000000000001E-2</v>
      </c>
      <c r="T19" s="25"/>
      <c r="U19" s="25"/>
      <c r="V19" s="25"/>
    </row>
    <row r="20" spans="1:22" x14ac:dyDescent="0.2">
      <c r="A20" s="54">
        <v>44901</v>
      </c>
      <c r="B20" s="4" t="s">
        <v>1607</v>
      </c>
      <c r="C20" s="24"/>
      <c r="D20" s="24"/>
      <c r="E20" s="24"/>
      <c r="F20" s="24"/>
      <c r="G20" s="24"/>
      <c r="H20" s="24"/>
      <c r="I20" s="24"/>
      <c r="J20" s="24"/>
      <c r="K20" s="24"/>
      <c r="L20" s="24"/>
      <c r="M20" s="24"/>
      <c r="N20" s="24"/>
      <c r="O20" s="24"/>
      <c r="P20" s="25"/>
      <c r="Q20" s="24"/>
      <c r="R20" s="24"/>
      <c r="S20" s="24"/>
      <c r="T20" s="25"/>
      <c r="U20" s="25"/>
      <c r="V20" s="25"/>
    </row>
    <row r="21" spans="1:22" x14ac:dyDescent="0.2">
      <c r="A21" s="54">
        <v>44902</v>
      </c>
      <c r="B21" s="4" t="s">
        <v>2172</v>
      </c>
      <c r="C21" s="24"/>
      <c r="D21" s="24"/>
      <c r="E21" s="24"/>
      <c r="F21" s="24"/>
      <c r="G21" s="24"/>
      <c r="H21" s="24"/>
      <c r="I21" s="24"/>
      <c r="J21" s="24"/>
      <c r="K21" s="24"/>
      <c r="L21" s="24"/>
      <c r="M21" s="24"/>
      <c r="N21" s="24"/>
      <c r="O21" s="24"/>
      <c r="P21" s="25"/>
      <c r="Q21" s="24"/>
      <c r="R21" s="24"/>
      <c r="S21" s="24"/>
      <c r="T21" s="25"/>
      <c r="U21" s="25"/>
      <c r="V21" s="25"/>
    </row>
    <row r="22" spans="1:22" x14ac:dyDescent="0.2">
      <c r="A22" s="54">
        <v>44951</v>
      </c>
      <c r="B22" s="4" t="s">
        <v>2498</v>
      </c>
      <c r="C22" s="24"/>
      <c r="D22" s="24"/>
      <c r="E22" s="24"/>
      <c r="F22" s="24"/>
      <c r="G22" s="24"/>
      <c r="H22" s="24"/>
      <c r="I22" s="24"/>
      <c r="J22" s="24"/>
      <c r="K22" s="24"/>
      <c r="L22" s="24"/>
      <c r="M22" s="24"/>
      <c r="N22" s="24"/>
      <c r="O22" s="24"/>
      <c r="P22" s="25"/>
      <c r="Q22" s="24"/>
      <c r="R22" s="24"/>
      <c r="S22" s="24"/>
      <c r="T22" s="25"/>
      <c r="U22" s="25"/>
      <c r="V22" s="25"/>
    </row>
    <row r="23" spans="1:22" x14ac:dyDescent="0.2">
      <c r="A23" s="54">
        <v>44985</v>
      </c>
      <c r="B23" s="4" t="s">
        <v>2499</v>
      </c>
      <c r="C23" s="24"/>
      <c r="D23" s="24"/>
      <c r="E23" s="24"/>
      <c r="F23" s="24"/>
      <c r="G23" s="24"/>
      <c r="H23" s="24"/>
      <c r="I23" s="24"/>
      <c r="J23" s="24"/>
      <c r="K23" s="24"/>
      <c r="L23" s="24"/>
      <c r="M23" s="24"/>
      <c r="N23" s="24"/>
      <c r="O23" s="24"/>
      <c r="P23" s="25"/>
      <c r="Q23" s="24"/>
      <c r="R23" s="24"/>
      <c r="S23" s="24"/>
      <c r="T23" s="25"/>
      <c r="U23" s="25"/>
      <c r="V23" s="25"/>
    </row>
    <row r="24" spans="1:22" ht="15.75" thickBot="1" x14ac:dyDescent="0.3">
      <c r="A24" s="785"/>
      <c r="C24" s="24"/>
      <c r="D24" s="24"/>
      <c r="E24" s="24"/>
      <c r="F24" s="24"/>
      <c r="G24" s="24"/>
      <c r="H24" s="24"/>
      <c r="I24" s="24"/>
      <c r="J24" s="24"/>
      <c r="K24" s="24"/>
      <c r="L24" s="24"/>
      <c r="M24" s="24"/>
      <c r="N24" s="24"/>
      <c r="O24" s="24"/>
      <c r="P24" s="25"/>
      <c r="Q24" s="24"/>
      <c r="R24" s="24"/>
      <c r="S24" s="24"/>
      <c r="T24" s="25"/>
      <c r="U24" s="25"/>
      <c r="V24" s="25"/>
    </row>
    <row r="25" spans="1:22" ht="13.5" thickTop="1" x14ac:dyDescent="0.2">
      <c r="A25" s="789"/>
      <c r="B25" s="367"/>
      <c r="C25" s="368" t="s">
        <v>280</v>
      </c>
      <c r="D25" s="369" t="s">
        <v>280</v>
      </c>
      <c r="E25" s="368" t="s">
        <v>280</v>
      </c>
      <c r="M25" s="370" t="s">
        <v>279</v>
      </c>
      <c r="N25" s="371" t="s">
        <v>826</v>
      </c>
      <c r="O25" s="372" t="s">
        <v>840</v>
      </c>
      <c r="P25" s="371" t="s">
        <v>841</v>
      </c>
      <c r="Q25" s="373"/>
      <c r="R25" s="569"/>
      <c r="S25" s="372"/>
      <c r="T25" s="25"/>
      <c r="U25" s="25"/>
      <c r="V25" s="25"/>
    </row>
    <row r="26" spans="1:22" ht="13.5" thickBot="1" x14ac:dyDescent="0.25">
      <c r="A26" s="790"/>
      <c r="B26" s="446"/>
      <c r="C26" s="447" t="s">
        <v>267</v>
      </c>
      <c r="D26" s="447" t="s">
        <v>268</v>
      </c>
      <c r="E26" s="433" t="s">
        <v>269</v>
      </c>
      <c r="M26" s="377" t="s">
        <v>277</v>
      </c>
      <c r="N26" s="377" t="s">
        <v>571</v>
      </c>
      <c r="O26" s="433" t="s">
        <v>843</v>
      </c>
      <c r="P26" s="435" t="s">
        <v>843</v>
      </c>
      <c r="Q26" s="379" t="s">
        <v>844</v>
      </c>
      <c r="R26" s="570"/>
      <c r="S26" s="377"/>
      <c r="T26" s="25"/>
      <c r="U26" s="25"/>
      <c r="V26" s="25"/>
    </row>
    <row r="27" spans="1:22" ht="13.5" thickTop="1" x14ac:dyDescent="0.2">
      <c r="A27" s="794"/>
      <c r="B27" s="448"/>
      <c r="C27" s="439"/>
      <c r="D27" s="438"/>
      <c r="E27" s="438"/>
      <c r="M27" s="438"/>
      <c r="N27" s="438"/>
      <c r="O27" s="449"/>
      <c r="P27" s="439"/>
      <c r="Q27" s="444"/>
      <c r="R27" s="1017"/>
      <c r="S27" s="445"/>
      <c r="T27" s="25"/>
      <c r="U27" s="25"/>
      <c r="V27" s="25"/>
    </row>
    <row r="28" spans="1:22" x14ac:dyDescent="0.2">
      <c r="A28" s="795">
        <v>5171</v>
      </c>
      <c r="B28" s="415" t="s">
        <v>1599</v>
      </c>
      <c r="C28" s="391">
        <v>64911</v>
      </c>
      <c r="D28" s="391">
        <v>74513</v>
      </c>
      <c r="E28" s="391">
        <v>74959</v>
      </c>
      <c r="M28" s="390">
        <f t="shared" ref="M28:M33" si="6">+O9</f>
        <v>136308</v>
      </c>
      <c r="N28" s="411">
        <f t="shared" ref="N28:N33" si="7">+Q9</f>
        <v>136308</v>
      </c>
      <c r="O28" s="390">
        <f t="shared" ref="O28:O33" si="8">+N28-M28</f>
        <v>0</v>
      </c>
      <c r="P28" s="392" t="str">
        <f t="shared" ref="P28:P33" si="9">IF(M28+N28&lt;&gt;0,IF(M28&lt;&gt;0,IF(O28&lt;&gt;0,ROUND((+O28/M28),4),""),1),"")</f>
        <v/>
      </c>
      <c r="Q28" s="385"/>
      <c r="R28" s="572"/>
      <c r="S28" s="386"/>
      <c r="T28" s="25"/>
      <c r="U28" s="25"/>
      <c r="V28" s="25"/>
    </row>
    <row r="29" spans="1:22" x14ac:dyDescent="0.2">
      <c r="A29" s="795">
        <v>5172</v>
      </c>
      <c r="B29" s="415" t="s">
        <v>1600</v>
      </c>
      <c r="C29" s="391">
        <v>5852.95</v>
      </c>
      <c r="D29" s="391">
        <v>4536.74</v>
      </c>
      <c r="E29" s="391">
        <v>5986.32</v>
      </c>
      <c r="M29" s="390">
        <f t="shared" si="6"/>
        <v>12000</v>
      </c>
      <c r="N29" s="411">
        <f t="shared" si="7"/>
        <v>12000</v>
      </c>
      <c r="O29" s="390">
        <f t="shared" si="8"/>
        <v>0</v>
      </c>
      <c r="P29" s="392" t="str">
        <f t="shared" si="9"/>
        <v/>
      </c>
      <c r="Q29" s="397"/>
      <c r="R29" s="1018"/>
      <c r="S29" s="414"/>
      <c r="T29" s="25"/>
      <c r="U29" s="25"/>
      <c r="V29" s="25"/>
    </row>
    <row r="30" spans="1:22" x14ac:dyDescent="0.2">
      <c r="A30" s="795">
        <v>5173</v>
      </c>
      <c r="B30" s="415" t="s">
        <v>1601</v>
      </c>
      <c r="C30" s="391"/>
      <c r="D30" s="391">
        <v>322</v>
      </c>
      <c r="E30" s="391"/>
      <c r="M30" s="390">
        <f t="shared" si="6"/>
        <v>28000</v>
      </c>
      <c r="N30" s="411">
        <f t="shared" si="7"/>
        <v>28000</v>
      </c>
      <c r="O30" s="390">
        <f t="shared" si="8"/>
        <v>0</v>
      </c>
      <c r="P30" s="392" t="str">
        <f t="shared" si="9"/>
        <v/>
      </c>
      <c r="Q30" s="397"/>
      <c r="R30" s="1018"/>
      <c r="S30" s="414"/>
      <c r="T30" s="25"/>
      <c r="U30" s="25"/>
      <c r="V30" s="25"/>
    </row>
    <row r="31" spans="1:22" x14ac:dyDescent="0.2">
      <c r="A31" s="795">
        <v>5174</v>
      </c>
      <c r="B31" s="415" t="s">
        <v>1602</v>
      </c>
      <c r="C31" s="391">
        <v>86130.559999999998</v>
      </c>
      <c r="D31" s="391">
        <v>75924.070000000007</v>
      </c>
      <c r="E31" s="391">
        <v>93076.36</v>
      </c>
      <c r="M31" s="390">
        <f t="shared" si="6"/>
        <v>174000</v>
      </c>
      <c r="N31" s="411">
        <f t="shared" si="7"/>
        <v>178000</v>
      </c>
      <c r="O31" s="390">
        <f t="shared" si="8"/>
        <v>4000</v>
      </c>
      <c r="P31" s="392">
        <f t="shared" si="9"/>
        <v>2.3E-2</v>
      </c>
      <c r="Q31" s="385"/>
      <c r="R31" s="572"/>
      <c r="S31" s="386"/>
      <c r="T31" s="25"/>
      <c r="U31" s="25"/>
      <c r="V31" s="25"/>
    </row>
    <row r="32" spans="1:22" x14ac:dyDescent="0.2">
      <c r="A32" s="795">
        <v>5175</v>
      </c>
      <c r="B32" s="415" t="s">
        <v>1603</v>
      </c>
      <c r="C32" s="391">
        <v>759.92</v>
      </c>
      <c r="D32" s="391">
        <v>630.28</v>
      </c>
      <c r="E32" s="391">
        <v>931.52</v>
      </c>
      <c r="M32" s="390">
        <f t="shared" si="6"/>
        <v>1000</v>
      </c>
      <c r="N32" s="411">
        <f t="shared" si="7"/>
        <v>1100</v>
      </c>
      <c r="O32" s="390">
        <f t="shared" si="8"/>
        <v>100</v>
      </c>
      <c r="P32" s="392">
        <f t="shared" si="9"/>
        <v>0.1</v>
      </c>
      <c r="Q32" s="385"/>
      <c r="R32" s="572"/>
      <c r="S32" s="386"/>
      <c r="T32" s="25"/>
      <c r="U32" s="25"/>
      <c r="V32" s="25"/>
    </row>
    <row r="33" spans="1:22" x14ac:dyDescent="0.2">
      <c r="A33" s="795">
        <v>5176</v>
      </c>
      <c r="B33" s="415" t="s">
        <v>1604</v>
      </c>
      <c r="C33" s="391">
        <v>4774.32</v>
      </c>
      <c r="D33" s="391">
        <v>4967.07</v>
      </c>
      <c r="E33" s="391">
        <v>6446.86</v>
      </c>
      <c r="M33" s="390">
        <f t="shared" si="6"/>
        <v>7844</v>
      </c>
      <c r="N33" s="411">
        <f t="shared" si="7"/>
        <v>8223</v>
      </c>
      <c r="O33" s="390">
        <f t="shared" si="8"/>
        <v>379</v>
      </c>
      <c r="P33" s="392">
        <f t="shared" si="9"/>
        <v>4.8300000000000003E-2</v>
      </c>
      <c r="Q33" s="385"/>
      <c r="R33" s="572"/>
      <c r="S33" s="386"/>
      <c r="T33" s="25"/>
      <c r="U33" s="25"/>
      <c r="V33" s="25"/>
    </row>
    <row r="34" spans="1:22" x14ac:dyDescent="0.2">
      <c r="A34" s="795"/>
      <c r="B34" s="415"/>
      <c r="C34" s="391"/>
      <c r="D34" s="391"/>
      <c r="E34" s="391"/>
      <c r="M34" s="390"/>
      <c r="N34" s="411"/>
      <c r="O34" s="390"/>
      <c r="P34" s="391"/>
      <c r="Q34" s="385"/>
      <c r="R34" s="572"/>
      <c r="S34" s="386"/>
      <c r="T34" s="25"/>
      <c r="U34" s="25"/>
      <c r="V34" s="25"/>
    </row>
    <row r="35" spans="1:22" x14ac:dyDescent="0.2">
      <c r="P35" s="25"/>
      <c r="T35" s="25"/>
      <c r="U35" s="25"/>
      <c r="V35" s="25"/>
    </row>
    <row r="36" spans="1:22" x14ac:dyDescent="0.2">
      <c r="B36" s="4" t="s">
        <v>846</v>
      </c>
      <c r="M36" s="616">
        <f>SUM(M28:M35)</f>
        <v>359152</v>
      </c>
      <c r="N36" s="616">
        <f>SUM(N28:N35)</f>
        <v>363631</v>
      </c>
      <c r="O36" s="25">
        <f>+N36-M36</f>
        <v>4479</v>
      </c>
      <c r="P36" s="617">
        <f>IF(M36+N36&lt;&gt;0,IF(M36&lt;&gt;0,IF(O36&lt;&gt;0,ROUND((+O36/M36),4),""),1),"")</f>
        <v>1.2500000000000001E-2</v>
      </c>
      <c r="T36" s="25"/>
      <c r="U36" s="25"/>
      <c r="V36" s="25"/>
    </row>
    <row r="37" spans="1:22" x14ac:dyDescent="0.2">
      <c r="P37" s="25"/>
      <c r="T37" s="25"/>
      <c r="U37" s="25"/>
      <c r="V37" s="25"/>
    </row>
    <row r="38" spans="1:22" x14ac:dyDescent="0.2">
      <c r="P38" s="25"/>
      <c r="T38" s="25"/>
      <c r="U38" s="25"/>
      <c r="V38" s="25"/>
    </row>
    <row r="39" spans="1:22" x14ac:dyDescent="0.2">
      <c r="P39" s="25"/>
      <c r="T39" s="25"/>
      <c r="U39" s="25"/>
      <c r="V39" s="25"/>
    </row>
    <row r="40" spans="1:22" x14ac:dyDescent="0.2">
      <c r="P40" s="25"/>
      <c r="T40" s="25"/>
      <c r="U40" s="25"/>
      <c r="V40" s="25"/>
    </row>
    <row r="41" spans="1:22" x14ac:dyDescent="0.2">
      <c r="P41" s="25"/>
      <c r="T41" s="25"/>
      <c r="U41" s="25"/>
      <c r="V41" s="25"/>
    </row>
    <row r="42" spans="1:22" x14ac:dyDescent="0.2">
      <c r="P42" s="25"/>
      <c r="T42" s="25"/>
      <c r="U42" s="25"/>
      <c r="V42" s="25"/>
    </row>
    <row r="43" spans="1:22" x14ac:dyDescent="0.2">
      <c r="P43" s="25"/>
      <c r="T43" s="25"/>
      <c r="U43" s="25"/>
      <c r="V43" s="25"/>
    </row>
    <row r="44" spans="1:22" x14ac:dyDescent="0.2">
      <c r="P44" s="25"/>
      <c r="T44" s="25"/>
      <c r="U44" s="25"/>
      <c r="V44" s="25"/>
    </row>
    <row r="45" spans="1:22" x14ac:dyDescent="0.2">
      <c r="P45" s="25"/>
      <c r="T45" s="25"/>
      <c r="U45" s="25"/>
      <c r="V45" s="25"/>
    </row>
    <row r="46" spans="1:22" x14ac:dyDescent="0.2">
      <c r="P46" s="25"/>
      <c r="T46" s="25"/>
      <c r="U46" s="25"/>
      <c r="V46" s="25"/>
    </row>
    <row r="47" spans="1:22" x14ac:dyDescent="0.2">
      <c r="P47" s="25"/>
      <c r="T47" s="25"/>
      <c r="U47" s="25"/>
      <c r="V47" s="25"/>
    </row>
    <row r="48" spans="1:22" x14ac:dyDescent="0.2">
      <c r="P48" s="25"/>
      <c r="T48" s="25"/>
      <c r="U48" s="25"/>
      <c r="V48" s="25"/>
    </row>
    <row r="49" spans="16:22" x14ac:dyDescent="0.2">
      <c r="P49" s="25"/>
      <c r="T49" s="25"/>
      <c r="U49" s="25"/>
      <c r="V49" s="25"/>
    </row>
    <row r="50" spans="16:22" x14ac:dyDescent="0.2">
      <c r="P50" s="25"/>
      <c r="T50" s="25"/>
      <c r="U50" s="25"/>
      <c r="V50" s="25"/>
    </row>
    <row r="51" spans="16:22" x14ac:dyDescent="0.2">
      <c r="P51" s="25"/>
      <c r="T51" s="25"/>
      <c r="U51" s="25"/>
      <c r="V51" s="25"/>
    </row>
    <row r="52" spans="16:22" x14ac:dyDescent="0.2">
      <c r="P52" s="25"/>
      <c r="T52" s="25"/>
      <c r="U52" s="25"/>
      <c r="V52" s="25"/>
    </row>
    <row r="53" spans="16:22" x14ac:dyDescent="0.2">
      <c r="P53" s="25"/>
      <c r="T53" s="25"/>
      <c r="U53" s="25"/>
      <c r="V53" s="25"/>
    </row>
    <row r="54" spans="16:22" x14ac:dyDescent="0.2">
      <c r="P54" s="25"/>
      <c r="T54" s="25"/>
      <c r="U54" s="25"/>
      <c r="V54" s="25"/>
    </row>
    <row r="55" spans="16:22" x14ac:dyDescent="0.2">
      <c r="P55" s="25"/>
      <c r="T55" s="25"/>
      <c r="U55" s="25"/>
      <c r="V55" s="25"/>
    </row>
    <row r="56" spans="16:22" x14ac:dyDescent="0.2">
      <c r="P56" s="25"/>
      <c r="T56" s="25"/>
      <c r="U56" s="25"/>
      <c r="V56" s="25"/>
    </row>
    <row r="57" spans="16:22" x14ac:dyDescent="0.2">
      <c r="P57" s="25"/>
      <c r="T57" s="25"/>
      <c r="U57" s="25"/>
      <c r="V57" s="25"/>
    </row>
    <row r="58" spans="16:22" x14ac:dyDescent="0.2">
      <c r="P58" s="25"/>
      <c r="T58" s="25"/>
      <c r="U58" s="25"/>
      <c r="V58" s="25"/>
    </row>
    <row r="59" spans="16:22" x14ac:dyDescent="0.2">
      <c r="P59" s="25"/>
      <c r="T59" s="25"/>
      <c r="U59" s="25"/>
      <c r="V59" s="25"/>
    </row>
    <row r="60" spans="16:22" x14ac:dyDescent="0.2">
      <c r="P60" s="25"/>
      <c r="T60" s="25"/>
      <c r="U60" s="25"/>
      <c r="V60" s="25"/>
    </row>
    <row r="61" spans="16:22" x14ac:dyDescent="0.2">
      <c r="P61" s="25"/>
      <c r="T61" s="25"/>
      <c r="U61" s="25"/>
      <c r="V61" s="25"/>
    </row>
    <row r="62" spans="16:22" x14ac:dyDescent="0.2">
      <c r="P62" s="25"/>
      <c r="T62" s="25"/>
      <c r="U62" s="25"/>
      <c r="V62" s="25"/>
    </row>
    <row r="63" spans="16:22" x14ac:dyDescent="0.2">
      <c r="P63" s="25"/>
      <c r="T63" s="25"/>
      <c r="U63" s="25"/>
      <c r="V63" s="25"/>
    </row>
    <row r="64" spans="16:22" x14ac:dyDescent="0.2">
      <c r="P64" s="25"/>
      <c r="T64" s="25"/>
      <c r="U64" s="25"/>
      <c r="V64" s="25"/>
    </row>
    <row r="65" spans="16:22" x14ac:dyDescent="0.2">
      <c r="P65" s="25"/>
      <c r="T65" s="25"/>
      <c r="U65" s="25"/>
      <c r="V65" s="25"/>
    </row>
    <row r="66" spans="16:22" x14ac:dyDescent="0.2">
      <c r="P66" s="25"/>
      <c r="T66" s="25"/>
      <c r="U66" s="25"/>
      <c r="V66" s="25"/>
    </row>
    <row r="67" spans="16:22" x14ac:dyDescent="0.2">
      <c r="P67" s="25"/>
      <c r="T67" s="25"/>
      <c r="U67" s="25"/>
      <c r="V67" s="25"/>
    </row>
    <row r="68" spans="16:22" x14ac:dyDescent="0.2">
      <c r="P68" s="25"/>
      <c r="T68" s="25"/>
      <c r="U68" s="25"/>
      <c r="V68" s="25"/>
    </row>
    <row r="69" spans="16:22" x14ac:dyDescent="0.2">
      <c r="P69" s="25"/>
      <c r="T69" s="25"/>
      <c r="U69" s="25"/>
      <c r="V69" s="25"/>
    </row>
    <row r="70" spans="16:22" x14ac:dyDescent="0.2">
      <c r="P70" s="25"/>
      <c r="T70" s="25"/>
      <c r="U70" s="25"/>
      <c r="V70" s="25"/>
    </row>
    <row r="71" spans="16:22" x14ac:dyDescent="0.2">
      <c r="P71" s="25"/>
      <c r="T71" s="25"/>
      <c r="U71" s="25"/>
      <c r="V71" s="25"/>
    </row>
    <row r="72" spans="16:22" x14ac:dyDescent="0.2">
      <c r="P72" s="25"/>
      <c r="T72" s="25"/>
      <c r="U72" s="25"/>
      <c r="V72" s="25"/>
    </row>
    <row r="73" spans="16:22" x14ac:dyDescent="0.2">
      <c r="P73" s="25"/>
      <c r="T73" s="25"/>
      <c r="U73" s="25"/>
      <c r="V73" s="25"/>
    </row>
    <row r="74" spans="16:22" x14ac:dyDescent="0.2">
      <c r="P74" s="25"/>
      <c r="T74" s="25"/>
      <c r="U74" s="25"/>
      <c r="V74" s="25"/>
    </row>
    <row r="75" spans="16:22" x14ac:dyDescent="0.2">
      <c r="P75" s="25"/>
      <c r="T75" s="25"/>
      <c r="U75" s="25"/>
      <c r="V75" s="25"/>
    </row>
    <row r="76" spans="16:22" x14ac:dyDescent="0.2">
      <c r="P76" s="25"/>
      <c r="T76" s="25"/>
      <c r="U76" s="25"/>
      <c r="V76" s="25"/>
    </row>
    <row r="77" spans="16:22" x14ac:dyDescent="0.2">
      <c r="P77" s="25"/>
      <c r="T77" s="25"/>
      <c r="U77" s="25"/>
      <c r="V77" s="25"/>
    </row>
    <row r="78" spans="16:22" x14ac:dyDescent="0.2">
      <c r="P78" s="25"/>
      <c r="T78" s="25"/>
      <c r="U78" s="25"/>
      <c r="V78" s="25"/>
    </row>
    <row r="79" spans="16:22" x14ac:dyDescent="0.2">
      <c r="P79" s="25"/>
      <c r="T79" s="25"/>
      <c r="U79" s="25"/>
      <c r="V79" s="25"/>
    </row>
    <row r="80" spans="16:22" x14ac:dyDescent="0.2">
      <c r="P80" s="25"/>
      <c r="T80" s="25"/>
      <c r="U80" s="25"/>
      <c r="V80" s="25"/>
    </row>
    <row r="81" spans="16:22" x14ac:dyDescent="0.2">
      <c r="P81" s="25"/>
      <c r="T81" s="25"/>
      <c r="U81" s="25"/>
      <c r="V81" s="25"/>
    </row>
    <row r="82" spans="16:22" x14ac:dyDescent="0.2">
      <c r="P82" s="25"/>
      <c r="T82" s="25"/>
      <c r="U82" s="25"/>
      <c r="V82" s="25"/>
    </row>
    <row r="83" spans="16:22" x14ac:dyDescent="0.2">
      <c r="T83" s="4"/>
      <c r="U83" s="4"/>
      <c r="V83" s="4"/>
    </row>
    <row r="84" spans="16:22" x14ac:dyDescent="0.2">
      <c r="T84" s="4"/>
      <c r="U84" s="4"/>
      <c r="V84" s="4"/>
    </row>
    <row r="85" spans="16:22" x14ac:dyDescent="0.2">
      <c r="T85" s="4"/>
      <c r="U85" s="4"/>
      <c r="V85" s="4"/>
    </row>
    <row r="86" spans="16:22" x14ac:dyDescent="0.2">
      <c r="T86" s="4"/>
      <c r="U86" s="4"/>
      <c r="V86" s="4"/>
    </row>
    <row r="87" spans="16:22" x14ac:dyDescent="0.2">
      <c r="T87" s="4"/>
      <c r="U87" s="4"/>
      <c r="V87" s="4"/>
    </row>
    <row r="88" spans="16:22" x14ac:dyDescent="0.2">
      <c r="T88" s="4"/>
      <c r="U88" s="4"/>
      <c r="V88" s="4"/>
    </row>
    <row r="89" spans="16:22" x14ac:dyDescent="0.2">
      <c r="T89" s="4"/>
      <c r="U89" s="4"/>
      <c r="V89" s="4"/>
    </row>
    <row r="90" spans="16:22" x14ac:dyDescent="0.2">
      <c r="T90" s="4"/>
      <c r="U90" s="4"/>
      <c r="V90" s="4"/>
    </row>
    <row r="91" spans="16:22" x14ac:dyDescent="0.2">
      <c r="T91" s="4"/>
      <c r="U91" s="4"/>
      <c r="V91" s="4"/>
    </row>
    <row r="92" spans="16:22" x14ac:dyDescent="0.2">
      <c r="T92" s="4"/>
      <c r="U92" s="4"/>
      <c r="V92" s="4"/>
    </row>
    <row r="93" spans="16:22" x14ac:dyDescent="0.2">
      <c r="T93" s="4"/>
      <c r="U93" s="4"/>
      <c r="V93" s="4"/>
    </row>
    <row r="94" spans="16:22" x14ac:dyDescent="0.2">
      <c r="T94" s="4"/>
      <c r="U94" s="4"/>
      <c r="V94" s="4"/>
    </row>
    <row r="95" spans="16:22" x14ac:dyDescent="0.2">
      <c r="T95" s="4"/>
      <c r="U95" s="4"/>
      <c r="V95" s="4"/>
    </row>
    <row r="96" spans="16:22" x14ac:dyDescent="0.2">
      <c r="T96" s="4"/>
      <c r="U96" s="4"/>
      <c r="V96" s="4"/>
    </row>
    <row r="97" spans="20:22" x14ac:dyDescent="0.2">
      <c r="T97" s="4"/>
      <c r="U97" s="4"/>
      <c r="V97" s="4"/>
    </row>
    <row r="98" spans="20:22" x14ac:dyDescent="0.2">
      <c r="T98" s="4"/>
      <c r="U98" s="4"/>
      <c r="V98" s="4"/>
    </row>
    <row r="99" spans="20:22" x14ac:dyDescent="0.2">
      <c r="T99" s="4"/>
      <c r="U99" s="4"/>
      <c r="V99" s="4"/>
    </row>
    <row r="100" spans="20:22" x14ac:dyDescent="0.2">
      <c r="T100" s="4"/>
      <c r="U100" s="4"/>
      <c r="V100" s="4"/>
    </row>
    <row r="101" spans="20:22" x14ac:dyDescent="0.2">
      <c r="T101" s="4"/>
      <c r="U101" s="4"/>
      <c r="V101" s="4"/>
    </row>
    <row r="102" spans="20:22" x14ac:dyDescent="0.2">
      <c r="T102" s="4"/>
      <c r="U102" s="4"/>
      <c r="V102" s="4"/>
    </row>
    <row r="103" spans="20:22" x14ac:dyDescent="0.2">
      <c r="T103" s="4"/>
      <c r="U103" s="4"/>
      <c r="V103" s="4"/>
    </row>
    <row r="104" spans="20:22" x14ac:dyDescent="0.2">
      <c r="T104" s="4"/>
      <c r="U104" s="4"/>
      <c r="V104" s="4"/>
    </row>
    <row r="105" spans="20:22" x14ac:dyDescent="0.2">
      <c r="T105" s="4"/>
      <c r="U105" s="4"/>
      <c r="V105" s="4"/>
    </row>
    <row r="106" spans="20:22" x14ac:dyDescent="0.2">
      <c r="T106" s="4"/>
      <c r="U106" s="4"/>
      <c r="V106" s="4"/>
    </row>
    <row r="107" spans="20:22" x14ac:dyDescent="0.2">
      <c r="T107" s="4"/>
      <c r="U107" s="4"/>
      <c r="V107" s="4"/>
    </row>
    <row r="108" spans="20:22" x14ac:dyDescent="0.2">
      <c r="T108" s="4"/>
      <c r="U108" s="4"/>
      <c r="V108" s="4"/>
    </row>
    <row r="109" spans="20:22" x14ac:dyDescent="0.2">
      <c r="T109" s="4"/>
      <c r="U109" s="4"/>
      <c r="V109" s="4"/>
    </row>
    <row r="110" spans="20:22" x14ac:dyDescent="0.2">
      <c r="T110" s="4"/>
      <c r="U110" s="4"/>
      <c r="V110" s="4"/>
    </row>
    <row r="111" spans="20:22" x14ac:dyDescent="0.2">
      <c r="T111" s="4"/>
      <c r="U111" s="4"/>
      <c r="V111" s="4"/>
    </row>
    <row r="112" spans="20:22" x14ac:dyDescent="0.2">
      <c r="T112" s="4"/>
      <c r="U112" s="4"/>
      <c r="V112" s="4"/>
    </row>
    <row r="113" spans="20:22" x14ac:dyDescent="0.2">
      <c r="T113" s="4"/>
      <c r="U113" s="4"/>
      <c r="V113" s="4"/>
    </row>
    <row r="114" spans="20:22" x14ac:dyDescent="0.2">
      <c r="T114" s="4"/>
      <c r="U114" s="4"/>
      <c r="V114" s="4"/>
    </row>
    <row r="115" spans="20:22" x14ac:dyDescent="0.2">
      <c r="T115" s="4"/>
      <c r="U115" s="4"/>
      <c r="V115" s="4"/>
    </row>
    <row r="116" spans="20:22" x14ac:dyDescent="0.2">
      <c r="T116" s="4"/>
      <c r="U116" s="4"/>
      <c r="V116" s="4"/>
    </row>
    <row r="117" spans="20:22" x14ac:dyDescent="0.2">
      <c r="T117" s="4"/>
      <c r="U117" s="4"/>
      <c r="V117" s="4"/>
    </row>
    <row r="118" spans="20:22" x14ac:dyDescent="0.2">
      <c r="T118" s="4"/>
      <c r="U118" s="4"/>
      <c r="V118" s="4"/>
    </row>
    <row r="119" spans="20:22" x14ac:dyDescent="0.2">
      <c r="T119" s="4"/>
      <c r="U119" s="4"/>
      <c r="V119" s="4"/>
    </row>
    <row r="120" spans="20:22" x14ac:dyDescent="0.2">
      <c r="T120" s="4"/>
      <c r="U120" s="4"/>
      <c r="V120" s="4"/>
    </row>
    <row r="121" spans="20:22" x14ac:dyDescent="0.2">
      <c r="T121" s="4"/>
      <c r="U121" s="4"/>
      <c r="V121" s="4"/>
    </row>
    <row r="122" spans="20:22" x14ac:dyDescent="0.2">
      <c r="T122" s="4"/>
      <c r="U122" s="4"/>
      <c r="V122" s="4"/>
    </row>
    <row r="123" spans="20:22" x14ac:dyDescent="0.2">
      <c r="T123" s="4"/>
      <c r="U123" s="4"/>
      <c r="V123" s="4"/>
    </row>
    <row r="124" spans="20:22" x14ac:dyDescent="0.2">
      <c r="T124" s="4"/>
      <c r="U124" s="4"/>
      <c r="V124" s="4"/>
    </row>
    <row r="125" spans="20:22" x14ac:dyDescent="0.2">
      <c r="T125" s="4"/>
      <c r="U125" s="4"/>
      <c r="V125" s="4"/>
    </row>
    <row r="126" spans="20:22" x14ac:dyDescent="0.2">
      <c r="T126" s="4"/>
      <c r="U126" s="4"/>
      <c r="V126" s="4"/>
    </row>
    <row r="127" spans="20:22" x14ac:dyDescent="0.2">
      <c r="T127" s="4"/>
      <c r="U127" s="4"/>
      <c r="V127" s="4"/>
    </row>
    <row r="128" spans="20:22" x14ac:dyDescent="0.2">
      <c r="T128" s="4"/>
      <c r="U128" s="4"/>
      <c r="V128" s="4"/>
    </row>
    <row r="129" spans="20:22" x14ac:dyDescent="0.2">
      <c r="T129" s="4"/>
      <c r="U129" s="4"/>
      <c r="V129" s="4"/>
    </row>
    <row r="130" spans="20:22" x14ac:dyDescent="0.2">
      <c r="T130" s="4"/>
      <c r="U130" s="4"/>
      <c r="V130" s="4"/>
    </row>
    <row r="131" spans="20:22" x14ac:dyDescent="0.2">
      <c r="T131" s="4"/>
      <c r="U131" s="4"/>
      <c r="V131" s="4"/>
    </row>
    <row r="132" spans="20:22" x14ac:dyDescent="0.2">
      <c r="T132" s="4"/>
      <c r="U132" s="4"/>
      <c r="V132" s="4"/>
    </row>
    <row r="133" spans="20:22" x14ac:dyDescent="0.2">
      <c r="T133" s="4"/>
      <c r="U133" s="4"/>
      <c r="V133" s="4"/>
    </row>
    <row r="134" spans="20:22" x14ac:dyDescent="0.2">
      <c r="T134" s="4"/>
      <c r="U134" s="4"/>
      <c r="V134" s="4"/>
    </row>
    <row r="135" spans="20:22" x14ac:dyDescent="0.2">
      <c r="T135" s="4"/>
      <c r="U135" s="4"/>
      <c r="V135" s="4"/>
    </row>
    <row r="136" spans="20:22" x14ac:dyDescent="0.2">
      <c r="T136" s="4"/>
      <c r="U136" s="4"/>
      <c r="V136" s="4"/>
    </row>
    <row r="137" spans="20:22" x14ac:dyDescent="0.2">
      <c r="T137" s="4"/>
      <c r="U137" s="4"/>
      <c r="V137" s="4"/>
    </row>
    <row r="138" spans="20:22" x14ac:dyDescent="0.2">
      <c r="T138" s="4"/>
      <c r="U138" s="4"/>
      <c r="V138" s="4"/>
    </row>
    <row r="139" spans="20:22" x14ac:dyDescent="0.2">
      <c r="T139" s="4"/>
      <c r="U139" s="4"/>
      <c r="V139" s="4"/>
    </row>
    <row r="140" spans="20:22" x14ac:dyDescent="0.2">
      <c r="T140" s="4"/>
      <c r="U140" s="4"/>
      <c r="V140" s="4"/>
    </row>
    <row r="141" spans="20:22" x14ac:dyDescent="0.2">
      <c r="T141" s="4"/>
      <c r="U141" s="4"/>
      <c r="V141" s="4"/>
    </row>
    <row r="142" spans="20:22" x14ac:dyDescent="0.2">
      <c r="T142" s="4"/>
      <c r="U142" s="4"/>
      <c r="V142" s="4"/>
    </row>
    <row r="143" spans="20:22" x14ac:dyDescent="0.2">
      <c r="T143" s="4"/>
      <c r="U143" s="4"/>
      <c r="V143" s="4"/>
    </row>
    <row r="144" spans="20:22" x14ac:dyDescent="0.2">
      <c r="T144" s="4"/>
      <c r="U144" s="4"/>
      <c r="V144" s="4"/>
    </row>
    <row r="145" spans="20:22" x14ac:dyDescent="0.2">
      <c r="T145" s="4"/>
      <c r="U145" s="4"/>
      <c r="V145" s="4"/>
    </row>
  </sheetData>
  <phoneticPr fontId="0" type="noConversion"/>
  <hyperlinks>
    <hyperlink ref="A1" location="'Working Budget with funding det'!A1" display="Main " xr:uid="{00000000-0004-0000-3C00-000000000000}"/>
    <hyperlink ref="B1" location="'Table of Contents'!A1" display="TOC" xr:uid="{00000000-0004-0000-3C00-000001000000}"/>
  </hyperlinks>
  <pageMargins left="0.75" right="0.75" top="1" bottom="1" header="0.5" footer="0.5"/>
  <pageSetup scale="91" orientation="landscape" horizontalDpi="300" verticalDpi="300" r:id="rId1"/>
  <headerFooter alignWithMargins="0">
    <oddFooter>&amp;L&amp;D     &amp;T&amp;C&amp;F&amp;R&amp;A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92D050"/>
    <pageSetUpPr fitToPage="1"/>
  </sheetPr>
  <dimension ref="A1:M61"/>
  <sheetViews>
    <sheetView topLeftCell="A21" workbookViewId="0">
      <selection activeCell="C40" sqref="C40"/>
    </sheetView>
  </sheetViews>
  <sheetFormatPr defaultRowHeight="12.75" x14ac:dyDescent="0.2"/>
  <cols>
    <col min="1" max="1" width="3.5" customWidth="1"/>
    <col min="2" max="2" width="4" customWidth="1"/>
    <col min="3" max="3" width="14.83203125" customWidth="1"/>
    <col min="4" max="4" width="9.83203125" bestFit="1" customWidth="1"/>
  </cols>
  <sheetData>
    <row r="1" spans="1:13" x14ac:dyDescent="0.2">
      <c r="A1" s="4" t="s">
        <v>1801</v>
      </c>
      <c r="B1" s="4"/>
      <c r="C1" s="4"/>
      <c r="D1" s="4"/>
      <c r="E1" s="4"/>
      <c r="F1" s="4"/>
      <c r="G1" s="4"/>
      <c r="H1" s="4"/>
      <c r="I1" s="4"/>
      <c r="J1" s="1039" t="s">
        <v>2522</v>
      </c>
      <c r="K1" s="1039"/>
      <c r="L1" s="1039"/>
      <c r="M1" s="4"/>
    </row>
    <row r="2" spans="1:13" x14ac:dyDescent="0.2">
      <c r="A2" s="4"/>
      <c r="B2" s="4"/>
      <c r="C2" s="4"/>
      <c r="D2" s="4"/>
      <c r="E2" s="4"/>
      <c r="F2" s="4"/>
      <c r="G2" s="4"/>
      <c r="H2" s="4"/>
      <c r="I2" s="4"/>
      <c r="J2" s="4"/>
      <c r="K2" s="4"/>
      <c r="L2" s="4"/>
      <c r="M2" s="4"/>
    </row>
    <row r="3" spans="1:13" x14ac:dyDescent="0.2">
      <c r="A3" s="4" t="s">
        <v>1802</v>
      </c>
      <c r="B3" s="4" t="s">
        <v>1803</v>
      </c>
      <c r="C3" s="4"/>
      <c r="D3" s="4"/>
      <c r="E3" s="4"/>
      <c r="F3" s="4"/>
      <c r="G3" s="4"/>
      <c r="H3" s="4"/>
      <c r="I3" s="4"/>
      <c r="J3" s="4"/>
      <c r="K3" s="4"/>
      <c r="L3" s="4"/>
      <c r="M3" s="4"/>
    </row>
    <row r="4" spans="1:13" x14ac:dyDescent="0.2">
      <c r="A4" s="4"/>
      <c r="B4" s="4" t="s">
        <v>1804</v>
      </c>
      <c r="C4" s="4" t="s">
        <v>1805</v>
      </c>
      <c r="D4" s="4"/>
      <c r="E4" s="4"/>
      <c r="F4" s="4"/>
      <c r="G4" s="4"/>
      <c r="H4" s="4"/>
      <c r="I4" s="4"/>
      <c r="J4" s="4"/>
      <c r="K4" s="4"/>
      <c r="L4" s="4"/>
      <c r="M4" s="4"/>
    </row>
    <row r="5" spans="1:13" x14ac:dyDescent="0.2">
      <c r="A5" s="4"/>
      <c r="B5" s="4"/>
      <c r="C5" s="567">
        <f>+C55</f>
        <v>0.18291399999999999</v>
      </c>
      <c r="D5" s="4" t="s">
        <v>1806</v>
      </c>
      <c r="E5" s="4"/>
      <c r="F5" s="4"/>
      <c r="G5" s="4"/>
      <c r="H5" s="4"/>
      <c r="I5" s="4"/>
      <c r="J5" s="4"/>
      <c r="K5" s="4"/>
      <c r="L5" s="4"/>
      <c r="M5" s="4"/>
    </row>
    <row r="6" spans="1:13" ht="13.5" thickBot="1" x14ac:dyDescent="0.25">
      <c r="A6" s="4"/>
      <c r="B6" s="4"/>
      <c r="C6" s="1040">
        <v>16562</v>
      </c>
      <c r="D6" s="4" t="s">
        <v>2523</v>
      </c>
      <c r="E6" s="4"/>
      <c r="F6" s="4"/>
      <c r="G6" s="4"/>
      <c r="H6" s="4"/>
      <c r="I6" s="4"/>
      <c r="J6" s="4"/>
      <c r="K6" s="4"/>
      <c r="L6" s="4"/>
      <c r="M6" s="4"/>
    </row>
    <row r="7" spans="1:13" ht="13.5" thickBot="1" x14ac:dyDescent="0.25">
      <c r="A7" s="4"/>
      <c r="B7" s="4"/>
      <c r="C7" s="752">
        <f>ROUND((+C6*C5),0)</f>
        <v>3029</v>
      </c>
      <c r="D7" s="4" t="s">
        <v>1807</v>
      </c>
      <c r="E7" s="4"/>
      <c r="F7" s="4"/>
      <c r="G7" s="4"/>
      <c r="H7" s="4"/>
      <c r="I7" s="4"/>
      <c r="J7" s="4"/>
      <c r="K7" s="4"/>
      <c r="L7" s="4"/>
      <c r="M7" s="4"/>
    </row>
    <row r="8" spans="1:13" x14ac:dyDescent="0.2">
      <c r="A8" s="4"/>
      <c r="B8" s="4"/>
      <c r="C8" s="4"/>
      <c r="D8" s="4"/>
      <c r="E8" s="4"/>
      <c r="F8" s="4"/>
      <c r="G8" s="4"/>
      <c r="H8" s="4"/>
      <c r="I8" s="4"/>
      <c r="J8" s="4"/>
      <c r="K8" s="4"/>
      <c r="L8" s="4"/>
      <c r="M8" s="4"/>
    </row>
    <row r="9" spans="1:13" x14ac:dyDescent="0.2">
      <c r="A9" s="4"/>
      <c r="B9" s="4" t="s">
        <v>1808</v>
      </c>
      <c r="C9" s="4" t="s">
        <v>1809</v>
      </c>
      <c r="D9" s="4"/>
      <c r="E9" s="4"/>
      <c r="F9" s="4"/>
      <c r="G9" s="4"/>
      <c r="H9" s="4"/>
      <c r="I9" s="4"/>
      <c r="J9" s="4"/>
      <c r="K9" s="4"/>
      <c r="L9" s="4"/>
      <c r="M9" s="4"/>
    </row>
    <row r="10" spans="1:13" x14ac:dyDescent="0.2">
      <c r="A10" s="4"/>
      <c r="B10" s="4"/>
      <c r="C10" s="753">
        <f>+'661 440 CWF'!Q16+'661 440 CWF'!Q17</f>
        <v>204000</v>
      </c>
      <c r="D10" s="4" t="s">
        <v>1810</v>
      </c>
      <c r="E10" s="4"/>
      <c r="F10" s="4"/>
      <c r="G10" s="4"/>
      <c r="H10" s="4"/>
      <c r="I10" s="4"/>
      <c r="J10" s="4"/>
      <c r="K10" s="4"/>
      <c r="L10" s="4"/>
      <c r="M10" s="4"/>
    </row>
    <row r="11" spans="1:13" x14ac:dyDescent="0.2">
      <c r="A11" s="4"/>
      <c r="B11" s="4"/>
      <c r="C11" s="741">
        <v>0.08</v>
      </c>
      <c r="D11" s="4" t="s">
        <v>1811</v>
      </c>
      <c r="E11" s="4"/>
      <c r="F11" s="4"/>
      <c r="G11" s="4"/>
      <c r="H11" s="4"/>
      <c r="I11" s="4"/>
      <c r="J11" s="4"/>
      <c r="K11" s="4"/>
      <c r="L11" s="4"/>
      <c r="M11" s="4"/>
    </row>
    <row r="12" spans="1:13" ht="13.5" thickBot="1" x14ac:dyDescent="0.25">
      <c r="A12" s="4"/>
      <c r="B12" s="4"/>
      <c r="C12" s="567">
        <f>+C49</f>
        <v>0.32309100000000002</v>
      </c>
      <c r="D12" s="4" t="s">
        <v>1812</v>
      </c>
      <c r="E12" s="4"/>
      <c r="F12" s="4"/>
      <c r="G12" s="4"/>
      <c r="H12" s="4"/>
      <c r="I12" s="4"/>
      <c r="J12" s="4"/>
      <c r="K12" s="4"/>
      <c r="L12" s="4"/>
      <c r="M12" s="4"/>
    </row>
    <row r="13" spans="1:13" ht="13.5" thickBot="1" x14ac:dyDescent="0.25">
      <c r="A13" s="4"/>
      <c r="B13" s="4"/>
      <c r="C13" s="752">
        <f>ROUND((+C10*C11*C12),0)</f>
        <v>5273</v>
      </c>
      <c r="D13" s="4" t="s">
        <v>1813</v>
      </c>
      <c r="E13" s="4"/>
      <c r="F13" s="4"/>
      <c r="G13" s="4"/>
      <c r="H13" s="4"/>
      <c r="I13" s="4"/>
      <c r="J13" s="4"/>
      <c r="K13" s="4"/>
      <c r="L13" s="4"/>
      <c r="M13" s="4"/>
    </row>
    <row r="14" spans="1:13" x14ac:dyDescent="0.2">
      <c r="A14" s="4"/>
      <c r="B14" s="4"/>
      <c r="C14" s="4"/>
      <c r="D14" s="4"/>
      <c r="E14" s="4"/>
      <c r="F14" s="4"/>
      <c r="G14" s="4"/>
      <c r="H14" s="4"/>
      <c r="I14" s="4"/>
      <c r="J14" s="4"/>
      <c r="K14" s="4"/>
      <c r="L14" s="4"/>
      <c r="M14" s="4"/>
    </row>
    <row r="15" spans="1:13" x14ac:dyDescent="0.2">
      <c r="A15" s="4"/>
      <c r="B15" s="4" t="s">
        <v>1814</v>
      </c>
      <c r="C15" s="4" t="s">
        <v>1815</v>
      </c>
      <c r="D15" s="4"/>
      <c r="E15" s="4"/>
      <c r="F15" s="4"/>
      <c r="G15" s="4"/>
      <c r="H15" s="4"/>
      <c r="I15" s="4"/>
      <c r="J15" s="4"/>
      <c r="K15" s="4"/>
      <c r="L15" s="4"/>
      <c r="M15" s="4"/>
    </row>
    <row r="16" spans="1:13" x14ac:dyDescent="0.2">
      <c r="A16" s="4"/>
      <c r="B16" s="4"/>
      <c r="C16" s="742">
        <f>+C49</f>
        <v>0.32309100000000002</v>
      </c>
      <c r="D16" s="4" t="s">
        <v>1812</v>
      </c>
      <c r="E16" s="4"/>
      <c r="F16" s="4"/>
      <c r="G16" s="4"/>
      <c r="H16" s="4"/>
      <c r="I16" s="4"/>
      <c r="J16" s="4"/>
      <c r="K16" s="4"/>
      <c r="L16" s="4"/>
      <c r="M16" s="4"/>
    </row>
    <row r="17" spans="1:13" x14ac:dyDescent="0.2">
      <c r="A17" s="4"/>
      <c r="B17" s="4"/>
      <c r="C17" s="1040">
        <v>23360</v>
      </c>
      <c r="D17" s="4" t="s">
        <v>2528</v>
      </c>
      <c r="E17" s="4"/>
      <c r="F17" s="4"/>
      <c r="G17" s="4"/>
      <c r="H17" s="4"/>
      <c r="I17" s="4"/>
      <c r="J17" s="4"/>
      <c r="K17" s="4"/>
      <c r="L17" s="4"/>
      <c r="M17" s="4"/>
    </row>
    <row r="18" spans="1:13" ht="13.5" thickBot="1" x14ac:dyDescent="0.25">
      <c r="A18" s="4"/>
      <c r="B18" s="4"/>
      <c r="C18" s="4"/>
      <c r="D18" s="743" t="s">
        <v>2524</v>
      </c>
      <c r="E18" s="743"/>
      <c r="F18" s="743"/>
      <c r="G18" s="743"/>
      <c r="H18" s="743"/>
      <c r="I18" s="743"/>
      <c r="J18" s="743"/>
      <c r="K18" s="743"/>
      <c r="L18" s="743"/>
      <c r="M18" s="4"/>
    </row>
    <row r="19" spans="1:13" ht="13.5" thickBot="1" x14ac:dyDescent="0.25">
      <c r="A19" s="4"/>
      <c r="B19" s="4"/>
      <c r="C19" s="752">
        <f>ROUND((+C17*C49),0)</f>
        <v>7547</v>
      </c>
      <c r="D19" s="4" t="s">
        <v>1816</v>
      </c>
      <c r="E19" s="4"/>
      <c r="F19" s="4"/>
      <c r="G19" s="4"/>
      <c r="H19" s="4"/>
      <c r="I19" s="4"/>
      <c r="J19" s="4"/>
      <c r="K19" s="4"/>
      <c r="L19" s="4"/>
      <c r="M19" s="4"/>
    </row>
    <row r="20" spans="1:13" x14ac:dyDescent="0.2">
      <c r="A20" s="4"/>
      <c r="B20" s="4"/>
      <c r="C20" s="4"/>
      <c r="D20" s="4"/>
      <c r="E20" s="4"/>
      <c r="F20" s="4"/>
      <c r="G20" s="4"/>
      <c r="H20" s="4"/>
      <c r="I20" s="4"/>
      <c r="J20" s="4"/>
      <c r="K20" s="4"/>
      <c r="L20" s="4"/>
      <c r="M20" s="4"/>
    </row>
    <row r="21" spans="1:13" x14ac:dyDescent="0.2">
      <c r="A21" s="4"/>
      <c r="B21" s="4" t="s">
        <v>1817</v>
      </c>
      <c r="C21" s="4" t="s">
        <v>1818</v>
      </c>
      <c r="D21" s="4"/>
      <c r="E21" s="4"/>
      <c r="F21" s="4"/>
      <c r="G21" s="4"/>
      <c r="H21" s="4"/>
      <c r="I21" s="4"/>
      <c r="J21" s="4"/>
      <c r="K21" s="4"/>
      <c r="L21" s="4"/>
      <c r="M21" s="4"/>
    </row>
    <row r="22" spans="1:13" x14ac:dyDescent="0.2">
      <c r="A22" s="4"/>
      <c r="B22" s="4"/>
      <c r="C22" s="4" t="s">
        <v>2525</v>
      </c>
      <c r="D22" s="4"/>
      <c r="E22" s="4"/>
      <c r="F22" s="4"/>
      <c r="G22" s="4"/>
      <c r="H22" s="4"/>
      <c r="I22" s="4"/>
      <c r="J22" s="4"/>
      <c r="K22" s="4"/>
      <c r="L22" s="4"/>
      <c r="M22" s="4"/>
    </row>
    <row r="23" spans="1:13" x14ac:dyDescent="0.2">
      <c r="A23" s="4"/>
      <c r="B23" s="4"/>
      <c r="C23" s="753">
        <f>+'661 440 CWF'!Q9</f>
        <v>506684</v>
      </c>
      <c r="D23" s="774">
        <v>5110</v>
      </c>
      <c r="E23" s="4" t="s">
        <v>1672</v>
      </c>
      <c r="F23" s="4"/>
      <c r="G23" s="4"/>
      <c r="H23" s="4"/>
      <c r="I23" s="4"/>
      <c r="J23" s="4"/>
      <c r="K23" s="4"/>
      <c r="L23" s="4"/>
      <c r="M23" s="4"/>
    </row>
    <row r="24" spans="1:13" x14ac:dyDescent="0.2">
      <c r="A24" s="4"/>
      <c r="B24" s="4"/>
      <c r="C24" s="753">
        <f>+'661 440 CWF'!Q10</f>
        <v>46401</v>
      </c>
      <c r="D24" s="774">
        <v>5132</v>
      </c>
      <c r="E24" s="4" t="s">
        <v>1819</v>
      </c>
      <c r="F24" s="4"/>
      <c r="G24" s="4"/>
      <c r="H24" s="4"/>
      <c r="I24" s="4"/>
      <c r="J24" s="4"/>
      <c r="K24" s="4"/>
      <c r="L24" s="4"/>
      <c r="M24" s="4"/>
    </row>
    <row r="25" spans="1:13" x14ac:dyDescent="0.2">
      <c r="A25" s="4"/>
      <c r="B25" s="4"/>
      <c r="C25" s="753">
        <f>+'661 910 CWF Benefits'!Q10</f>
        <v>12000</v>
      </c>
      <c r="D25" s="774">
        <v>5172</v>
      </c>
      <c r="E25" s="4" t="s">
        <v>1820</v>
      </c>
      <c r="F25" s="4"/>
      <c r="G25" s="4"/>
      <c r="H25" s="4"/>
      <c r="I25" s="4"/>
      <c r="J25" s="4"/>
      <c r="K25" s="4"/>
      <c r="L25" s="4"/>
      <c r="M25" s="4"/>
    </row>
    <row r="26" spans="1:13" x14ac:dyDescent="0.2">
      <c r="A26" s="4"/>
      <c r="B26" s="4"/>
      <c r="C26" s="753">
        <f>+'661 910 CWF Benefits'!Q12</f>
        <v>178000</v>
      </c>
      <c r="D26" s="774">
        <v>5174</v>
      </c>
      <c r="E26" s="4" t="s">
        <v>1602</v>
      </c>
      <c r="F26" s="4"/>
      <c r="G26" s="4"/>
      <c r="H26" s="4"/>
      <c r="I26" s="4"/>
      <c r="J26" s="4"/>
      <c r="K26" s="4"/>
      <c r="L26" s="4"/>
      <c r="M26" s="4"/>
    </row>
    <row r="27" spans="1:13" x14ac:dyDescent="0.2">
      <c r="A27" s="4"/>
      <c r="B27" s="4"/>
      <c r="C27" s="754">
        <f>+'661 910 CWF Benefits'!Q9</f>
        <v>136308</v>
      </c>
      <c r="D27" s="774">
        <v>5191</v>
      </c>
      <c r="E27" s="4" t="s">
        <v>1821</v>
      </c>
      <c r="F27" s="4"/>
      <c r="G27" s="4"/>
      <c r="H27" s="4"/>
      <c r="I27" s="4"/>
      <c r="J27" s="4"/>
      <c r="K27" s="4"/>
      <c r="L27" s="4"/>
      <c r="M27" s="4"/>
    </row>
    <row r="28" spans="1:13" ht="13.5" thickBot="1" x14ac:dyDescent="0.25">
      <c r="A28" s="4"/>
      <c r="B28" s="4"/>
      <c r="C28" s="616">
        <f>SUM(C23:C27)</f>
        <v>879393</v>
      </c>
      <c r="D28" s="4"/>
      <c r="E28" s="4"/>
      <c r="F28" s="4"/>
      <c r="G28" s="4"/>
      <c r="H28" s="4"/>
      <c r="I28" s="4"/>
      <c r="J28" s="4"/>
      <c r="K28" s="4"/>
      <c r="L28" s="4"/>
      <c r="M28" s="4"/>
    </row>
    <row r="29" spans="1:13" ht="13.5" thickBot="1" x14ac:dyDescent="0.25">
      <c r="A29" s="4"/>
      <c r="B29" s="4"/>
      <c r="C29" s="752">
        <f>ROUND((+C28/9),0)</f>
        <v>97710</v>
      </c>
      <c r="D29" s="745" t="s">
        <v>2541</v>
      </c>
      <c r="E29" s="4"/>
      <c r="F29" s="4"/>
      <c r="G29" s="4"/>
      <c r="H29" s="4"/>
      <c r="I29" s="4"/>
      <c r="J29" s="4"/>
      <c r="K29" s="4"/>
      <c r="L29" s="4"/>
      <c r="M29" s="4"/>
    </row>
    <row r="30" spans="1:13" x14ac:dyDescent="0.2">
      <c r="A30" s="4"/>
      <c r="B30" s="4"/>
      <c r="C30" s="4"/>
      <c r="D30" s="4"/>
      <c r="E30" s="4"/>
      <c r="F30" s="4"/>
      <c r="G30" s="4"/>
      <c r="H30" s="4"/>
      <c r="I30" s="4"/>
      <c r="J30" s="4"/>
      <c r="K30" s="4"/>
      <c r="L30" s="4"/>
      <c r="M30" s="4"/>
    </row>
    <row r="31" spans="1:13" x14ac:dyDescent="0.2">
      <c r="A31" s="4" t="s">
        <v>1822</v>
      </c>
      <c r="B31" s="4" t="s">
        <v>1823</v>
      </c>
      <c r="C31" s="4"/>
      <c r="D31" s="4"/>
      <c r="E31" s="4"/>
      <c r="F31" s="4"/>
      <c r="G31" s="4"/>
      <c r="H31" s="4"/>
      <c r="I31" s="4"/>
      <c r="J31" s="4"/>
      <c r="K31" s="4"/>
      <c r="L31" s="4"/>
      <c r="M31" s="4"/>
    </row>
    <row r="32" spans="1:13" x14ac:dyDescent="0.2">
      <c r="A32" s="4"/>
      <c r="B32" s="4"/>
      <c r="C32" s="1040">
        <v>30742160</v>
      </c>
      <c r="D32" s="4"/>
      <c r="E32" s="4" t="s">
        <v>1824</v>
      </c>
      <c r="F32" s="4"/>
      <c r="G32" s="4"/>
      <c r="H32" s="4"/>
      <c r="I32" s="4"/>
      <c r="J32" s="4"/>
      <c r="K32" s="4"/>
      <c r="L32" s="4"/>
      <c r="M32" s="4"/>
    </row>
    <row r="33" spans="1:13" x14ac:dyDescent="0.2">
      <c r="A33" s="4"/>
      <c r="B33" s="4"/>
      <c r="C33" s="755"/>
      <c r="D33" s="4"/>
      <c r="E33" s="4" t="s">
        <v>2526</v>
      </c>
      <c r="F33" s="4"/>
      <c r="G33" s="4"/>
      <c r="H33" s="4"/>
      <c r="I33" s="4"/>
      <c r="J33" s="4"/>
      <c r="K33" s="4"/>
      <c r="L33" s="4"/>
      <c r="M33" s="4"/>
    </row>
    <row r="34" spans="1:13" x14ac:dyDescent="0.2">
      <c r="A34" s="4"/>
      <c r="B34" s="4"/>
      <c r="C34" s="1040">
        <v>-11719000</v>
      </c>
      <c r="D34" s="4"/>
      <c r="E34" s="4" t="s">
        <v>2527</v>
      </c>
      <c r="F34" s="4"/>
      <c r="G34" s="4"/>
      <c r="H34" s="4"/>
      <c r="I34" s="4"/>
      <c r="J34" s="4"/>
      <c r="K34" s="4"/>
      <c r="L34" s="4"/>
      <c r="M34" s="4"/>
    </row>
    <row r="35" spans="1:13" x14ac:dyDescent="0.2">
      <c r="A35" s="4"/>
      <c r="B35" s="4"/>
      <c r="C35" s="755">
        <f>SUM(C32:C34)</f>
        <v>19023160</v>
      </c>
      <c r="D35" s="4"/>
      <c r="E35" s="4" t="s">
        <v>1825</v>
      </c>
      <c r="F35" s="4"/>
      <c r="G35" s="4"/>
      <c r="H35" s="4"/>
      <c r="I35" s="4"/>
      <c r="J35" s="4"/>
      <c r="K35" s="4"/>
      <c r="L35" s="4"/>
      <c r="M35" s="4"/>
    </row>
    <row r="36" spans="1:13" x14ac:dyDescent="0.2">
      <c r="A36" s="4"/>
      <c r="B36" s="4"/>
      <c r="C36" s="567">
        <f>ROUND((+C35/C32),6)</f>
        <v>0.61879700000000004</v>
      </c>
      <c r="D36" s="4"/>
      <c r="E36" s="4" t="s">
        <v>1826</v>
      </c>
      <c r="F36" s="4"/>
      <c r="G36" s="4"/>
      <c r="H36" s="4"/>
      <c r="I36" s="4"/>
      <c r="J36" s="4"/>
      <c r="K36" s="4"/>
      <c r="L36" s="4"/>
      <c r="M36" s="4"/>
    </row>
    <row r="37" spans="1:13" x14ac:dyDescent="0.2">
      <c r="A37" s="4"/>
      <c r="B37" s="4"/>
      <c r="C37" s="4">
        <v>43893</v>
      </c>
      <c r="D37" s="4"/>
      <c r="E37" s="4" t="s">
        <v>2543</v>
      </c>
      <c r="F37" s="4"/>
      <c r="G37" s="4"/>
      <c r="H37" s="4"/>
      <c r="I37" s="4"/>
      <c r="J37" s="4"/>
      <c r="K37" s="4"/>
      <c r="L37" s="4"/>
      <c r="M37" s="4"/>
    </row>
    <row r="38" spans="1:13" ht="13.5" thickBot="1" x14ac:dyDescent="0.25">
      <c r="A38" s="4"/>
      <c r="B38" s="4"/>
      <c r="C38" s="755">
        <f>+'661 440 CWF'!Q55</f>
        <v>236232</v>
      </c>
      <c r="D38" s="4"/>
      <c r="E38" s="4" t="s">
        <v>1827</v>
      </c>
      <c r="F38" s="4"/>
      <c r="G38" s="4"/>
      <c r="H38" s="4"/>
      <c r="I38" s="4"/>
      <c r="J38" s="4"/>
      <c r="K38" s="4"/>
      <c r="L38" s="4"/>
      <c r="M38" s="4"/>
    </row>
    <row r="39" spans="1:13" ht="13.5" thickBot="1" x14ac:dyDescent="0.25">
      <c r="A39" s="4"/>
      <c r="B39" s="4"/>
      <c r="C39" s="756">
        <f>ROUND(((+C38+C37)*C36),0)</f>
        <v>173341</v>
      </c>
      <c r="D39" s="74"/>
      <c r="E39" s="4" t="s">
        <v>1828</v>
      </c>
      <c r="F39" s="4"/>
      <c r="G39" s="4"/>
      <c r="H39" s="4"/>
      <c r="I39" s="4"/>
      <c r="J39" s="4"/>
      <c r="K39" s="4"/>
      <c r="L39" s="4"/>
      <c r="M39" s="4"/>
    </row>
    <row r="40" spans="1:13" x14ac:dyDescent="0.2">
      <c r="A40" s="4"/>
      <c r="B40" s="4"/>
      <c r="C40" s="4"/>
      <c r="D40" s="4"/>
      <c r="E40" s="4"/>
      <c r="F40" s="4"/>
      <c r="G40" s="4"/>
      <c r="H40" s="4"/>
      <c r="I40" s="4"/>
      <c r="J40" s="4"/>
      <c r="K40" s="4"/>
      <c r="L40" s="4"/>
      <c r="M40" s="4"/>
    </row>
    <row r="41" spans="1:13" ht="18.75" thickBot="1" x14ac:dyDescent="0.3">
      <c r="A41" s="746" t="s">
        <v>1829</v>
      </c>
      <c r="B41" s="746"/>
      <c r="C41" s="746"/>
      <c r="D41" s="4"/>
      <c r="E41" s="4"/>
      <c r="F41" s="4"/>
      <c r="G41" s="4"/>
      <c r="H41" s="4"/>
      <c r="I41" s="4"/>
      <c r="J41" s="4"/>
      <c r="K41" s="4"/>
      <c r="L41" s="4"/>
      <c r="M41" s="4"/>
    </row>
    <row r="42" spans="1:13" ht="18.75" thickBot="1" x14ac:dyDescent="0.3">
      <c r="A42" s="746"/>
      <c r="B42" s="746"/>
      <c r="C42" s="757">
        <f>+C39+C29+C19+C13+C7</f>
        <v>286900</v>
      </c>
      <c r="D42" s="4"/>
      <c r="E42" s="4"/>
      <c r="F42" s="4"/>
      <c r="G42" s="4"/>
      <c r="H42" s="4"/>
      <c r="I42" s="4"/>
      <c r="J42" s="4"/>
      <c r="K42" s="4"/>
      <c r="L42" s="4"/>
      <c r="M42" s="4"/>
    </row>
    <row r="43" spans="1:13" x14ac:dyDescent="0.2">
      <c r="A43" s="4"/>
      <c r="B43" s="4"/>
      <c r="C43" s="4"/>
      <c r="D43" s="4"/>
      <c r="E43" s="4"/>
      <c r="F43" s="4"/>
      <c r="G43" s="4"/>
      <c r="H43" s="4"/>
      <c r="I43" s="4"/>
      <c r="J43" s="4"/>
      <c r="K43" s="4"/>
      <c r="L43" s="4"/>
      <c r="M43" s="4"/>
    </row>
    <row r="44" spans="1:13" x14ac:dyDescent="0.2">
      <c r="A44" s="4"/>
      <c r="B44" s="747"/>
      <c r="C44" s="748" t="s">
        <v>1830</v>
      </c>
      <c r="D44" s="748"/>
      <c r="E44" s="748"/>
      <c r="F44" s="748"/>
      <c r="G44" s="748"/>
      <c r="H44" s="748"/>
      <c r="I44" s="748"/>
      <c r="J44" s="749"/>
      <c r="K44" s="4"/>
      <c r="L44" s="4"/>
      <c r="M44" s="4"/>
    </row>
    <row r="45" spans="1:13" x14ac:dyDescent="0.2">
      <c r="A45" s="4"/>
      <c r="B45" s="750"/>
      <c r="C45" s="1041">
        <v>237980000</v>
      </c>
      <c r="D45" s="4" t="s">
        <v>1831</v>
      </c>
      <c r="E45" s="4"/>
      <c r="F45" s="4"/>
      <c r="G45" s="4"/>
      <c r="H45" s="4"/>
      <c r="I45" s="4"/>
      <c r="J45" s="603"/>
      <c r="K45" s="4"/>
      <c r="L45" s="4"/>
      <c r="M45" s="4"/>
    </row>
    <row r="46" spans="1:13" x14ac:dyDescent="0.2">
      <c r="A46" s="4"/>
      <c r="B46" s="750"/>
      <c r="C46" s="1042">
        <v>-161090889</v>
      </c>
      <c r="D46" s="4" t="s">
        <v>1832</v>
      </c>
      <c r="E46" s="4"/>
      <c r="F46" s="4"/>
      <c r="G46" s="4"/>
      <c r="H46" s="4"/>
      <c r="I46" s="4"/>
      <c r="J46" s="603"/>
      <c r="K46" s="4"/>
      <c r="L46" s="4"/>
      <c r="M46" s="4"/>
    </row>
    <row r="47" spans="1:13" x14ac:dyDescent="0.2">
      <c r="A47" s="4"/>
      <c r="B47" s="750"/>
      <c r="C47" s="758">
        <f>SUM(C45:C46)</f>
        <v>76889111</v>
      </c>
      <c r="D47" s="4" t="s">
        <v>1833</v>
      </c>
      <c r="E47" s="4"/>
      <c r="F47" s="4"/>
      <c r="G47" s="4"/>
      <c r="H47" s="4"/>
      <c r="I47" s="4"/>
      <c r="J47" s="603"/>
      <c r="K47" s="4"/>
      <c r="L47" s="4"/>
      <c r="M47" s="4"/>
    </row>
    <row r="48" spans="1:13" x14ac:dyDescent="0.2">
      <c r="A48" s="4"/>
      <c r="B48" s="750"/>
      <c r="C48" s="4"/>
      <c r="D48" s="4"/>
      <c r="E48" s="4"/>
      <c r="F48" s="4"/>
      <c r="G48" s="4"/>
      <c r="H48" s="4"/>
      <c r="I48" s="4"/>
      <c r="J48" s="603"/>
      <c r="K48" s="4"/>
      <c r="L48" s="4"/>
      <c r="M48" s="4"/>
    </row>
    <row r="49" spans="1:13" x14ac:dyDescent="0.2">
      <c r="A49" s="4"/>
      <c r="B49" s="27"/>
      <c r="C49" s="621">
        <f>ROUND((+C47/C45),6)</f>
        <v>0.32309100000000002</v>
      </c>
      <c r="D49" s="744" t="s">
        <v>1834</v>
      </c>
      <c r="E49" s="744"/>
      <c r="F49" s="744"/>
      <c r="G49" s="744"/>
      <c r="H49" s="744"/>
      <c r="I49" s="744"/>
      <c r="J49" s="751"/>
      <c r="K49" s="4"/>
      <c r="L49" s="4"/>
      <c r="M49" s="4"/>
    </row>
    <row r="50" spans="1:13" x14ac:dyDescent="0.2">
      <c r="A50" s="4"/>
      <c r="B50" s="4"/>
      <c r="C50" s="4"/>
      <c r="D50" s="4"/>
      <c r="E50" s="4"/>
      <c r="F50" s="4"/>
      <c r="G50" s="4"/>
      <c r="H50" s="4"/>
      <c r="I50" s="4"/>
      <c r="J50" s="4"/>
      <c r="K50" s="4"/>
      <c r="L50" s="4"/>
      <c r="M50" s="4"/>
    </row>
    <row r="51" spans="1:13" x14ac:dyDescent="0.2">
      <c r="A51" s="4"/>
      <c r="B51" s="747"/>
      <c r="C51" s="748" t="s">
        <v>1835</v>
      </c>
      <c r="D51" s="748"/>
      <c r="E51" s="748"/>
      <c r="F51" s="748"/>
      <c r="G51" s="748"/>
      <c r="H51" s="748"/>
      <c r="I51" s="748"/>
      <c r="J51" s="749"/>
      <c r="K51" s="4"/>
      <c r="L51" s="4"/>
      <c r="M51" s="4"/>
    </row>
    <row r="52" spans="1:13" x14ac:dyDescent="0.2">
      <c r="A52" s="4"/>
      <c r="B52" s="750"/>
      <c r="C52" s="1041">
        <v>525864</v>
      </c>
      <c r="D52" s="4"/>
      <c r="E52" s="4" t="s">
        <v>1836</v>
      </c>
      <c r="F52" s="4"/>
      <c r="G52" s="4"/>
      <c r="H52" s="4"/>
      <c r="I52" s="4"/>
      <c r="J52" s="603"/>
      <c r="K52" s="4"/>
      <c r="L52" s="4"/>
      <c r="M52" s="4"/>
    </row>
    <row r="53" spans="1:13" x14ac:dyDescent="0.2">
      <c r="A53" s="4"/>
      <c r="B53" s="750"/>
      <c r="C53" s="759">
        <f>ROUND(((+C47/10^6)*150*8.34),)</f>
        <v>96188</v>
      </c>
      <c r="D53" s="4"/>
      <c r="E53" s="4" t="s">
        <v>1837</v>
      </c>
      <c r="F53" s="4"/>
      <c r="G53" s="4"/>
      <c r="H53" s="4"/>
      <c r="I53" s="4"/>
      <c r="J53" s="603"/>
      <c r="K53" s="4"/>
      <c r="L53" s="4"/>
      <c r="M53" s="4"/>
    </row>
    <row r="54" spans="1:13" x14ac:dyDescent="0.2">
      <c r="A54" s="4"/>
      <c r="B54" s="750"/>
      <c r="C54" s="4"/>
      <c r="D54" s="4"/>
      <c r="E54" s="4" t="s">
        <v>1838</v>
      </c>
      <c r="F54" s="4"/>
      <c r="G54" s="4"/>
      <c r="H54" s="4"/>
      <c r="I54" s="4"/>
      <c r="J54" s="603"/>
      <c r="K54" s="4"/>
      <c r="L54" s="4"/>
      <c r="M54" s="4"/>
    </row>
    <row r="55" spans="1:13" x14ac:dyDescent="0.2">
      <c r="A55" s="4"/>
      <c r="B55" s="27"/>
      <c r="C55" s="621">
        <f>ROUND((+C53/C52),6)</f>
        <v>0.18291399999999999</v>
      </c>
      <c r="D55" s="744"/>
      <c r="E55" s="744" t="s">
        <v>1839</v>
      </c>
      <c r="F55" s="744"/>
      <c r="G55" s="744"/>
      <c r="H55" s="744"/>
      <c r="I55" s="744"/>
      <c r="J55" s="751"/>
      <c r="K55" s="4"/>
      <c r="L55" s="4"/>
      <c r="M55" s="4"/>
    </row>
    <row r="58" spans="1:13" x14ac:dyDescent="0.2">
      <c r="B58" t="s">
        <v>1840</v>
      </c>
      <c r="D58">
        <f>+C42</f>
        <v>286900</v>
      </c>
      <c r="E58" t="s">
        <v>1841</v>
      </c>
    </row>
    <row r="60" spans="1:13" x14ac:dyDescent="0.2">
      <c r="C60" t="s">
        <v>1842</v>
      </c>
      <c r="D60">
        <f>+'661 440 CWF'!R64</f>
        <v>2074229</v>
      </c>
      <c r="E60" s="307">
        <f>ROUND((+D58/D60),4)</f>
        <v>0.13830000000000001</v>
      </c>
    </row>
    <row r="61" spans="1:13" x14ac:dyDescent="0.2">
      <c r="C61" t="s">
        <v>1843</v>
      </c>
      <c r="D61">
        <f>+'661 440 CWF'!R64+'661 449 Hwy'!Q28+'661 700 CWF Debt'!Q61+'661 910 CWF Benefits'!Q18</f>
        <v>3006124.05</v>
      </c>
      <c r="E61" s="307">
        <f>ROUND((+D58/D61),4)</f>
        <v>9.5399999999999999E-2</v>
      </c>
    </row>
  </sheetData>
  <pageMargins left="0.7" right="0.7" top="0.75" bottom="0.75" header="0.3" footer="0.3"/>
  <pageSetup scale="8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92D050"/>
    <pageSetUpPr fitToPage="1"/>
  </sheetPr>
  <dimension ref="A1:K35"/>
  <sheetViews>
    <sheetView workbookViewId="0">
      <selection activeCell="B22" sqref="B22"/>
    </sheetView>
  </sheetViews>
  <sheetFormatPr defaultRowHeight="12.75" x14ac:dyDescent="0.2"/>
  <cols>
    <col min="2" max="2" width="11.33203125" customWidth="1"/>
    <col min="3" max="3" width="11.6640625" customWidth="1"/>
    <col min="5" max="5" width="9.5" bestFit="1" customWidth="1"/>
    <col min="7" max="7" width="11.1640625" customWidth="1"/>
    <col min="9" max="9" width="11.33203125" customWidth="1"/>
  </cols>
  <sheetData>
    <row r="1" spans="1:9" ht="13.5" thickBot="1" x14ac:dyDescent="0.25">
      <c r="A1" t="s">
        <v>1844</v>
      </c>
      <c r="D1" s="308" t="s">
        <v>197</v>
      </c>
    </row>
    <row r="2" spans="1:9" x14ac:dyDescent="0.2">
      <c r="A2" s="186"/>
      <c r="B2" s="297" t="s">
        <v>1845</v>
      </c>
      <c r="C2" s="187"/>
      <c r="D2" s="188"/>
      <c r="E2" s="153"/>
    </row>
    <row r="3" spans="1:9" x14ac:dyDescent="0.2">
      <c r="A3" s="189"/>
      <c r="C3" t="s">
        <v>573</v>
      </c>
      <c r="D3" s="190">
        <v>0.1</v>
      </c>
      <c r="I3" s="183"/>
    </row>
    <row r="4" spans="1:9" x14ac:dyDescent="0.2">
      <c r="A4" s="189"/>
      <c r="B4" t="s">
        <v>1846</v>
      </c>
      <c r="C4" s="2">
        <f>+'135 Acct'!Q28</f>
        <v>89500</v>
      </c>
      <c r="D4" s="191">
        <f t="shared" ref="D4:D10" si="0">ROUND((+$D$3*C4),0)</f>
        <v>8950</v>
      </c>
      <c r="H4" s="2"/>
      <c r="I4" s="184"/>
    </row>
    <row r="5" spans="1:9" x14ac:dyDescent="0.2">
      <c r="A5" s="189"/>
      <c r="B5" t="s">
        <v>1847</v>
      </c>
      <c r="C5" s="2">
        <f>+'145 Treas'!Q33</f>
        <v>230748.2</v>
      </c>
      <c r="D5" s="191">
        <f t="shared" si="0"/>
        <v>23075</v>
      </c>
      <c r="H5" s="2"/>
      <c r="I5" s="184"/>
    </row>
    <row r="6" spans="1:9" x14ac:dyDescent="0.2">
      <c r="A6" s="189"/>
      <c r="B6" t="s">
        <v>1848</v>
      </c>
      <c r="C6" s="2">
        <f>+'159 Shared Costs'!Q10</f>
        <v>40000</v>
      </c>
      <c r="D6" s="191">
        <f t="shared" si="0"/>
        <v>4000</v>
      </c>
      <c r="H6" s="2"/>
      <c r="I6" s="184"/>
    </row>
    <row r="7" spans="1:9" x14ac:dyDescent="0.2">
      <c r="A7" s="189"/>
      <c r="B7" t="s">
        <v>1849</v>
      </c>
      <c r="C7" s="2">
        <f>+'155 IT'!Q10</f>
        <v>0</v>
      </c>
      <c r="D7" s="191">
        <f t="shared" si="0"/>
        <v>0</v>
      </c>
      <c r="H7" s="2"/>
      <c r="I7" s="184"/>
    </row>
    <row r="8" spans="1:9" x14ac:dyDescent="0.2">
      <c r="A8" s="189"/>
      <c r="B8" t="s">
        <v>1004</v>
      </c>
      <c r="C8" s="2">
        <f>+'155 IT'!Q13</f>
        <v>34000</v>
      </c>
      <c r="D8" s="191">
        <f t="shared" si="0"/>
        <v>3400</v>
      </c>
      <c r="H8" s="2"/>
      <c r="I8" s="184"/>
    </row>
    <row r="9" spans="1:9" x14ac:dyDescent="0.2">
      <c r="A9" s="189" t="s">
        <v>1850</v>
      </c>
      <c r="B9" t="s">
        <v>821</v>
      </c>
      <c r="C9" s="2">
        <f>SUM('122 Selectboard'!Q10:Q12)</f>
        <v>6635</v>
      </c>
      <c r="D9" s="191">
        <f t="shared" si="0"/>
        <v>664</v>
      </c>
      <c r="H9" s="2"/>
      <c r="I9" s="184"/>
    </row>
    <row r="10" spans="1:9" x14ac:dyDescent="0.2">
      <c r="A10" s="189" t="s">
        <v>1851</v>
      </c>
      <c r="B10" t="s">
        <v>1852</v>
      </c>
      <c r="C10" s="2">
        <f>+'122 Selectboard'!P42</f>
        <v>124233</v>
      </c>
      <c r="D10" s="191">
        <f t="shared" si="0"/>
        <v>12423</v>
      </c>
      <c r="H10" s="2"/>
      <c r="I10" s="184"/>
    </row>
    <row r="11" spans="1:9" x14ac:dyDescent="0.2">
      <c r="A11" s="189"/>
      <c r="D11" s="191"/>
    </row>
    <row r="12" spans="1:9" x14ac:dyDescent="0.2">
      <c r="A12" s="189"/>
      <c r="B12" t="s">
        <v>193</v>
      </c>
      <c r="D12" s="191">
        <f>SUM(D4:D10)</f>
        <v>52512</v>
      </c>
      <c r="I12" s="184"/>
    </row>
    <row r="13" spans="1:9" x14ac:dyDescent="0.2">
      <c r="A13" s="189"/>
      <c r="D13" s="191"/>
    </row>
    <row r="14" spans="1:9" x14ac:dyDescent="0.2">
      <c r="A14" s="189"/>
      <c r="D14" s="191"/>
    </row>
    <row r="15" spans="1:9" x14ac:dyDescent="0.2">
      <c r="A15" s="189"/>
      <c r="D15" s="191"/>
    </row>
    <row r="16" spans="1:9" x14ac:dyDescent="0.2">
      <c r="A16" s="189"/>
      <c r="D16" s="192"/>
    </row>
    <row r="17" spans="1:11" ht="13.5" thickBot="1" x14ac:dyDescent="0.25">
      <c r="A17" s="193"/>
      <c r="B17" s="194"/>
      <c r="C17" s="194"/>
      <c r="D17" s="195"/>
    </row>
    <row r="20" spans="1:11" ht="13.5" thickBot="1" x14ac:dyDescent="0.25">
      <c r="A20" s="220" t="s">
        <v>1853</v>
      </c>
      <c r="D20" s="308"/>
    </row>
    <row r="21" spans="1:11" x14ac:dyDescent="0.2">
      <c r="A21" s="186"/>
      <c r="B21" s="297" t="s">
        <v>1845</v>
      </c>
      <c r="C21" s="187"/>
      <c r="D21" s="188"/>
      <c r="F21" s="220" t="s">
        <v>276</v>
      </c>
      <c r="G21" s="220" t="s">
        <v>840</v>
      </c>
      <c r="H21" s="220" t="s">
        <v>841</v>
      </c>
      <c r="I21" s="220" t="s">
        <v>1854</v>
      </c>
    </row>
    <row r="22" spans="1:11" x14ac:dyDescent="0.2">
      <c r="A22" s="189"/>
      <c r="C22" t="s">
        <v>573</v>
      </c>
      <c r="D22" s="190">
        <v>7.4999999999999997E-3</v>
      </c>
      <c r="I22" s="220" t="s">
        <v>1855</v>
      </c>
    </row>
    <row r="23" spans="1:11" x14ac:dyDescent="0.2">
      <c r="A23" s="189"/>
      <c r="B23" t="s">
        <v>1846</v>
      </c>
      <c r="C23" s="2">
        <f>+C4</f>
        <v>89500</v>
      </c>
      <c r="D23" s="191">
        <f>ROUND((+$D$22*C23),0)</f>
        <v>671</v>
      </c>
      <c r="F23" s="220" t="s">
        <v>787</v>
      </c>
      <c r="G23">
        <f>+'Working Budget with funding det'!P109</f>
        <v>11961596</v>
      </c>
      <c r="H23" s="307">
        <f>ROUND((+G23/$G$26),4)</f>
        <v>0.77700000000000002</v>
      </c>
      <c r="I23" s="2">
        <f>+'Working Budget with funding det'!P109-'Working Budget with funding det'!P98-'Working Budget with funding det'!P104</f>
        <v>8316943</v>
      </c>
      <c r="J23" s="307">
        <f>ROUND((+I23/$I$26),4)</f>
        <v>0.77290000000000003</v>
      </c>
    </row>
    <row r="24" spans="1:11" x14ac:dyDescent="0.2">
      <c r="A24" s="189"/>
      <c r="B24" t="s">
        <v>1847</v>
      </c>
      <c r="C24" s="2">
        <f>+C5</f>
        <v>230748.2</v>
      </c>
      <c r="D24" s="191">
        <f t="shared" ref="D24:D28" si="1">ROUND((+$D$22*C24),0)</f>
        <v>1731</v>
      </c>
      <c r="F24" s="220" t="s">
        <v>137</v>
      </c>
      <c r="G24">
        <f>+'Working Budget with funding det'!P118</f>
        <v>3006124</v>
      </c>
      <c r="H24" s="307">
        <f>ROUND((+G24/$G$26),4)</f>
        <v>0.1953</v>
      </c>
      <c r="I24" s="2">
        <f>+'Working Budget with funding det'!P112+'Working Budget with funding det'!P114+'Working Budget with funding det'!P113</f>
        <v>2158879</v>
      </c>
      <c r="J24" s="307">
        <f t="shared" ref="J24:J25" si="2">ROUND((+I24/$I$26),4)</f>
        <v>0.2006</v>
      </c>
      <c r="K24" s="307">
        <f>ROUND((+J24/2),4)</f>
        <v>0.1003</v>
      </c>
    </row>
    <row r="25" spans="1:11" x14ac:dyDescent="0.2">
      <c r="A25" s="189"/>
      <c r="B25" t="s">
        <v>1848</v>
      </c>
      <c r="C25" s="2">
        <f>+C6</f>
        <v>40000</v>
      </c>
      <c r="D25" s="191">
        <f t="shared" si="1"/>
        <v>300</v>
      </c>
      <c r="F25" s="220" t="s">
        <v>131</v>
      </c>
      <c r="G25" s="2">
        <f>+'Working Budget with funding det'!P125</f>
        <v>426965</v>
      </c>
      <c r="H25" s="307">
        <f>ROUND((+G25/$G$26),4)</f>
        <v>2.7699999999999999E-2</v>
      </c>
      <c r="I25" s="2">
        <f>+'Working Budget with funding det'!P121</f>
        <v>284915</v>
      </c>
      <c r="J25" s="307">
        <f t="shared" si="2"/>
        <v>2.6499999999999999E-2</v>
      </c>
      <c r="K25" s="307">
        <f>ROUND((+J25/2),4)</f>
        <v>1.3299999999999999E-2</v>
      </c>
    </row>
    <row r="26" spans="1:11" x14ac:dyDescent="0.2">
      <c r="A26" s="189"/>
      <c r="B26" t="s">
        <v>1004</v>
      </c>
      <c r="C26" s="2">
        <f t="shared" ref="C26:C28" si="3">+C8</f>
        <v>34000</v>
      </c>
      <c r="D26" s="191">
        <f t="shared" si="1"/>
        <v>255</v>
      </c>
      <c r="F26" s="220" t="s">
        <v>193</v>
      </c>
      <c r="G26">
        <f>SUM(G23:G25)</f>
        <v>15394685</v>
      </c>
      <c r="I26" s="2">
        <f>SUM(I23:I25)</f>
        <v>10760737</v>
      </c>
    </row>
    <row r="27" spans="1:11" x14ac:dyDescent="0.2">
      <c r="A27" s="189" t="s">
        <v>1850</v>
      </c>
      <c r="B27" t="s">
        <v>821</v>
      </c>
      <c r="C27" s="2">
        <f t="shared" si="3"/>
        <v>6635</v>
      </c>
      <c r="D27" s="191">
        <f t="shared" si="1"/>
        <v>50</v>
      </c>
    </row>
    <row r="28" spans="1:11" x14ac:dyDescent="0.2">
      <c r="A28" s="189" t="s">
        <v>1851</v>
      </c>
      <c r="B28" t="s">
        <v>1852</v>
      </c>
      <c r="C28" s="2">
        <f t="shared" si="3"/>
        <v>124233</v>
      </c>
      <c r="D28" s="191">
        <f t="shared" si="1"/>
        <v>932</v>
      </c>
    </row>
    <row r="29" spans="1:11" x14ac:dyDescent="0.2">
      <c r="A29" s="189"/>
      <c r="D29" s="191"/>
    </row>
    <row r="30" spans="1:11" x14ac:dyDescent="0.2">
      <c r="A30" s="189"/>
      <c r="B30" t="s">
        <v>193</v>
      </c>
      <c r="D30" s="191">
        <f>SUM(D23:D28)</f>
        <v>3939</v>
      </c>
    </row>
    <row r="31" spans="1:11" x14ac:dyDescent="0.2">
      <c r="A31" s="189"/>
      <c r="D31" s="191"/>
    </row>
    <row r="32" spans="1:11" x14ac:dyDescent="0.2">
      <c r="A32" s="189"/>
      <c r="D32" s="191"/>
    </row>
    <row r="33" spans="1:4" x14ac:dyDescent="0.2">
      <c r="A33" s="189"/>
      <c r="D33" s="191"/>
    </row>
    <row r="34" spans="1:4" x14ac:dyDescent="0.2">
      <c r="A34" s="189"/>
      <c r="D34" s="192"/>
    </row>
    <row r="35" spans="1:4" ht="13.5" thickBot="1" x14ac:dyDescent="0.25">
      <c r="A35" s="193"/>
      <c r="B35" s="194"/>
      <c r="C35" s="194"/>
      <c r="D35" s="195"/>
    </row>
  </sheetData>
  <phoneticPr fontId="0" type="noConversion"/>
  <hyperlinks>
    <hyperlink ref="D1" location="'Table of Contents'!A1" display="TOC" xr:uid="{00000000-0004-0000-3E00-000000000000}"/>
  </hyperlinks>
  <pageMargins left="0.75" right="0.75" top="1" bottom="1" header="0.5" footer="0.5"/>
  <pageSetup scale="79" orientation="portrait" r:id="rId1"/>
  <headerFooter alignWithMargins="0">
    <oddFooter xml:space="preserve">&amp;L&amp;D  &amp;T&amp;C&amp;F&amp;R&amp;A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92D050"/>
    <pageSetUpPr fitToPage="1"/>
  </sheetPr>
  <dimension ref="A1:K35"/>
  <sheetViews>
    <sheetView topLeftCell="A3" workbookViewId="0">
      <selection activeCell="G8" sqref="G8"/>
    </sheetView>
  </sheetViews>
  <sheetFormatPr defaultRowHeight="12.75" x14ac:dyDescent="0.2"/>
  <cols>
    <col min="1" max="1" width="10.5" bestFit="1" customWidth="1"/>
    <col min="2" max="2" width="33.6640625" customWidth="1"/>
    <col min="3" max="3" width="13.33203125" customWidth="1"/>
    <col min="5" max="5" width="17.5" customWidth="1"/>
    <col min="6" max="6" width="15.83203125" customWidth="1"/>
    <col min="7" max="7" width="20.6640625" customWidth="1"/>
    <col min="8" max="8" width="12.1640625" bestFit="1" customWidth="1"/>
    <col min="9" max="9" width="18.6640625" customWidth="1"/>
    <col min="10" max="10" width="14.1640625" customWidth="1"/>
    <col min="11" max="11" width="9.5" bestFit="1" customWidth="1"/>
  </cols>
  <sheetData>
    <row r="1" spans="1:11" x14ac:dyDescent="0.2">
      <c r="A1" s="308" t="s">
        <v>197</v>
      </c>
      <c r="B1" t="s">
        <v>1856</v>
      </c>
      <c r="E1" t="s">
        <v>1857</v>
      </c>
    </row>
    <row r="3" spans="1:11" x14ac:dyDescent="0.2">
      <c r="A3" s="66" t="s">
        <v>1858</v>
      </c>
      <c r="B3" s="66" t="s">
        <v>1859</v>
      </c>
      <c r="C3" s="66" t="s">
        <v>1860</v>
      </c>
      <c r="D3" s="66" t="s">
        <v>1861</v>
      </c>
      <c r="E3" s="298" t="s">
        <v>1862</v>
      </c>
      <c r="F3" s="298" t="s">
        <v>1863</v>
      </c>
      <c r="G3" s="298" t="s">
        <v>1864</v>
      </c>
      <c r="H3" s="66" t="s">
        <v>1865</v>
      </c>
      <c r="I3" s="298" t="s">
        <v>1862</v>
      </c>
    </row>
    <row r="4" spans="1:11" x14ac:dyDescent="0.2">
      <c r="A4" s="67" t="s">
        <v>913</v>
      </c>
      <c r="B4" s="67"/>
      <c r="C4" s="67"/>
      <c r="D4" s="67"/>
      <c r="E4" s="67" t="s">
        <v>1866</v>
      </c>
      <c r="F4" s="67" t="s">
        <v>1867</v>
      </c>
      <c r="G4" s="67" t="s">
        <v>1866</v>
      </c>
      <c r="H4" s="67" t="s">
        <v>1868</v>
      </c>
      <c r="I4" s="67" t="s">
        <v>1866</v>
      </c>
    </row>
    <row r="5" spans="1:11" x14ac:dyDescent="0.2">
      <c r="A5" s="70">
        <v>30453</v>
      </c>
      <c r="B5" s="69" t="s">
        <v>1869</v>
      </c>
      <c r="C5" s="70">
        <v>36404</v>
      </c>
      <c r="D5" s="69" t="s">
        <v>1870</v>
      </c>
      <c r="E5" s="241"/>
      <c r="F5" s="241"/>
      <c r="G5" s="241"/>
      <c r="H5" s="71"/>
      <c r="I5" s="71">
        <f>+G5-H5</f>
        <v>0</v>
      </c>
    </row>
    <row r="6" spans="1:11" x14ac:dyDescent="0.2">
      <c r="A6" s="69"/>
      <c r="B6" s="69"/>
      <c r="C6" s="70"/>
      <c r="D6" s="69"/>
      <c r="E6" s="241"/>
      <c r="F6" s="241"/>
      <c r="G6" s="241"/>
      <c r="H6" s="71"/>
      <c r="I6" s="71"/>
    </row>
    <row r="7" spans="1:11" x14ac:dyDescent="0.2">
      <c r="A7" s="70">
        <v>36913</v>
      </c>
      <c r="B7" s="69" t="s">
        <v>1871</v>
      </c>
      <c r="C7" s="70">
        <v>38913</v>
      </c>
      <c r="D7" s="69" t="s">
        <v>1870</v>
      </c>
      <c r="E7" s="1099">
        <v>114333</v>
      </c>
      <c r="F7" s="241">
        <v>114333</v>
      </c>
      <c r="G7" s="1099">
        <v>110477</v>
      </c>
      <c r="H7" s="71"/>
      <c r="I7" s="71">
        <f t="shared" ref="I7:I22" si="0">+G7-H7</f>
        <v>110477</v>
      </c>
      <c r="J7" s="64" t="s">
        <v>1872</v>
      </c>
      <c r="K7" s="64"/>
    </row>
    <row r="8" spans="1:11" x14ac:dyDescent="0.2">
      <c r="A8" s="70"/>
      <c r="B8" s="339"/>
      <c r="C8" s="70"/>
      <c r="D8" s="69"/>
      <c r="E8" s="1099"/>
      <c r="F8" s="241"/>
      <c r="G8" s="1099"/>
      <c r="H8" s="71"/>
      <c r="I8" s="71"/>
      <c r="J8" s="64"/>
      <c r="K8" s="64"/>
    </row>
    <row r="9" spans="1:11" x14ac:dyDescent="0.2">
      <c r="A9" s="69"/>
      <c r="B9" s="69"/>
      <c r="C9" s="70"/>
      <c r="D9" s="69"/>
      <c r="E9" s="241"/>
      <c r="F9" s="241"/>
      <c r="G9" s="241"/>
      <c r="H9" s="71"/>
      <c r="I9" s="71"/>
      <c r="J9" s="64"/>
      <c r="K9" s="64"/>
    </row>
    <row r="10" spans="1:11" x14ac:dyDescent="0.2">
      <c r="A10" s="70">
        <v>38565</v>
      </c>
      <c r="B10" s="69" t="s">
        <v>1873</v>
      </c>
      <c r="C10" s="70">
        <v>39065</v>
      </c>
      <c r="D10" s="69" t="s">
        <v>1870</v>
      </c>
      <c r="E10" s="241">
        <v>23272</v>
      </c>
      <c r="F10" s="1099">
        <f>+'700 Debt '!N13+'700 Debt '!N37</f>
        <v>23272.43</v>
      </c>
      <c r="G10" s="1099">
        <f>+'700 Debt '!Q13+'700 Debt '!Q37</f>
        <v>23272</v>
      </c>
      <c r="H10" s="71"/>
      <c r="I10" s="71">
        <f t="shared" si="0"/>
        <v>23272</v>
      </c>
    </row>
    <row r="11" spans="1:11" x14ac:dyDescent="0.2">
      <c r="A11" s="70">
        <v>38565</v>
      </c>
      <c r="B11" s="69" t="s">
        <v>1874</v>
      </c>
      <c r="C11" s="70">
        <v>39434</v>
      </c>
      <c r="D11" s="69" t="s">
        <v>1870</v>
      </c>
      <c r="E11" s="241">
        <v>35875</v>
      </c>
      <c r="F11" s="1099">
        <f>+'700 Debt '!N14+'700 Debt '!N39</f>
        <v>35874.25</v>
      </c>
      <c r="G11" s="1099">
        <f>+'700 Debt '!Q14+'700 Debt '!Q39</f>
        <v>35875</v>
      </c>
      <c r="H11" s="71"/>
      <c r="I11" s="71">
        <f t="shared" si="0"/>
        <v>35875</v>
      </c>
    </row>
    <row r="12" spans="1:11" x14ac:dyDescent="0.2">
      <c r="A12" s="70">
        <v>38565</v>
      </c>
      <c r="B12" s="69" t="s">
        <v>1875</v>
      </c>
      <c r="C12" s="70">
        <v>39402</v>
      </c>
      <c r="D12" s="69" t="s">
        <v>1870</v>
      </c>
      <c r="E12" s="241">
        <v>17703</v>
      </c>
      <c r="F12" s="1099">
        <f>+'700 Debt '!N15+'700 Debt '!N41</f>
        <v>18102.5</v>
      </c>
      <c r="G12" s="1099">
        <f>+'700 Debt '!Q15+'700 Debt '!Q41</f>
        <v>19303</v>
      </c>
      <c r="H12" s="71"/>
      <c r="I12" s="71">
        <f t="shared" si="0"/>
        <v>19303</v>
      </c>
    </row>
    <row r="13" spans="1:11" x14ac:dyDescent="0.2">
      <c r="A13" s="70">
        <v>38565</v>
      </c>
      <c r="B13" s="69" t="s">
        <v>1876</v>
      </c>
      <c r="C13" s="70">
        <v>39835</v>
      </c>
      <c r="D13" s="69" t="s">
        <v>1870</v>
      </c>
      <c r="E13" s="241">
        <v>20621</v>
      </c>
      <c r="F13" s="1099">
        <f>+'700 Debt '!N16+'700 Debt '!N42</f>
        <v>20620</v>
      </c>
      <c r="G13" s="1099">
        <f>+'700 Debt '!Q16+'700 Debt '!Q42</f>
        <v>20620</v>
      </c>
      <c r="H13" s="158"/>
      <c r="I13" s="71">
        <f t="shared" si="0"/>
        <v>20620</v>
      </c>
    </row>
    <row r="14" spans="1:11" x14ac:dyDescent="0.2">
      <c r="A14" s="69"/>
      <c r="B14" s="69"/>
      <c r="C14" s="70"/>
      <c r="D14" s="69"/>
      <c r="E14" s="241"/>
      <c r="F14" s="241"/>
      <c r="G14" s="241"/>
      <c r="H14" s="158"/>
      <c r="I14" s="71"/>
    </row>
    <row r="15" spans="1:11" x14ac:dyDescent="0.2">
      <c r="A15" s="70">
        <v>39392</v>
      </c>
      <c r="B15" s="69" t="s">
        <v>1877</v>
      </c>
      <c r="C15" s="70">
        <v>40141</v>
      </c>
      <c r="D15" s="69" t="s">
        <v>1870</v>
      </c>
      <c r="E15" s="241">
        <v>357244</v>
      </c>
      <c r="F15" s="1099">
        <f>+'700 Debt '!N12+'700 Debt '!N36</f>
        <v>360200.26</v>
      </c>
      <c r="G15" s="1099">
        <f>+'700 Debt '!Q12+'700 Debt '!Q36</f>
        <v>358723</v>
      </c>
      <c r="H15" s="338"/>
      <c r="I15" s="71">
        <f t="shared" si="0"/>
        <v>358723</v>
      </c>
    </row>
    <row r="16" spans="1:11" x14ac:dyDescent="0.2">
      <c r="A16" s="69"/>
      <c r="B16" s="339" t="s">
        <v>1878</v>
      </c>
      <c r="C16" s="69"/>
      <c r="D16" s="69"/>
      <c r="E16" s="241">
        <v>7225</v>
      </c>
      <c r="F16" s="241">
        <f>+'700 Debt '!N45+'700 Debt '!N20</f>
        <v>7375</v>
      </c>
      <c r="G16" s="241">
        <f>+'700 Debt '!Q45+'700 Debt '!Q20</f>
        <v>7075</v>
      </c>
      <c r="H16" s="71"/>
      <c r="I16" s="71">
        <f t="shared" si="0"/>
        <v>7075</v>
      </c>
    </row>
    <row r="17" spans="1:10" x14ac:dyDescent="0.2">
      <c r="A17" s="69"/>
      <c r="B17" s="339"/>
      <c r="C17" s="69"/>
      <c r="D17" s="69"/>
      <c r="E17" s="241"/>
      <c r="F17" s="241"/>
      <c r="G17" s="241"/>
      <c r="H17" s="71"/>
      <c r="I17" s="71"/>
    </row>
    <row r="18" spans="1:10" x14ac:dyDescent="0.2">
      <c r="A18" s="70">
        <v>43241</v>
      </c>
      <c r="B18" s="339" t="s">
        <v>1879</v>
      </c>
      <c r="C18" s="69"/>
      <c r="D18" s="69" t="s">
        <v>1870</v>
      </c>
      <c r="E18" s="241">
        <v>149284</v>
      </c>
      <c r="F18" s="241">
        <f>+'700 Debt '!N26+'700 Debt '!N51</f>
        <v>152883.72999999998</v>
      </c>
      <c r="G18" s="241">
        <f>+'700 Debt '!Q26+'700 Debt '!Q51</f>
        <v>151534</v>
      </c>
      <c r="H18" s="71"/>
      <c r="I18" s="71">
        <f t="shared" si="0"/>
        <v>151534</v>
      </c>
    </row>
    <row r="19" spans="1:10" x14ac:dyDescent="0.2">
      <c r="A19" s="70">
        <v>43241</v>
      </c>
      <c r="B19" s="339" t="s">
        <v>1879</v>
      </c>
      <c r="C19" s="69"/>
      <c r="D19" s="69" t="s">
        <v>1870</v>
      </c>
      <c r="E19" s="241">
        <v>324519</v>
      </c>
      <c r="F19" s="241">
        <f>+'700 Debt '!N27+'700 Debt '!N52</f>
        <v>321768.76</v>
      </c>
      <c r="G19" s="241">
        <f>+'700 Debt '!Q27+'700 Debt '!Q52</f>
        <v>321769</v>
      </c>
      <c r="H19" s="71"/>
      <c r="I19" s="71">
        <f t="shared" si="0"/>
        <v>321769</v>
      </c>
    </row>
    <row r="20" spans="1:10" x14ac:dyDescent="0.2">
      <c r="A20" s="70">
        <v>43241</v>
      </c>
      <c r="B20" s="339" t="s">
        <v>1879</v>
      </c>
      <c r="C20" s="69"/>
      <c r="D20" s="69" t="s">
        <v>1870</v>
      </c>
      <c r="E20" s="241">
        <v>92542</v>
      </c>
      <c r="F20" s="241">
        <f>+'700 Debt '!N28+'700 Debt '!N53</f>
        <v>0</v>
      </c>
      <c r="G20" s="241">
        <f>+'700 Debt '!Q28+'700 Debt '!Q53</f>
        <v>90650</v>
      </c>
      <c r="H20" s="71"/>
      <c r="I20" s="71">
        <f t="shared" si="0"/>
        <v>90650</v>
      </c>
    </row>
    <row r="21" spans="1:10" x14ac:dyDescent="0.2">
      <c r="A21" s="69"/>
      <c r="B21" s="339"/>
      <c r="C21" s="69"/>
      <c r="D21" s="69"/>
      <c r="E21" s="241"/>
      <c r="F21" s="241"/>
      <c r="G21" s="241"/>
      <c r="H21" s="71"/>
      <c r="I21" s="71"/>
    </row>
    <row r="22" spans="1:10" x14ac:dyDescent="0.2">
      <c r="A22" s="69">
        <v>2016</v>
      </c>
      <c r="B22" s="339" t="s">
        <v>1880</v>
      </c>
      <c r="C22" s="69"/>
      <c r="D22" s="69" t="s">
        <v>1881</v>
      </c>
      <c r="E22" s="241">
        <v>39938</v>
      </c>
      <c r="F22" s="241">
        <f>+'700 Debt '!N50+'700 Debt '!N25</f>
        <v>40062.509999999995</v>
      </c>
      <c r="G22" s="241">
        <f>+'700 Debt '!Q50+'700 Debt '!Q25</f>
        <v>39763</v>
      </c>
      <c r="H22" s="71"/>
      <c r="I22" s="71">
        <f t="shared" si="0"/>
        <v>39763</v>
      </c>
    </row>
    <row r="23" spans="1:10" x14ac:dyDescent="0.2">
      <c r="A23" s="69"/>
      <c r="B23" s="60"/>
      <c r="C23" s="69"/>
      <c r="D23" s="69"/>
      <c r="E23" s="69"/>
      <c r="F23" s="69"/>
      <c r="G23" s="69"/>
      <c r="H23" s="69"/>
      <c r="I23" s="69"/>
    </row>
    <row r="25" spans="1:10" x14ac:dyDescent="0.2">
      <c r="A25" s="162"/>
      <c r="B25" s="220"/>
      <c r="E25" s="64">
        <f>SUM(E5:E24)</f>
        <v>1182556</v>
      </c>
      <c r="F25" s="64">
        <f>SUM(F5:F24)</f>
        <v>1094492.44</v>
      </c>
      <c r="G25" s="64">
        <f>SUM(G5:G24)</f>
        <v>1179061</v>
      </c>
      <c r="I25" s="64">
        <f>SUM(I5:I24)</f>
        <v>1179061</v>
      </c>
    </row>
    <row r="26" spans="1:10" x14ac:dyDescent="0.2">
      <c r="B26" s="220"/>
    </row>
    <row r="27" spans="1:10" x14ac:dyDescent="0.2">
      <c r="B27" s="220"/>
    </row>
    <row r="28" spans="1:10" x14ac:dyDescent="0.2">
      <c r="C28" t="s">
        <v>787</v>
      </c>
      <c r="E28" s="64">
        <f>+E5+E10+E11+E12+E13+E15+E16+E18+E22+E19+E20</f>
        <v>1068223</v>
      </c>
      <c r="G28" s="64">
        <f>+G5+G10+G11+G12+G13+G15+G16+G18+G22+G19+G20</f>
        <v>1068584</v>
      </c>
      <c r="I28" s="64">
        <f>+I5+I10+I11+I12+I13+I15+I16+I18+I22+I19+I20</f>
        <v>1068584</v>
      </c>
      <c r="J28" s="64"/>
    </row>
    <row r="29" spans="1:10" x14ac:dyDescent="0.2">
      <c r="C29" t="s">
        <v>580</v>
      </c>
      <c r="E29" s="64">
        <f>+E7+E8</f>
        <v>114333</v>
      </c>
      <c r="G29" s="64">
        <f>+G7+G8</f>
        <v>110477</v>
      </c>
      <c r="I29" s="64">
        <f>+I7+I8</f>
        <v>110477</v>
      </c>
      <c r="J29" s="64"/>
    </row>
    <row r="30" spans="1:10" x14ac:dyDescent="0.2">
      <c r="C30" t="s">
        <v>193</v>
      </c>
      <c r="E30" s="64">
        <f>SUM(E28:E29)</f>
        <v>1182556</v>
      </c>
      <c r="G30" s="64">
        <f>SUM(G28:G29)</f>
        <v>1179061</v>
      </c>
      <c r="I30" s="64">
        <f>SUM(I28:I29)</f>
        <v>1179061</v>
      </c>
      <c r="J30" s="64"/>
    </row>
    <row r="31" spans="1:10" x14ac:dyDescent="0.2">
      <c r="G31" s="64"/>
    </row>
    <row r="32" spans="1:10" x14ac:dyDescent="0.2">
      <c r="A32" s="153"/>
      <c r="C32" t="s">
        <v>1882</v>
      </c>
      <c r="E32" s="64">
        <f>+E30-E25</f>
        <v>0</v>
      </c>
      <c r="G32" s="64">
        <f>+G30-G25</f>
        <v>0</v>
      </c>
      <c r="I32" s="64">
        <f>+I30-I25</f>
        <v>0</v>
      </c>
    </row>
    <row r="33" spans="1:2" x14ac:dyDescent="0.2">
      <c r="A33" s="162">
        <v>44173</v>
      </c>
      <c r="B33" s="153" t="s">
        <v>1883</v>
      </c>
    </row>
    <row r="34" spans="1:2" x14ac:dyDescent="0.2">
      <c r="A34" s="162"/>
    </row>
    <row r="35" spans="1:2" x14ac:dyDescent="0.2">
      <c r="B35" s="162"/>
    </row>
  </sheetData>
  <phoneticPr fontId="0" type="noConversion"/>
  <hyperlinks>
    <hyperlink ref="A1" location="'Table of Contents'!A1" display="TOC" xr:uid="{00000000-0004-0000-3F00-000000000000}"/>
  </hyperlinks>
  <pageMargins left="0.75" right="0.75" top="1" bottom="1" header="0.5" footer="0.5"/>
  <pageSetup scale="77" orientation="landscape" r:id="rId1"/>
  <headerFooter alignWithMargins="0">
    <oddFooter xml:space="preserve">&amp;L&amp;D  &amp;T&amp;C&amp;F&amp;R&amp;A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92D050"/>
    <pageSetUpPr fitToPage="1"/>
  </sheetPr>
  <dimension ref="A1:I132"/>
  <sheetViews>
    <sheetView workbookViewId="0">
      <selection activeCell="A3" sqref="A3"/>
    </sheetView>
  </sheetViews>
  <sheetFormatPr defaultRowHeight="12.75" x14ac:dyDescent="0.2"/>
  <sheetData>
    <row r="1" spans="1:9" ht="18.75" x14ac:dyDescent="0.3">
      <c r="A1" s="1169" t="s">
        <v>1884</v>
      </c>
      <c r="B1" s="1169"/>
      <c r="C1" s="1169"/>
      <c r="D1" s="1169"/>
      <c r="E1" s="1169"/>
      <c r="F1" s="1169"/>
      <c r="G1" s="1169"/>
      <c r="H1" s="1169"/>
      <c r="I1" s="1169"/>
    </row>
    <row r="2" spans="1:9" ht="15.75" x14ac:dyDescent="0.25">
      <c r="A2" s="1171" t="s">
        <v>1885</v>
      </c>
      <c r="B2" s="1171"/>
      <c r="C2" s="1171"/>
      <c r="D2" s="1171"/>
      <c r="E2" s="1171"/>
      <c r="F2" s="1171"/>
      <c r="G2" s="1171"/>
      <c r="H2" s="1171"/>
      <c r="I2" s="308" t="s">
        <v>197</v>
      </c>
    </row>
    <row r="3" spans="1:9" ht="18.75" x14ac:dyDescent="0.3">
      <c r="A3" s="291" t="s">
        <v>1886</v>
      </c>
      <c r="B3" s="159"/>
      <c r="C3" s="1061"/>
      <c r="D3" s="159"/>
      <c r="E3" s="159"/>
      <c r="F3" s="159"/>
      <c r="G3" s="159"/>
      <c r="H3" s="159"/>
      <c r="I3" s="578"/>
    </row>
    <row r="4" spans="1:9" ht="18.75" x14ac:dyDescent="0.3">
      <c r="A4" s="234" t="s">
        <v>874</v>
      </c>
      <c r="I4" s="579"/>
    </row>
    <row r="5" spans="1:9" x14ac:dyDescent="0.2">
      <c r="A5" s="154" t="s">
        <v>1887</v>
      </c>
      <c r="B5" s="881">
        <v>1</v>
      </c>
      <c r="C5" s="881">
        <v>2</v>
      </c>
      <c r="D5" s="881">
        <v>3</v>
      </c>
      <c r="E5" s="881">
        <v>4</v>
      </c>
      <c r="F5" s="881">
        <v>5</v>
      </c>
      <c r="G5" s="881">
        <v>6</v>
      </c>
      <c r="H5" s="881">
        <v>7</v>
      </c>
      <c r="I5" s="882">
        <v>8</v>
      </c>
    </row>
    <row r="6" spans="1:9" ht="14.25" x14ac:dyDescent="0.2">
      <c r="A6" s="154" t="s">
        <v>1888</v>
      </c>
      <c r="B6" s="1100">
        <f>ROUND((B16*(1.025)),2)</f>
        <v>24.59</v>
      </c>
      <c r="C6" s="1100">
        <f t="shared" ref="C6:I6" si="0">ROUND((C16*(1.025)),2)</f>
        <v>25.57</v>
      </c>
      <c r="D6" s="1100">
        <f t="shared" si="0"/>
        <v>26.6</v>
      </c>
      <c r="E6" s="1100">
        <f t="shared" si="0"/>
        <v>27.68</v>
      </c>
      <c r="F6" s="1100">
        <f t="shared" si="0"/>
        <v>28.77</v>
      </c>
      <c r="G6" s="1100">
        <f t="shared" si="0"/>
        <v>29.93</v>
      </c>
      <c r="H6" s="1100">
        <f t="shared" si="0"/>
        <v>31.11</v>
      </c>
      <c r="I6" s="576">
        <f t="shared" si="0"/>
        <v>32.35</v>
      </c>
    </row>
    <row r="7" spans="1:9" ht="14.25" x14ac:dyDescent="0.2">
      <c r="A7" s="154" t="s">
        <v>1889</v>
      </c>
      <c r="B7" s="1100">
        <f>ROUND((B17*(1.025)),2)</f>
        <v>26.65</v>
      </c>
      <c r="C7" s="1100">
        <f t="shared" ref="C7:I7" si="1">ROUND((C17*(1.025)),2)</f>
        <v>27.73</v>
      </c>
      <c r="D7" s="1100">
        <f t="shared" si="1"/>
        <v>28.82</v>
      </c>
      <c r="E7" s="1100">
        <f t="shared" si="1"/>
        <v>29.98</v>
      </c>
      <c r="F7" s="1100">
        <f t="shared" si="1"/>
        <v>31.18</v>
      </c>
      <c r="G7" s="1100">
        <f t="shared" si="1"/>
        <v>32.42</v>
      </c>
      <c r="H7" s="1100">
        <f t="shared" si="1"/>
        <v>33.729999999999997</v>
      </c>
      <c r="I7" s="576">
        <f t="shared" si="1"/>
        <v>35.090000000000003</v>
      </c>
    </row>
    <row r="8" spans="1:9" ht="14.25" x14ac:dyDescent="0.2">
      <c r="A8" s="154" t="s">
        <v>1887</v>
      </c>
      <c r="B8" s="1100"/>
      <c r="C8" s="1100"/>
      <c r="D8" s="1100"/>
      <c r="E8" s="883">
        <v>1</v>
      </c>
      <c r="F8" s="883">
        <v>2</v>
      </c>
      <c r="G8" s="883">
        <v>3</v>
      </c>
      <c r="H8" s="883">
        <v>4</v>
      </c>
      <c r="I8" s="884">
        <v>5</v>
      </c>
    </row>
    <row r="9" spans="1:9" ht="14.25" x14ac:dyDescent="0.2">
      <c r="A9" s="154" t="s">
        <v>1890</v>
      </c>
      <c r="B9" s="1100"/>
      <c r="C9" s="1100"/>
      <c r="D9" s="1100"/>
      <c r="E9" s="1100"/>
      <c r="F9" s="1100">
        <f t="shared" ref="F9:I9" si="2">ROUND((F19*(1.025)),2)</f>
        <v>33.28</v>
      </c>
      <c r="G9" s="1100">
        <f t="shared" si="2"/>
        <v>34.590000000000003</v>
      </c>
      <c r="H9" s="1100">
        <f t="shared" si="2"/>
        <v>35.97</v>
      </c>
      <c r="I9" s="576">
        <f t="shared" si="2"/>
        <v>37.4</v>
      </c>
    </row>
    <row r="10" spans="1:9" ht="14.25" x14ac:dyDescent="0.2">
      <c r="A10" s="68" t="s">
        <v>1891</v>
      </c>
      <c r="B10" s="1101"/>
      <c r="C10" s="1101"/>
      <c r="D10" s="1101"/>
      <c r="E10" s="1101"/>
      <c r="F10" s="1101">
        <f t="shared" ref="F10:I10" si="3">ROUND((F20*(1.025)),2)</f>
        <v>36.93</v>
      </c>
      <c r="G10" s="1101">
        <f t="shared" si="3"/>
        <v>38.42</v>
      </c>
      <c r="H10" s="1101">
        <f t="shared" si="3"/>
        <v>39.950000000000003</v>
      </c>
      <c r="I10" s="577">
        <f t="shared" si="3"/>
        <v>41.54</v>
      </c>
    </row>
    <row r="11" spans="1:9" ht="14.25" x14ac:dyDescent="0.2">
      <c r="B11" s="1100"/>
      <c r="C11" s="1100"/>
      <c r="D11" s="1100"/>
      <c r="E11" s="1100"/>
      <c r="F11" s="1100"/>
      <c r="G11" s="1100"/>
      <c r="H11" s="1100"/>
      <c r="I11" s="1100"/>
    </row>
    <row r="12" spans="1:9" ht="15.75" x14ac:dyDescent="0.25">
      <c r="A12" s="1171" t="s">
        <v>1892</v>
      </c>
      <c r="B12" s="1171"/>
      <c r="C12" s="1171"/>
      <c r="D12" s="1171"/>
      <c r="E12" s="1171"/>
      <c r="F12" s="1171"/>
      <c r="G12" s="1171"/>
      <c r="H12" s="1171"/>
      <c r="I12" s="308" t="s">
        <v>197</v>
      </c>
    </row>
    <row r="13" spans="1:9" ht="18.75" x14ac:dyDescent="0.3">
      <c r="A13" s="291" t="s">
        <v>1893</v>
      </c>
      <c r="B13" s="159"/>
      <c r="C13" s="159"/>
      <c r="D13" s="159"/>
      <c r="E13" s="159"/>
      <c r="F13" s="159"/>
      <c r="G13" s="159"/>
      <c r="H13" s="159"/>
      <c r="I13" s="578"/>
    </row>
    <row r="14" spans="1:9" ht="18.75" x14ac:dyDescent="0.3">
      <c r="A14" s="234" t="s">
        <v>874</v>
      </c>
      <c r="I14" s="579"/>
    </row>
    <row r="15" spans="1:9" x14ac:dyDescent="0.2">
      <c r="A15" s="154" t="s">
        <v>1887</v>
      </c>
      <c r="B15" s="881">
        <v>1</v>
      </c>
      <c r="C15" s="881">
        <v>2</v>
      </c>
      <c r="D15" s="881">
        <v>3</v>
      </c>
      <c r="E15" s="881">
        <v>4</v>
      </c>
      <c r="F15" s="881">
        <v>5</v>
      </c>
      <c r="G15" s="881">
        <v>6</v>
      </c>
      <c r="H15" s="881">
        <v>7</v>
      </c>
      <c r="I15" s="882">
        <v>8</v>
      </c>
    </row>
    <row r="16" spans="1:9" ht="14.25" x14ac:dyDescent="0.2">
      <c r="A16" s="154" t="s">
        <v>1888</v>
      </c>
      <c r="B16" s="1100">
        <f>ROUND((+B26*1.03),2)</f>
        <v>23.99</v>
      </c>
      <c r="C16" s="1100">
        <f t="shared" ref="C16:I16" si="4">ROUND((+C26*1.03),2)</f>
        <v>24.95</v>
      </c>
      <c r="D16" s="1100">
        <f t="shared" si="4"/>
        <v>25.95</v>
      </c>
      <c r="E16" s="1100">
        <f t="shared" si="4"/>
        <v>27</v>
      </c>
      <c r="F16" s="1100">
        <f t="shared" si="4"/>
        <v>28.07</v>
      </c>
      <c r="G16" s="1100">
        <f t="shared" si="4"/>
        <v>29.2</v>
      </c>
      <c r="H16" s="1100">
        <f t="shared" si="4"/>
        <v>30.35</v>
      </c>
      <c r="I16" s="576">
        <f t="shared" si="4"/>
        <v>31.56</v>
      </c>
    </row>
    <row r="17" spans="1:9" ht="14.25" x14ac:dyDescent="0.2">
      <c r="A17" s="154" t="s">
        <v>1889</v>
      </c>
      <c r="B17" s="1100">
        <f>ROUND((+B27*1.03),2)</f>
        <v>26</v>
      </c>
      <c r="C17" s="1100">
        <f t="shared" ref="C17:I17" si="5">ROUND((+C27*1.03),2)</f>
        <v>27.05</v>
      </c>
      <c r="D17" s="1100">
        <f t="shared" si="5"/>
        <v>28.12</v>
      </c>
      <c r="E17" s="1100">
        <f t="shared" si="5"/>
        <v>29.25</v>
      </c>
      <c r="F17" s="1100">
        <f t="shared" si="5"/>
        <v>30.42</v>
      </c>
      <c r="G17" s="1100">
        <f t="shared" si="5"/>
        <v>31.63</v>
      </c>
      <c r="H17" s="1100">
        <f t="shared" si="5"/>
        <v>32.909999999999997</v>
      </c>
      <c r="I17" s="576">
        <f t="shared" si="5"/>
        <v>34.229999999999997</v>
      </c>
    </row>
    <row r="18" spans="1:9" ht="14.25" x14ac:dyDescent="0.2">
      <c r="A18" s="154" t="s">
        <v>1887</v>
      </c>
      <c r="B18" s="1100"/>
      <c r="C18" s="1100"/>
      <c r="D18" s="1100"/>
      <c r="E18" s="883">
        <v>1</v>
      </c>
      <c r="F18" s="883">
        <v>2</v>
      </c>
      <c r="G18" s="883">
        <v>3</v>
      </c>
      <c r="H18" s="883">
        <v>4</v>
      </c>
      <c r="I18" s="884">
        <v>5</v>
      </c>
    </row>
    <row r="19" spans="1:9" ht="14.25" x14ac:dyDescent="0.2">
      <c r="A19" s="154" t="s">
        <v>1890</v>
      </c>
      <c r="B19" s="1100"/>
      <c r="C19" s="1100"/>
      <c r="D19" s="1100"/>
      <c r="E19" s="1100"/>
      <c r="F19" s="1100">
        <f t="shared" ref="F19:I19" si="6">ROUND((+F29*1.03),2)</f>
        <v>32.47</v>
      </c>
      <c r="G19" s="1100">
        <f t="shared" si="6"/>
        <v>33.75</v>
      </c>
      <c r="H19" s="1100">
        <f t="shared" si="6"/>
        <v>35.090000000000003</v>
      </c>
      <c r="I19" s="576">
        <f t="shared" si="6"/>
        <v>36.49</v>
      </c>
    </row>
    <row r="20" spans="1:9" ht="14.25" x14ac:dyDescent="0.2">
      <c r="A20" s="68" t="s">
        <v>1891</v>
      </c>
      <c r="B20" s="1101"/>
      <c r="C20" s="1101"/>
      <c r="D20" s="1101"/>
      <c r="E20" s="1101"/>
      <c r="F20" s="1101">
        <f t="shared" ref="F20:I20" si="7">ROUND((+F30*1.03),2)</f>
        <v>36.03</v>
      </c>
      <c r="G20" s="1101">
        <f t="shared" si="7"/>
        <v>37.479999999999997</v>
      </c>
      <c r="H20" s="1101">
        <f t="shared" si="7"/>
        <v>38.979999999999997</v>
      </c>
      <c r="I20" s="577">
        <f t="shared" si="7"/>
        <v>40.53</v>
      </c>
    </row>
    <row r="21" spans="1:9" ht="14.25" x14ac:dyDescent="0.2">
      <c r="B21" s="1100"/>
      <c r="C21" s="1100"/>
      <c r="D21" s="1100"/>
      <c r="E21" s="1100"/>
      <c r="F21" s="1100"/>
      <c r="G21" s="1100"/>
      <c r="H21" s="1100"/>
      <c r="I21" s="1100"/>
    </row>
    <row r="22" spans="1:9" ht="15.75" x14ac:dyDescent="0.25">
      <c r="A22" s="1171" t="s">
        <v>1894</v>
      </c>
      <c r="B22" s="1171"/>
      <c r="C22" s="1171"/>
      <c r="D22" s="1171"/>
      <c r="E22" s="1171"/>
      <c r="F22" s="1171"/>
      <c r="G22" s="1171"/>
      <c r="H22" s="1171"/>
      <c r="I22" s="308" t="s">
        <v>197</v>
      </c>
    </row>
    <row r="23" spans="1:9" ht="18.75" x14ac:dyDescent="0.3">
      <c r="A23" s="291" t="s">
        <v>1895</v>
      </c>
      <c r="B23" s="159"/>
      <c r="C23" s="159"/>
      <c r="D23" s="159"/>
      <c r="E23" s="159"/>
      <c r="F23" s="159"/>
      <c r="G23" s="159"/>
      <c r="H23" s="159"/>
      <c r="I23" s="578"/>
    </row>
    <row r="24" spans="1:9" ht="18.75" x14ac:dyDescent="0.3">
      <c r="A24" s="234" t="s">
        <v>874</v>
      </c>
      <c r="I24" s="579"/>
    </row>
    <row r="25" spans="1:9" x14ac:dyDescent="0.2">
      <c r="A25" s="154" t="s">
        <v>1887</v>
      </c>
      <c r="B25" s="881">
        <v>1</v>
      </c>
      <c r="C25" s="881">
        <v>2</v>
      </c>
      <c r="D25" s="881">
        <v>3</v>
      </c>
      <c r="E25" s="881">
        <v>4</v>
      </c>
      <c r="F25" s="881">
        <v>5</v>
      </c>
      <c r="G25" s="881">
        <v>6</v>
      </c>
      <c r="H25" s="881">
        <v>7</v>
      </c>
      <c r="I25" s="882">
        <v>8</v>
      </c>
    </row>
    <row r="26" spans="1:9" ht="14.25" x14ac:dyDescent="0.2">
      <c r="A26" s="154" t="s">
        <v>1888</v>
      </c>
      <c r="B26" s="1100">
        <f>ROUND((+B36*1.015),2)</f>
        <v>23.29</v>
      </c>
      <c r="C26" s="1100">
        <f t="shared" ref="C26:I26" si="8">ROUND((+C36*1.015),2)</f>
        <v>24.22</v>
      </c>
      <c r="D26" s="1100">
        <f t="shared" si="8"/>
        <v>25.19</v>
      </c>
      <c r="E26" s="1100">
        <f t="shared" si="8"/>
        <v>26.21</v>
      </c>
      <c r="F26" s="1100">
        <f t="shared" si="8"/>
        <v>27.25</v>
      </c>
      <c r="G26" s="1100">
        <f t="shared" si="8"/>
        <v>28.35</v>
      </c>
      <c r="H26" s="1100">
        <f t="shared" si="8"/>
        <v>29.47</v>
      </c>
      <c r="I26" s="576">
        <f t="shared" si="8"/>
        <v>30.64</v>
      </c>
    </row>
    <row r="27" spans="1:9" ht="14.25" x14ac:dyDescent="0.2">
      <c r="A27" s="154" t="s">
        <v>1889</v>
      </c>
      <c r="B27" s="1100">
        <f>ROUND((+B37*1.015),2)</f>
        <v>25.24</v>
      </c>
      <c r="C27" s="1100">
        <f t="shared" ref="C27:I27" si="9">ROUND((+C37*1.015),2)</f>
        <v>26.26</v>
      </c>
      <c r="D27" s="1100">
        <f t="shared" si="9"/>
        <v>27.3</v>
      </c>
      <c r="E27" s="1100">
        <f t="shared" si="9"/>
        <v>28.4</v>
      </c>
      <c r="F27" s="1100">
        <f t="shared" si="9"/>
        <v>29.53</v>
      </c>
      <c r="G27" s="1100">
        <f t="shared" si="9"/>
        <v>30.71</v>
      </c>
      <c r="H27" s="1100">
        <f t="shared" si="9"/>
        <v>31.95</v>
      </c>
      <c r="I27" s="576">
        <f t="shared" si="9"/>
        <v>33.229999999999997</v>
      </c>
    </row>
    <row r="28" spans="1:9" ht="14.25" x14ac:dyDescent="0.2">
      <c r="A28" s="154" t="s">
        <v>1887</v>
      </c>
      <c r="B28" s="1100"/>
      <c r="C28" s="1100"/>
      <c r="D28" s="1100"/>
      <c r="E28" s="883">
        <v>1</v>
      </c>
      <c r="F28" s="883">
        <v>2</v>
      </c>
      <c r="G28" s="883">
        <v>3</v>
      </c>
      <c r="H28" s="883">
        <v>4</v>
      </c>
      <c r="I28" s="884">
        <v>5</v>
      </c>
    </row>
    <row r="29" spans="1:9" ht="14.25" x14ac:dyDescent="0.2">
      <c r="A29" s="154" t="s">
        <v>1890</v>
      </c>
      <c r="B29" s="1100"/>
      <c r="C29" s="1100"/>
      <c r="D29" s="1100"/>
      <c r="E29" s="1100"/>
      <c r="F29" s="1100">
        <f>ROUND((+F39*1.015),2)</f>
        <v>31.52</v>
      </c>
      <c r="G29" s="1100">
        <f t="shared" ref="G29:I29" si="10">ROUND((+G39*1.015),2)</f>
        <v>32.770000000000003</v>
      </c>
      <c r="H29" s="1100">
        <f t="shared" si="10"/>
        <v>34.07</v>
      </c>
      <c r="I29" s="576">
        <f t="shared" si="10"/>
        <v>35.43</v>
      </c>
    </row>
    <row r="30" spans="1:9" ht="14.25" x14ac:dyDescent="0.2">
      <c r="A30" s="68" t="s">
        <v>1891</v>
      </c>
      <c r="B30" s="1101"/>
      <c r="C30" s="1101"/>
      <c r="D30" s="1101"/>
      <c r="E30" s="1101"/>
      <c r="F30" s="1101">
        <f>ROUND((+F40*1.015),2)</f>
        <v>34.979999999999997</v>
      </c>
      <c r="G30" s="1101">
        <f t="shared" ref="G30:I30" si="11">ROUND((+G40*1.015),2)</f>
        <v>36.39</v>
      </c>
      <c r="H30" s="1101">
        <f t="shared" si="11"/>
        <v>37.840000000000003</v>
      </c>
      <c r="I30" s="577">
        <f t="shared" si="11"/>
        <v>39.35</v>
      </c>
    </row>
    <row r="31" spans="1:9" ht="18.75" x14ac:dyDescent="0.3">
      <c r="A31" s="292"/>
      <c r="B31" s="292"/>
      <c r="C31" s="292"/>
      <c r="D31" s="292"/>
      <c r="E31" s="292"/>
      <c r="F31" s="292"/>
      <c r="G31" s="292"/>
      <c r="H31" s="292"/>
      <c r="I31" s="292"/>
    </row>
    <row r="32" spans="1:9" ht="18.75" x14ac:dyDescent="0.3">
      <c r="A32" s="1171" t="s">
        <v>1896</v>
      </c>
      <c r="B32" s="1171"/>
      <c r="C32" s="1171"/>
      <c r="D32" s="1171"/>
      <c r="E32" s="1171"/>
      <c r="F32" s="1171"/>
      <c r="G32" s="1171"/>
      <c r="H32" s="1171"/>
      <c r="I32" s="292"/>
    </row>
    <row r="33" spans="1:9" ht="18.75" x14ac:dyDescent="0.3">
      <c r="A33" s="291" t="s">
        <v>1897</v>
      </c>
      <c r="B33" s="159"/>
      <c r="C33" s="159"/>
      <c r="D33" s="159"/>
      <c r="E33" s="159"/>
      <c r="F33" s="159"/>
      <c r="G33" s="159"/>
      <c r="H33" s="159"/>
      <c r="I33" s="578"/>
    </row>
    <row r="34" spans="1:9" ht="18.75" x14ac:dyDescent="0.3">
      <c r="A34" s="234" t="s">
        <v>874</v>
      </c>
      <c r="I34" s="579"/>
    </row>
    <row r="35" spans="1:9" x14ac:dyDescent="0.2">
      <c r="A35" s="154" t="s">
        <v>1887</v>
      </c>
      <c r="B35" s="881">
        <v>1</v>
      </c>
      <c r="C35" s="881">
        <v>2</v>
      </c>
      <c r="D35" s="881">
        <v>3</v>
      </c>
      <c r="E35" s="881">
        <v>4</v>
      </c>
      <c r="F35" s="881">
        <v>5</v>
      </c>
      <c r="G35" s="881">
        <v>6</v>
      </c>
      <c r="H35" s="881">
        <v>7</v>
      </c>
      <c r="I35" s="882">
        <v>8</v>
      </c>
    </row>
    <row r="36" spans="1:9" ht="14.25" x14ac:dyDescent="0.2">
      <c r="A36" s="154" t="s">
        <v>1888</v>
      </c>
      <c r="B36" s="1100">
        <f>ROUND((+B46*1),2)</f>
        <v>22.95</v>
      </c>
      <c r="C36" s="1100">
        <f t="shared" ref="C36:H36" si="12">ROUND((+C46*1),2)</f>
        <v>23.86</v>
      </c>
      <c r="D36" s="1100">
        <f t="shared" si="12"/>
        <v>24.82</v>
      </c>
      <c r="E36" s="1100">
        <f t="shared" si="12"/>
        <v>25.82</v>
      </c>
      <c r="F36" s="1100">
        <f t="shared" si="12"/>
        <v>26.85</v>
      </c>
      <c r="G36" s="1100">
        <f t="shared" si="12"/>
        <v>27.93</v>
      </c>
      <c r="H36" s="1100">
        <f t="shared" si="12"/>
        <v>29.03</v>
      </c>
      <c r="I36" s="576">
        <f>ROUND((+H36*1.04),2)</f>
        <v>30.19</v>
      </c>
    </row>
    <row r="37" spans="1:9" ht="14.25" x14ac:dyDescent="0.2">
      <c r="A37" s="154" t="s">
        <v>1889</v>
      </c>
      <c r="B37" s="1100">
        <f>ROUND((+B47*1),2)</f>
        <v>24.87</v>
      </c>
      <c r="C37" s="1100">
        <f t="shared" ref="C37:H37" si="13">ROUND((+C47*1),2)</f>
        <v>25.87</v>
      </c>
      <c r="D37" s="1100">
        <f t="shared" si="13"/>
        <v>26.9</v>
      </c>
      <c r="E37" s="1100">
        <f t="shared" si="13"/>
        <v>27.98</v>
      </c>
      <c r="F37" s="1100">
        <f t="shared" si="13"/>
        <v>29.09</v>
      </c>
      <c r="G37" s="1100">
        <f t="shared" si="13"/>
        <v>30.26</v>
      </c>
      <c r="H37" s="1100">
        <f t="shared" si="13"/>
        <v>31.48</v>
      </c>
      <c r="I37" s="576">
        <f>ROUND((+H37*1.04),2)</f>
        <v>32.74</v>
      </c>
    </row>
    <row r="38" spans="1:9" ht="14.25" x14ac:dyDescent="0.2">
      <c r="A38" s="154" t="s">
        <v>1887</v>
      </c>
      <c r="B38" s="1100"/>
      <c r="C38" s="1100"/>
      <c r="D38" s="1100"/>
      <c r="E38" s="883">
        <v>1</v>
      </c>
      <c r="F38" s="883">
        <v>2</v>
      </c>
      <c r="G38" s="883">
        <v>3</v>
      </c>
      <c r="H38" s="883">
        <v>4</v>
      </c>
      <c r="I38" s="884">
        <v>5</v>
      </c>
    </row>
    <row r="39" spans="1:9" ht="14.25" x14ac:dyDescent="0.2">
      <c r="A39" s="154" t="s">
        <v>1890</v>
      </c>
      <c r="B39" s="1100"/>
      <c r="C39" s="1100"/>
      <c r="D39" s="1100"/>
      <c r="E39" s="1100"/>
      <c r="F39" s="1100">
        <f>ROUND((+F49*1),2)</f>
        <v>31.05</v>
      </c>
      <c r="G39" s="1100">
        <f t="shared" ref="G39:H39" si="14">ROUND((+G49*1),2)</f>
        <v>32.29</v>
      </c>
      <c r="H39" s="1100">
        <f t="shared" si="14"/>
        <v>33.57</v>
      </c>
      <c r="I39" s="576">
        <f>ROUND((+H39*1.04),2)</f>
        <v>34.909999999999997</v>
      </c>
    </row>
    <row r="40" spans="1:9" ht="14.25" x14ac:dyDescent="0.2">
      <c r="A40" s="68" t="s">
        <v>1891</v>
      </c>
      <c r="B40" s="1101"/>
      <c r="C40" s="1101"/>
      <c r="D40" s="1101"/>
      <c r="E40" s="1101"/>
      <c r="F40" s="1101">
        <f>ROUND((+F50*1),2)</f>
        <v>34.46</v>
      </c>
      <c r="G40" s="1101">
        <f t="shared" ref="G40:H40" si="15">ROUND((+G50*1),2)</f>
        <v>35.85</v>
      </c>
      <c r="H40" s="1101">
        <f t="shared" si="15"/>
        <v>37.28</v>
      </c>
      <c r="I40" s="577">
        <f>ROUND((+H40*1.04),2)</f>
        <v>38.770000000000003</v>
      </c>
    </row>
    <row r="41" spans="1:9" ht="18.75" x14ac:dyDescent="0.3">
      <c r="A41" s="292"/>
      <c r="B41" s="292"/>
      <c r="C41" s="292"/>
      <c r="D41" s="292"/>
      <c r="E41" s="292"/>
      <c r="F41" s="292"/>
      <c r="G41" s="292"/>
      <c r="H41" s="292"/>
      <c r="I41" s="292"/>
    </row>
    <row r="42" spans="1:9" ht="18.75" x14ac:dyDescent="0.3">
      <c r="A42" s="1170" t="s">
        <v>1898</v>
      </c>
      <c r="B42" s="1170"/>
      <c r="C42" s="1170"/>
      <c r="D42" s="1170"/>
      <c r="E42" s="1170"/>
      <c r="F42" s="1170"/>
      <c r="G42" s="1170"/>
      <c r="H42" s="1170"/>
      <c r="I42" s="292"/>
    </row>
    <row r="43" spans="1:9" ht="18.75" x14ac:dyDescent="0.3">
      <c r="A43" s="291" t="s">
        <v>1899</v>
      </c>
      <c r="B43" s="159"/>
      <c r="C43" s="159"/>
      <c r="D43" s="159"/>
      <c r="E43" s="159"/>
      <c r="F43" s="159"/>
      <c r="G43" s="159"/>
      <c r="H43" s="185"/>
      <c r="I43" s="292"/>
    </row>
    <row r="44" spans="1:9" ht="18.75" x14ac:dyDescent="0.3">
      <c r="A44" s="234" t="s">
        <v>874</v>
      </c>
      <c r="H44" s="231"/>
      <c r="I44" s="292"/>
    </row>
    <row r="45" spans="1:9" ht="18.75" x14ac:dyDescent="0.3">
      <c r="A45" s="154" t="s">
        <v>1887</v>
      </c>
      <c r="B45" s="881">
        <v>1</v>
      </c>
      <c r="C45" s="881">
        <v>2</v>
      </c>
      <c r="D45" s="881">
        <v>3</v>
      </c>
      <c r="E45" s="881">
        <v>4</v>
      </c>
      <c r="F45" s="881">
        <v>5</v>
      </c>
      <c r="G45" s="881">
        <v>6</v>
      </c>
      <c r="H45" s="885">
        <v>7</v>
      </c>
      <c r="I45" s="292"/>
    </row>
    <row r="46" spans="1:9" ht="18.75" x14ac:dyDescent="0.3">
      <c r="A46" s="154" t="s">
        <v>1888</v>
      </c>
      <c r="B46" s="1100">
        <f>ROUND((+B56*1.015),2)</f>
        <v>22.95</v>
      </c>
      <c r="C46" s="1100">
        <f t="shared" ref="C46:H46" si="16">ROUND((+C56*1.015),2)</f>
        <v>23.86</v>
      </c>
      <c r="D46" s="1100">
        <f t="shared" si="16"/>
        <v>24.82</v>
      </c>
      <c r="E46" s="1100">
        <f t="shared" si="16"/>
        <v>25.82</v>
      </c>
      <c r="F46" s="1100">
        <f t="shared" si="16"/>
        <v>26.85</v>
      </c>
      <c r="G46" s="1100">
        <f t="shared" si="16"/>
        <v>27.93</v>
      </c>
      <c r="H46" s="576">
        <f t="shared" si="16"/>
        <v>29.03</v>
      </c>
      <c r="I46" s="292"/>
    </row>
    <row r="47" spans="1:9" ht="18.75" x14ac:dyDescent="0.3">
      <c r="A47" s="154" t="s">
        <v>1889</v>
      </c>
      <c r="B47" s="1100">
        <f>ROUND((+B57*1.015),2)</f>
        <v>24.87</v>
      </c>
      <c r="C47" s="1100">
        <f t="shared" ref="C47:H47" si="17">ROUND((+C57*1.015),2)</f>
        <v>25.87</v>
      </c>
      <c r="D47" s="1100">
        <f t="shared" si="17"/>
        <v>26.9</v>
      </c>
      <c r="E47" s="1100">
        <f t="shared" si="17"/>
        <v>27.98</v>
      </c>
      <c r="F47" s="1100">
        <f t="shared" si="17"/>
        <v>29.09</v>
      </c>
      <c r="G47" s="1100">
        <f t="shared" si="17"/>
        <v>30.26</v>
      </c>
      <c r="H47" s="576">
        <f t="shared" si="17"/>
        <v>31.48</v>
      </c>
      <c r="I47" s="292"/>
    </row>
    <row r="48" spans="1:9" ht="18.75" x14ac:dyDescent="0.3">
      <c r="A48" s="154" t="s">
        <v>1887</v>
      </c>
      <c r="B48" s="1100"/>
      <c r="C48" s="1100"/>
      <c r="D48" s="1100"/>
      <c r="E48" s="883">
        <v>1</v>
      </c>
      <c r="F48" s="883">
        <v>2</v>
      </c>
      <c r="G48" s="883">
        <v>3</v>
      </c>
      <c r="H48" s="884">
        <v>4</v>
      </c>
      <c r="I48" s="292"/>
    </row>
    <row r="49" spans="1:9" ht="18.75" x14ac:dyDescent="0.3">
      <c r="A49" s="154" t="s">
        <v>1890</v>
      </c>
      <c r="B49" s="1100"/>
      <c r="C49" s="1100"/>
      <c r="D49" s="1100"/>
      <c r="E49" s="1100">
        <f t="shared" ref="E49:H49" si="18">ROUND((+E59*1.015),2)</f>
        <v>29.84</v>
      </c>
      <c r="F49" s="1100">
        <f t="shared" si="18"/>
        <v>31.05</v>
      </c>
      <c r="G49" s="1100">
        <f t="shared" si="18"/>
        <v>32.29</v>
      </c>
      <c r="H49" s="576">
        <f t="shared" si="18"/>
        <v>33.57</v>
      </c>
      <c r="I49" s="292"/>
    </row>
    <row r="50" spans="1:9" ht="18.75" x14ac:dyDescent="0.3">
      <c r="A50" s="68" t="s">
        <v>1891</v>
      </c>
      <c r="B50" s="1101"/>
      <c r="C50" s="1101"/>
      <c r="D50" s="1101"/>
      <c r="E50" s="1101">
        <f t="shared" ref="E50:H50" si="19">ROUND((+E60*1.015),2)</f>
        <v>33.14</v>
      </c>
      <c r="F50" s="1101">
        <f t="shared" si="19"/>
        <v>34.46</v>
      </c>
      <c r="G50" s="1101">
        <f t="shared" si="19"/>
        <v>35.85</v>
      </c>
      <c r="H50" s="577">
        <f t="shared" si="19"/>
        <v>37.28</v>
      </c>
      <c r="I50" s="292"/>
    </row>
    <row r="51" spans="1:9" ht="18.75" x14ac:dyDescent="0.3">
      <c r="A51" s="292"/>
      <c r="B51" s="292"/>
      <c r="C51" s="292"/>
      <c r="D51" s="292"/>
      <c r="E51" s="292"/>
      <c r="F51" s="292"/>
      <c r="G51" s="292"/>
      <c r="H51" s="292"/>
      <c r="I51" s="292"/>
    </row>
    <row r="52" spans="1:9" ht="18.75" x14ac:dyDescent="0.3">
      <c r="A52" s="1170" t="s">
        <v>1900</v>
      </c>
      <c r="B52" s="1170"/>
      <c r="C52" s="1170"/>
      <c r="D52" s="1170"/>
      <c r="E52" s="1170"/>
      <c r="F52" s="1170"/>
      <c r="G52" s="1170"/>
      <c r="H52" s="1170"/>
      <c r="I52" s="292"/>
    </row>
    <row r="53" spans="1:9" ht="18.75" x14ac:dyDescent="0.3">
      <c r="A53" s="291" t="s">
        <v>1901</v>
      </c>
      <c r="B53" s="159"/>
      <c r="C53" s="159"/>
      <c r="D53" s="159"/>
      <c r="E53" s="159"/>
      <c r="F53" s="159"/>
      <c r="G53" s="159"/>
      <c r="H53" s="185"/>
      <c r="I53" s="292"/>
    </row>
    <row r="54" spans="1:9" ht="18.75" x14ac:dyDescent="0.3">
      <c r="A54" s="234" t="s">
        <v>874</v>
      </c>
      <c r="H54" s="231"/>
      <c r="I54" s="292"/>
    </row>
    <row r="55" spans="1:9" ht="18.75" x14ac:dyDescent="0.3">
      <c r="A55" s="154" t="s">
        <v>1887</v>
      </c>
      <c r="B55" s="881">
        <v>1</v>
      </c>
      <c r="C55" s="881">
        <v>2</v>
      </c>
      <c r="D55" s="881">
        <v>3</v>
      </c>
      <c r="E55" s="881">
        <v>4</v>
      </c>
      <c r="F55" s="881">
        <v>5</v>
      </c>
      <c r="G55" s="881">
        <v>6</v>
      </c>
      <c r="H55" s="885">
        <v>7</v>
      </c>
      <c r="I55" s="292"/>
    </row>
    <row r="56" spans="1:9" ht="18.75" x14ac:dyDescent="0.3">
      <c r="A56" s="154" t="s">
        <v>1888</v>
      </c>
      <c r="B56" s="1100">
        <f>ROUND((+B66*1.02),2)</f>
        <v>22.61</v>
      </c>
      <c r="C56" s="1100">
        <v>23.51</v>
      </c>
      <c r="D56" s="1100">
        <f t="shared" ref="D56:H56" si="20">ROUND((+D66*1.02),2)</f>
        <v>24.45</v>
      </c>
      <c r="E56" s="1100">
        <v>25.44</v>
      </c>
      <c r="F56" s="1100">
        <f t="shared" si="20"/>
        <v>26.45</v>
      </c>
      <c r="G56" s="1100">
        <v>27.52</v>
      </c>
      <c r="H56" s="576">
        <f t="shared" si="20"/>
        <v>28.6</v>
      </c>
      <c r="I56" s="292"/>
    </row>
    <row r="57" spans="1:9" ht="18.75" x14ac:dyDescent="0.3">
      <c r="A57" s="154" t="s">
        <v>1889</v>
      </c>
      <c r="B57" s="1100">
        <f>ROUND((+B67*1.02),2)</f>
        <v>24.5</v>
      </c>
      <c r="C57" s="1100">
        <v>25.49</v>
      </c>
      <c r="D57" s="1100">
        <f t="shared" ref="D57:H57" si="21">ROUND((+D67*1.02),2)</f>
        <v>26.5</v>
      </c>
      <c r="E57" s="1100">
        <v>27.57</v>
      </c>
      <c r="F57" s="1100">
        <f t="shared" si="21"/>
        <v>28.66</v>
      </c>
      <c r="G57" s="1100">
        <f t="shared" si="21"/>
        <v>29.81</v>
      </c>
      <c r="H57" s="576">
        <f t="shared" si="21"/>
        <v>31.01</v>
      </c>
      <c r="I57" s="292"/>
    </row>
    <row r="58" spans="1:9" ht="18.75" x14ac:dyDescent="0.3">
      <c r="A58" s="154" t="s">
        <v>1887</v>
      </c>
      <c r="B58" s="1100"/>
      <c r="C58" s="1100"/>
      <c r="D58" s="1100"/>
      <c r="E58" s="883">
        <v>1</v>
      </c>
      <c r="F58" s="883">
        <v>2</v>
      </c>
      <c r="G58" s="883">
        <v>3</v>
      </c>
      <c r="H58" s="884">
        <v>4</v>
      </c>
      <c r="I58" s="292"/>
    </row>
    <row r="59" spans="1:9" ht="18.75" x14ac:dyDescent="0.3">
      <c r="A59" s="154" t="s">
        <v>1890</v>
      </c>
      <c r="B59" s="1100"/>
      <c r="C59" s="1100"/>
      <c r="D59" s="1100"/>
      <c r="E59" s="1100">
        <f t="shared" ref="E59:H60" si="22">ROUND((+E69*1.02),2)</f>
        <v>29.4</v>
      </c>
      <c r="F59" s="1100">
        <f t="shared" si="22"/>
        <v>30.59</v>
      </c>
      <c r="G59" s="1100">
        <f t="shared" si="22"/>
        <v>31.81</v>
      </c>
      <c r="H59" s="576">
        <f t="shared" si="22"/>
        <v>33.07</v>
      </c>
      <c r="I59" s="292"/>
    </row>
    <row r="60" spans="1:9" ht="18.75" x14ac:dyDescent="0.3">
      <c r="A60" s="68" t="s">
        <v>1891</v>
      </c>
      <c r="B60" s="1101"/>
      <c r="C60" s="1101"/>
      <c r="D60" s="1101"/>
      <c r="E60" s="1101">
        <f t="shared" si="22"/>
        <v>32.65</v>
      </c>
      <c r="F60" s="1101">
        <v>33.950000000000003</v>
      </c>
      <c r="G60" s="1101">
        <v>35.32</v>
      </c>
      <c r="H60" s="577">
        <f t="shared" si="22"/>
        <v>36.729999999999997</v>
      </c>
      <c r="I60" s="292"/>
    </row>
    <row r="61" spans="1:9" ht="18.75" x14ac:dyDescent="0.3">
      <c r="A61" s="292"/>
      <c r="B61" s="292"/>
      <c r="C61" s="292"/>
      <c r="D61" s="292"/>
      <c r="E61" s="292"/>
      <c r="F61" s="292"/>
      <c r="G61" s="292"/>
      <c r="H61" s="292"/>
      <c r="I61" s="292"/>
    </row>
    <row r="62" spans="1:9" ht="18.75" x14ac:dyDescent="0.3">
      <c r="A62" s="1170" t="s">
        <v>1902</v>
      </c>
      <c r="B62" s="1170"/>
      <c r="C62" s="1170"/>
      <c r="D62" s="1170"/>
      <c r="E62" s="1170"/>
      <c r="F62" s="1170"/>
      <c r="G62" s="1170"/>
      <c r="H62" s="1170"/>
      <c r="I62" s="292"/>
    </row>
    <row r="63" spans="1:9" ht="18.75" x14ac:dyDescent="0.3">
      <c r="A63" s="291" t="s">
        <v>1903</v>
      </c>
      <c r="B63" s="159"/>
      <c r="C63" s="159"/>
      <c r="D63" s="159"/>
      <c r="E63" s="159"/>
      <c r="F63" s="159"/>
      <c r="G63" s="159"/>
      <c r="H63" s="185"/>
      <c r="I63" s="292"/>
    </row>
    <row r="64" spans="1:9" ht="18.75" x14ac:dyDescent="0.3">
      <c r="A64" s="234" t="s">
        <v>874</v>
      </c>
      <c r="H64" s="231"/>
      <c r="I64" s="292"/>
    </row>
    <row r="65" spans="1:9" ht="18.75" x14ac:dyDescent="0.3">
      <c r="A65" s="154" t="s">
        <v>1887</v>
      </c>
      <c r="B65" s="881">
        <v>1</v>
      </c>
      <c r="C65" s="881">
        <v>2</v>
      </c>
      <c r="D65" s="881">
        <v>3</v>
      </c>
      <c r="E65" s="881">
        <v>4</v>
      </c>
      <c r="F65" s="881">
        <v>5</v>
      </c>
      <c r="G65" s="881">
        <v>6</v>
      </c>
      <c r="H65" s="885">
        <v>7</v>
      </c>
      <c r="I65" s="292"/>
    </row>
    <row r="66" spans="1:9" ht="18.75" x14ac:dyDescent="0.3">
      <c r="A66" s="154" t="s">
        <v>1888</v>
      </c>
      <c r="B66" s="1100">
        <f>ROUND((+B76*1.005),2)</f>
        <v>22.17</v>
      </c>
      <c r="C66" s="1100">
        <f t="shared" ref="C66:H66" si="23">ROUND((+C76*1.005),2)</f>
        <v>23.04</v>
      </c>
      <c r="D66" s="1100">
        <f t="shared" si="23"/>
        <v>23.97</v>
      </c>
      <c r="E66" s="1100">
        <f t="shared" si="23"/>
        <v>24.93</v>
      </c>
      <c r="F66" s="1100">
        <f t="shared" si="23"/>
        <v>25.93</v>
      </c>
      <c r="G66" s="1100">
        <f t="shared" si="23"/>
        <v>26.97</v>
      </c>
      <c r="H66" s="576">
        <f t="shared" si="23"/>
        <v>28.04</v>
      </c>
      <c r="I66" s="292"/>
    </row>
    <row r="67" spans="1:9" ht="18.75" x14ac:dyDescent="0.3">
      <c r="A67" s="154" t="s">
        <v>1889</v>
      </c>
      <c r="B67" s="1100">
        <f t="shared" ref="B67:H67" si="24">ROUND((+B77*1.005),2)</f>
        <v>24.02</v>
      </c>
      <c r="C67" s="1100">
        <f t="shared" si="24"/>
        <v>24.98</v>
      </c>
      <c r="D67" s="1100">
        <f t="shared" si="24"/>
        <v>25.98</v>
      </c>
      <c r="E67" s="1100">
        <f t="shared" si="24"/>
        <v>27.02</v>
      </c>
      <c r="F67" s="1100">
        <f t="shared" si="24"/>
        <v>28.1</v>
      </c>
      <c r="G67" s="1100">
        <f t="shared" si="24"/>
        <v>29.23</v>
      </c>
      <c r="H67" s="576">
        <f t="shared" si="24"/>
        <v>30.4</v>
      </c>
      <c r="I67" s="292"/>
    </row>
    <row r="68" spans="1:9" ht="18.75" x14ac:dyDescent="0.3">
      <c r="A68" s="154" t="s">
        <v>1887</v>
      </c>
      <c r="B68" s="1100"/>
      <c r="C68" s="1100"/>
      <c r="D68" s="1100"/>
      <c r="E68" s="883">
        <v>1</v>
      </c>
      <c r="F68" s="883">
        <v>2</v>
      </c>
      <c r="G68" s="883">
        <v>3</v>
      </c>
      <c r="H68" s="884">
        <v>4</v>
      </c>
      <c r="I68" s="292"/>
    </row>
    <row r="69" spans="1:9" ht="18.75" x14ac:dyDescent="0.3">
      <c r="A69" s="154" t="s">
        <v>1890</v>
      </c>
      <c r="B69" s="1100"/>
      <c r="C69" s="1100"/>
      <c r="D69" s="1100"/>
      <c r="E69" s="1100">
        <f t="shared" ref="E69:H70" si="25">ROUND((+E79*1.005),2)</f>
        <v>28.82</v>
      </c>
      <c r="F69" s="1100">
        <f t="shared" si="25"/>
        <v>29.99</v>
      </c>
      <c r="G69" s="1100">
        <f t="shared" si="25"/>
        <v>31.19</v>
      </c>
      <c r="H69" s="576">
        <f t="shared" si="25"/>
        <v>32.42</v>
      </c>
      <c r="I69" s="292"/>
    </row>
    <row r="70" spans="1:9" ht="18.75" x14ac:dyDescent="0.3">
      <c r="A70" s="68" t="s">
        <v>1891</v>
      </c>
      <c r="B70" s="1101"/>
      <c r="C70" s="1101"/>
      <c r="D70" s="1101"/>
      <c r="E70" s="1101">
        <f t="shared" si="25"/>
        <v>32.01</v>
      </c>
      <c r="F70" s="1101">
        <f t="shared" si="25"/>
        <v>33.29</v>
      </c>
      <c r="G70" s="1101">
        <f t="shared" si="25"/>
        <v>34.619999999999997</v>
      </c>
      <c r="H70" s="577">
        <f t="shared" si="25"/>
        <v>36.01</v>
      </c>
      <c r="I70" s="292"/>
    </row>
    <row r="71" spans="1:9" ht="18.75" x14ac:dyDescent="0.3">
      <c r="A71" s="55"/>
      <c r="B71" s="1101"/>
      <c r="C71" s="1101"/>
      <c r="D71" s="1101"/>
      <c r="E71" s="1101"/>
      <c r="F71" s="1101"/>
      <c r="G71" s="1101"/>
      <c r="H71" s="1101"/>
      <c r="I71" s="292"/>
    </row>
    <row r="72" spans="1:9" ht="18.75" x14ac:dyDescent="0.3">
      <c r="A72" s="1170" t="s">
        <v>1904</v>
      </c>
      <c r="B72" s="1170"/>
      <c r="C72" s="1170"/>
      <c r="D72" s="1170"/>
      <c r="E72" s="1170"/>
      <c r="F72" s="1170"/>
      <c r="G72" s="1170"/>
      <c r="H72" s="1170"/>
      <c r="I72" s="292"/>
    </row>
    <row r="73" spans="1:9" ht="18.75" x14ac:dyDescent="0.3">
      <c r="A73" s="291" t="s">
        <v>1905</v>
      </c>
      <c r="B73" s="159"/>
      <c r="C73" s="159"/>
      <c r="D73" s="159"/>
      <c r="E73" s="159"/>
      <c r="F73" s="159"/>
      <c r="G73" s="159"/>
      <c r="H73" s="185"/>
      <c r="I73" s="292"/>
    </row>
    <row r="74" spans="1:9" ht="18.75" x14ac:dyDescent="0.3">
      <c r="A74" s="234" t="s">
        <v>874</v>
      </c>
      <c r="H74" s="231"/>
      <c r="I74" s="292"/>
    </row>
    <row r="75" spans="1:9" ht="18.75" x14ac:dyDescent="0.3">
      <c r="A75" s="154" t="s">
        <v>1887</v>
      </c>
      <c r="B75" s="881">
        <v>1</v>
      </c>
      <c r="C75" s="881">
        <v>2</v>
      </c>
      <c r="D75" s="881">
        <v>3</v>
      </c>
      <c r="E75" s="881">
        <v>4</v>
      </c>
      <c r="F75" s="881">
        <v>5</v>
      </c>
      <c r="G75" s="881">
        <v>6</v>
      </c>
      <c r="H75" s="885">
        <v>7</v>
      </c>
      <c r="I75" s="292"/>
    </row>
    <row r="76" spans="1:9" ht="18.75" x14ac:dyDescent="0.3">
      <c r="A76" s="154" t="s">
        <v>1888</v>
      </c>
      <c r="B76" s="1100">
        <f>ROUND((+B86*1.015),2)</f>
        <v>22.06</v>
      </c>
      <c r="C76" s="1100">
        <f t="shared" ref="C76:H76" si="26">ROUND((+C86*1.015),2)</f>
        <v>22.93</v>
      </c>
      <c r="D76" s="1100">
        <f t="shared" si="26"/>
        <v>23.85</v>
      </c>
      <c r="E76" s="1100">
        <f t="shared" si="26"/>
        <v>24.81</v>
      </c>
      <c r="F76" s="1100">
        <f t="shared" si="26"/>
        <v>25.8</v>
      </c>
      <c r="G76" s="1100">
        <f t="shared" si="26"/>
        <v>26.84</v>
      </c>
      <c r="H76" s="576">
        <f t="shared" si="26"/>
        <v>27.9</v>
      </c>
      <c r="I76" s="292"/>
    </row>
    <row r="77" spans="1:9" ht="18.75" x14ac:dyDescent="0.3">
      <c r="A77" s="154" t="s">
        <v>1889</v>
      </c>
      <c r="B77" s="1100">
        <f>ROUND((+B87*1.015),2)</f>
        <v>23.9</v>
      </c>
      <c r="C77" s="1100">
        <f t="shared" ref="C77:H77" si="27">ROUND((+C87*1.015),2)</f>
        <v>24.86</v>
      </c>
      <c r="D77" s="1100">
        <f t="shared" si="27"/>
        <v>25.85</v>
      </c>
      <c r="E77" s="1100">
        <f t="shared" si="27"/>
        <v>26.89</v>
      </c>
      <c r="F77" s="1100">
        <f t="shared" si="27"/>
        <v>27.96</v>
      </c>
      <c r="G77" s="1100">
        <f t="shared" si="27"/>
        <v>29.08</v>
      </c>
      <c r="H77" s="576">
        <f t="shared" si="27"/>
        <v>30.25</v>
      </c>
      <c r="I77" s="292"/>
    </row>
    <row r="78" spans="1:9" ht="18.75" x14ac:dyDescent="0.3">
      <c r="A78" s="154" t="s">
        <v>1887</v>
      </c>
      <c r="B78" s="1100"/>
      <c r="C78" s="1100"/>
      <c r="D78" s="1100"/>
      <c r="E78" s="883">
        <v>1</v>
      </c>
      <c r="F78" s="883">
        <v>2</v>
      </c>
      <c r="G78" s="883">
        <v>3</v>
      </c>
      <c r="H78" s="884">
        <v>4</v>
      </c>
      <c r="I78" s="292"/>
    </row>
    <row r="79" spans="1:9" ht="18.75" x14ac:dyDescent="0.3">
      <c r="A79" s="154" t="s">
        <v>1890</v>
      </c>
      <c r="B79" s="1100"/>
      <c r="C79" s="1100"/>
      <c r="D79" s="1100"/>
      <c r="E79" s="1100">
        <f t="shared" ref="E79:H80" si="28">ROUND((+E89*1.015),2)</f>
        <v>28.68</v>
      </c>
      <c r="F79" s="1100">
        <f t="shared" si="28"/>
        <v>29.84</v>
      </c>
      <c r="G79" s="1100">
        <f t="shared" si="28"/>
        <v>31.03</v>
      </c>
      <c r="H79" s="576">
        <f t="shared" si="28"/>
        <v>32.26</v>
      </c>
      <c r="I79" s="292"/>
    </row>
    <row r="80" spans="1:9" ht="18.75" x14ac:dyDescent="0.3">
      <c r="A80" s="68" t="s">
        <v>1891</v>
      </c>
      <c r="B80" s="1101"/>
      <c r="C80" s="1101"/>
      <c r="D80" s="1101"/>
      <c r="E80" s="1101">
        <f t="shared" si="28"/>
        <v>31.85</v>
      </c>
      <c r="F80" s="1101">
        <f t="shared" si="28"/>
        <v>33.119999999999997</v>
      </c>
      <c r="G80" s="1101">
        <f t="shared" si="28"/>
        <v>34.450000000000003</v>
      </c>
      <c r="H80" s="577">
        <f t="shared" si="28"/>
        <v>35.83</v>
      </c>
      <c r="I80" s="292"/>
    </row>
    <row r="81" spans="1:9" ht="18.75" x14ac:dyDescent="0.3">
      <c r="A81" s="337"/>
      <c r="B81" s="337"/>
      <c r="C81" s="337"/>
      <c r="D81" s="337"/>
      <c r="E81" s="337"/>
      <c r="F81" s="337"/>
      <c r="G81" s="337"/>
      <c r="H81" s="337"/>
      <c r="I81" s="292"/>
    </row>
    <row r="82" spans="1:9" ht="18.75" x14ac:dyDescent="0.3">
      <c r="A82" s="1170" t="s">
        <v>1906</v>
      </c>
      <c r="B82" s="1170"/>
      <c r="C82" s="1170"/>
      <c r="D82" s="1170"/>
      <c r="E82" s="1170"/>
      <c r="F82" s="1170"/>
      <c r="G82" s="1170"/>
      <c r="H82" s="1170"/>
      <c r="I82" s="292"/>
    </row>
    <row r="83" spans="1:9" ht="18.75" x14ac:dyDescent="0.3">
      <c r="A83" s="291" t="s">
        <v>1907</v>
      </c>
      <c r="B83" s="159"/>
      <c r="C83" s="159"/>
      <c r="D83" s="159"/>
      <c r="E83" s="159"/>
      <c r="F83" s="159"/>
      <c r="G83" s="159"/>
      <c r="H83" s="185"/>
      <c r="I83" s="292"/>
    </row>
    <row r="84" spans="1:9" ht="18.75" x14ac:dyDescent="0.3">
      <c r="A84" s="234" t="s">
        <v>874</v>
      </c>
      <c r="H84" s="231"/>
      <c r="I84" s="292"/>
    </row>
    <row r="85" spans="1:9" ht="18.75" x14ac:dyDescent="0.3">
      <c r="A85" s="154" t="s">
        <v>1887</v>
      </c>
      <c r="B85" s="881">
        <v>1</v>
      </c>
      <c r="C85" s="881">
        <v>2</v>
      </c>
      <c r="D85" s="881">
        <v>3</v>
      </c>
      <c r="E85" s="881">
        <v>4</v>
      </c>
      <c r="F85" s="881">
        <v>5</v>
      </c>
      <c r="G85" s="881">
        <v>6</v>
      </c>
      <c r="H85" s="885">
        <v>7</v>
      </c>
      <c r="I85" s="292"/>
    </row>
    <row r="86" spans="1:9" ht="18.75" x14ac:dyDescent="0.3">
      <c r="A86" s="154" t="s">
        <v>1888</v>
      </c>
      <c r="B86" s="1100">
        <f>ROUND((+B97*1.01),2)</f>
        <v>21.73</v>
      </c>
      <c r="C86" s="1100">
        <f t="shared" ref="C86:H86" si="29">ROUND((+C97*1.01),2)</f>
        <v>22.59</v>
      </c>
      <c r="D86" s="1100">
        <f t="shared" si="29"/>
        <v>23.5</v>
      </c>
      <c r="E86" s="1100">
        <f t="shared" si="29"/>
        <v>24.44</v>
      </c>
      <c r="F86" s="1100">
        <f t="shared" si="29"/>
        <v>25.42</v>
      </c>
      <c r="G86" s="1100">
        <f t="shared" si="29"/>
        <v>26.44</v>
      </c>
      <c r="H86" s="576">
        <f t="shared" si="29"/>
        <v>27.49</v>
      </c>
      <c r="I86" s="292"/>
    </row>
    <row r="87" spans="1:9" ht="18.75" x14ac:dyDescent="0.3">
      <c r="A87" s="154" t="s">
        <v>1889</v>
      </c>
      <c r="B87" s="1100">
        <f t="shared" ref="B87:H87" si="30">ROUND((+B98*1.01),2)</f>
        <v>23.55</v>
      </c>
      <c r="C87" s="1100">
        <f t="shared" si="30"/>
        <v>24.49</v>
      </c>
      <c r="D87" s="1100">
        <f t="shared" si="30"/>
        <v>25.47</v>
      </c>
      <c r="E87" s="1100">
        <f t="shared" si="30"/>
        <v>26.49</v>
      </c>
      <c r="F87" s="1100">
        <f t="shared" si="30"/>
        <v>27.55</v>
      </c>
      <c r="G87" s="1100">
        <f t="shared" si="30"/>
        <v>28.65</v>
      </c>
      <c r="H87" s="576">
        <f t="shared" si="30"/>
        <v>29.8</v>
      </c>
      <c r="I87" s="292"/>
    </row>
    <row r="88" spans="1:9" ht="18.75" x14ac:dyDescent="0.3">
      <c r="A88" s="154" t="s">
        <v>1887</v>
      </c>
      <c r="B88" s="1100"/>
      <c r="C88" s="1100"/>
      <c r="D88" s="1100"/>
      <c r="E88" s="883">
        <v>1</v>
      </c>
      <c r="F88" s="883">
        <v>2</v>
      </c>
      <c r="G88" s="883">
        <v>3</v>
      </c>
      <c r="H88" s="884">
        <v>4</v>
      </c>
      <c r="I88" s="292"/>
    </row>
    <row r="89" spans="1:9" ht="18.75" x14ac:dyDescent="0.3">
      <c r="A89" s="154" t="s">
        <v>1890</v>
      </c>
      <c r="B89" s="1100"/>
      <c r="C89" s="1100"/>
      <c r="D89" s="1100"/>
      <c r="E89" s="1100">
        <f t="shared" ref="E89:H90" si="31">ROUND((+E100*1.01),2)</f>
        <v>28.26</v>
      </c>
      <c r="F89" s="1100">
        <f t="shared" si="31"/>
        <v>29.4</v>
      </c>
      <c r="G89" s="1100">
        <f t="shared" si="31"/>
        <v>30.57</v>
      </c>
      <c r="H89" s="576">
        <f t="shared" si="31"/>
        <v>31.78</v>
      </c>
      <c r="I89" s="292"/>
    </row>
    <row r="90" spans="1:9" ht="18.75" x14ac:dyDescent="0.3">
      <c r="A90" s="68" t="s">
        <v>1891</v>
      </c>
      <c r="B90" s="1101"/>
      <c r="C90" s="1101"/>
      <c r="D90" s="1101"/>
      <c r="E90" s="1101">
        <f t="shared" si="31"/>
        <v>31.38</v>
      </c>
      <c r="F90" s="1101">
        <f t="shared" si="31"/>
        <v>32.630000000000003</v>
      </c>
      <c r="G90" s="1101">
        <f t="shared" si="31"/>
        <v>33.94</v>
      </c>
      <c r="H90" s="577">
        <f t="shared" si="31"/>
        <v>35.299999999999997</v>
      </c>
      <c r="I90" s="292"/>
    </row>
    <row r="91" spans="1:9" ht="18.75" x14ac:dyDescent="0.3">
      <c r="A91" s="292"/>
      <c r="B91" s="292"/>
      <c r="C91" s="292"/>
      <c r="D91" s="292"/>
      <c r="E91" s="292"/>
      <c r="F91" s="292"/>
      <c r="G91" s="292"/>
      <c r="H91" s="292"/>
      <c r="I91" s="292"/>
    </row>
    <row r="92" spans="1:9" ht="18.75" x14ac:dyDescent="0.3">
      <c r="A92" s="292"/>
      <c r="B92" s="292"/>
      <c r="C92" s="292"/>
      <c r="D92" s="292"/>
      <c r="E92" s="292"/>
      <c r="F92" s="292"/>
      <c r="G92" s="292"/>
      <c r="H92" s="292"/>
      <c r="I92" s="292"/>
    </row>
    <row r="93" spans="1:9" ht="15.75" x14ac:dyDescent="0.25">
      <c r="A93" s="1170" t="s">
        <v>1908</v>
      </c>
      <c r="B93" s="1170"/>
      <c r="C93" s="1170"/>
      <c r="D93" s="1170"/>
      <c r="E93" s="1170"/>
      <c r="F93" s="1170"/>
      <c r="G93" s="1170"/>
      <c r="H93" s="1170"/>
    </row>
    <row r="94" spans="1:9" x14ac:dyDescent="0.2">
      <c r="A94" s="291" t="s">
        <v>1909</v>
      </c>
      <c r="B94" s="159"/>
      <c r="C94" s="159"/>
      <c r="D94" s="159"/>
      <c r="E94" s="159"/>
      <c r="F94" s="159"/>
      <c r="G94" s="159"/>
      <c r="H94" s="185"/>
      <c r="I94" s="125"/>
    </row>
    <row r="95" spans="1:9" x14ac:dyDescent="0.2">
      <c r="A95" s="234" t="s">
        <v>874</v>
      </c>
      <c r="H95" s="231"/>
      <c r="I95" s="215"/>
    </row>
    <row r="96" spans="1:9" x14ac:dyDescent="0.2">
      <c r="A96" s="154" t="s">
        <v>1887</v>
      </c>
      <c r="B96" s="881">
        <v>1</v>
      </c>
      <c r="C96" s="881">
        <v>2</v>
      </c>
      <c r="D96" s="881">
        <v>3</v>
      </c>
      <c r="E96" s="881">
        <v>4</v>
      </c>
      <c r="F96" s="881">
        <v>5</v>
      </c>
      <c r="G96" s="881">
        <v>6</v>
      </c>
      <c r="H96" s="885">
        <v>7</v>
      </c>
      <c r="I96" s="215"/>
    </row>
    <row r="97" spans="1:9" ht="14.25" x14ac:dyDescent="0.2">
      <c r="A97" s="154" t="s">
        <v>1888</v>
      </c>
      <c r="B97" s="1100">
        <f>ROUND((+B108*1.01),2)</f>
        <v>21.51</v>
      </c>
      <c r="C97" s="1100">
        <f t="shared" ref="C97:H97" si="32">ROUND((+C108*1.01),2)</f>
        <v>22.37</v>
      </c>
      <c r="D97" s="1100">
        <f t="shared" si="32"/>
        <v>23.27</v>
      </c>
      <c r="E97" s="1100">
        <f t="shared" si="32"/>
        <v>24.2</v>
      </c>
      <c r="F97" s="1100">
        <f t="shared" si="32"/>
        <v>25.17</v>
      </c>
      <c r="G97" s="1100">
        <f t="shared" si="32"/>
        <v>26.18</v>
      </c>
      <c r="H97" s="576">
        <f t="shared" si="32"/>
        <v>27.22</v>
      </c>
      <c r="I97" s="215"/>
    </row>
    <row r="98" spans="1:9" ht="14.25" x14ac:dyDescent="0.2">
      <c r="A98" s="154" t="s">
        <v>1889</v>
      </c>
      <c r="B98" s="1100">
        <f>ROUND((+B109*1.01),2)</f>
        <v>23.32</v>
      </c>
      <c r="C98" s="1100">
        <f t="shared" ref="C98:H98" si="33">ROUND((+C109*1.01),2)</f>
        <v>24.25</v>
      </c>
      <c r="D98" s="1100">
        <f t="shared" si="33"/>
        <v>25.22</v>
      </c>
      <c r="E98" s="1100">
        <f t="shared" si="33"/>
        <v>26.23</v>
      </c>
      <c r="F98" s="1100">
        <f t="shared" si="33"/>
        <v>27.28</v>
      </c>
      <c r="G98" s="1100">
        <f t="shared" si="33"/>
        <v>28.37</v>
      </c>
      <c r="H98" s="576">
        <f t="shared" si="33"/>
        <v>29.5</v>
      </c>
      <c r="I98" s="215"/>
    </row>
    <row r="99" spans="1:9" ht="14.25" x14ac:dyDescent="0.2">
      <c r="A99" s="154" t="s">
        <v>1887</v>
      </c>
      <c r="B99" s="1100"/>
      <c r="C99" s="1100"/>
      <c r="D99" s="1100"/>
      <c r="E99" s="883">
        <v>1</v>
      </c>
      <c r="F99" s="883">
        <v>2</v>
      </c>
      <c r="G99" s="883">
        <v>3</v>
      </c>
      <c r="H99" s="884">
        <v>4</v>
      </c>
      <c r="I99" s="215"/>
    </row>
    <row r="100" spans="1:9" ht="14.25" x14ac:dyDescent="0.2">
      <c r="A100" s="154" t="s">
        <v>1890</v>
      </c>
      <c r="B100" s="1100"/>
      <c r="C100" s="1100"/>
      <c r="D100" s="1100"/>
      <c r="E100" s="1100">
        <f t="shared" ref="E100:H101" si="34">ROUND((+E111*1.01),2)</f>
        <v>27.98</v>
      </c>
      <c r="F100" s="1100">
        <f t="shared" si="34"/>
        <v>29.11</v>
      </c>
      <c r="G100" s="1100">
        <f t="shared" si="34"/>
        <v>30.27</v>
      </c>
      <c r="H100" s="576">
        <f t="shared" si="34"/>
        <v>31.47</v>
      </c>
      <c r="I100" s="215"/>
    </row>
    <row r="101" spans="1:9" ht="14.25" x14ac:dyDescent="0.2">
      <c r="A101" s="68" t="s">
        <v>1891</v>
      </c>
      <c r="B101" s="1101"/>
      <c r="C101" s="1101"/>
      <c r="D101" s="1101"/>
      <c r="E101" s="1101">
        <f t="shared" si="34"/>
        <v>31.07</v>
      </c>
      <c r="F101" s="1101">
        <f t="shared" si="34"/>
        <v>32.31</v>
      </c>
      <c r="G101" s="1101">
        <f t="shared" si="34"/>
        <v>33.6</v>
      </c>
      <c r="H101" s="577">
        <f t="shared" si="34"/>
        <v>34.950000000000003</v>
      </c>
      <c r="I101" s="215"/>
    </row>
    <row r="103" spans="1:9" ht="18.75" x14ac:dyDescent="0.3">
      <c r="A103" s="1169" t="s">
        <v>1884</v>
      </c>
      <c r="B103" s="1169"/>
      <c r="C103" s="1169"/>
      <c r="D103" s="1169"/>
      <c r="E103" s="1169"/>
      <c r="F103" s="1169"/>
      <c r="G103" s="1169"/>
      <c r="H103" s="1169"/>
      <c r="I103" s="1169"/>
    </row>
    <row r="104" spans="1:9" ht="15.75" x14ac:dyDescent="0.25">
      <c r="A104" s="1170" t="s">
        <v>1910</v>
      </c>
      <c r="B104" s="1170"/>
      <c r="C104" s="1170"/>
      <c r="D104" s="1170"/>
      <c r="E104" s="1170"/>
      <c r="F104" s="1170"/>
      <c r="G104" s="1170"/>
      <c r="H104" s="1170"/>
    </row>
    <row r="105" spans="1:9" x14ac:dyDescent="0.2">
      <c r="A105" s="291" t="s">
        <v>1911</v>
      </c>
      <c r="B105" s="159"/>
      <c r="C105" s="159"/>
      <c r="D105" s="159"/>
      <c r="E105" s="159"/>
      <c r="F105" s="159"/>
      <c r="G105" s="159"/>
      <c r="H105" s="185"/>
      <c r="I105" s="125"/>
    </row>
    <row r="106" spans="1:9" x14ac:dyDescent="0.2">
      <c r="A106" s="234" t="s">
        <v>874</v>
      </c>
      <c r="H106" s="231"/>
      <c r="I106" s="215"/>
    </row>
    <row r="107" spans="1:9" x14ac:dyDescent="0.2">
      <c r="A107" s="154" t="s">
        <v>1887</v>
      </c>
      <c r="B107" s="881">
        <v>1</v>
      </c>
      <c r="C107" s="881">
        <v>2</v>
      </c>
      <c r="D107" s="881">
        <v>3</v>
      </c>
      <c r="E107" s="881">
        <v>4</v>
      </c>
      <c r="F107" s="881">
        <v>5</v>
      </c>
      <c r="G107" s="881">
        <v>6</v>
      </c>
      <c r="H107" s="885">
        <v>7</v>
      </c>
      <c r="I107" s="215"/>
    </row>
    <row r="108" spans="1:9" ht="14.25" x14ac:dyDescent="0.2">
      <c r="A108" s="154" t="s">
        <v>1888</v>
      </c>
      <c r="B108" s="1100">
        <f t="shared" ref="B108:H109" si="35">ROUND((+B118*1.01),2)</f>
        <v>21.3</v>
      </c>
      <c r="C108" s="1100">
        <f t="shared" si="35"/>
        <v>22.15</v>
      </c>
      <c r="D108" s="1100">
        <f t="shared" si="35"/>
        <v>23.04</v>
      </c>
      <c r="E108" s="1100">
        <f t="shared" si="35"/>
        <v>23.96</v>
      </c>
      <c r="F108" s="1100">
        <f t="shared" si="35"/>
        <v>24.92</v>
      </c>
      <c r="G108" s="1100">
        <f t="shared" si="35"/>
        <v>25.92</v>
      </c>
      <c r="H108" s="576">
        <f t="shared" si="35"/>
        <v>26.95</v>
      </c>
      <c r="I108" s="215"/>
    </row>
    <row r="109" spans="1:9" ht="14.25" x14ac:dyDescent="0.2">
      <c r="A109" s="154" t="s">
        <v>1889</v>
      </c>
      <c r="B109" s="1100">
        <f t="shared" si="35"/>
        <v>23.09</v>
      </c>
      <c r="C109" s="1100">
        <f t="shared" si="35"/>
        <v>24.01</v>
      </c>
      <c r="D109" s="1100">
        <f t="shared" si="35"/>
        <v>24.97</v>
      </c>
      <c r="E109" s="1100">
        <f t="shared" si="35"/>
        <v>25.97</v>
      </c>
      <c r="F109" s="1100">
        <f t="shared" si="35"/>
        <v>27.01</v>
      </c>
      <c r="G109" s="1100">
        <f t="shared" si="35"/>
        <v>28.09</v>
      </c>
      <c r="H109" s="576">
        <f t="shared" si="35"/>
        <v>29.21</v>
      </c>
      <c r="I109" s="215"/>
    </row>
    <row r="110" spans="1:9" ht="14.25" x14ac:dyDescent="0.2">
      <c r="A110" s="154" t="s">
        <v>1887</v>
      </c>
      <c r="B110" s="1100"/>
      <c r="C110" s="1100"/>
      <c r="D110" s="1100"/>
      <c r="E110" s="232">
        <v>1</v>
      </c>
      <c r="F110" s="232">
        <v>2</v>
      </c>
      <c r="G110" s="232">
        <v>3</v>
      </c>
      <c r="H110" s="233">
        <v>4</v>
      </c>
      <c r="I110" s="215"/>
    </row>
    <row r="111" spans="1:9" ht="14.25" x14ac:dyDescent="0.2">
      <c r="A111" s="154" t="s">
        <v>1890</v>
      </c>
      <c r="B111" s="1100"/>
      <c r="C111" s="1100"/>
      <c r="D111" s="1100"/>
      <c r="E111" s="1100">
        <f t="shared" ref="E111:H112" si="36">ROUND((+E121*1.01),2)</f>
        <v>27.7</v>
      </c>
      <c r="F111" s="1100">
        <f t="shared" si="36"/>
        <v>28.82</v>
      </c>
      <c r="G111" s="1100">
        <f t="shared" si="36"/>
        <v>29.97</v>
      </c>
      <c r="H111" s="576">
        <f t="shared" si="36"/>
        <v>31.16</v>
      </c>
      <c r="I111" s="215"/>
    </row>
    <row r="112" spans="1:9" ht="14.25" x14ac:dyDescent="0.2">
      <c r="A112" s="68" t="s">
        <v>1891</v>
      </c>
      <c r="B112" s="1101"/>
      <c r="C112" s="1101"/>
      <c r="D112" s="1101"/>
      <c r="E112" s="1101">
        <f t="shared" si="36"/>
        <v>30.76</v>
      </c>
      <c r="F112" s="1101">
        <f t="shared" si="36"/>
        <v>31.99</v>
      </c>
      <c r="G112" s="1101">
        <f t="shared" si="36"/>
        <v>33.270000000000003</v>
      </c>
      <c r="H112" s="577">
        <f t="shared" si="36"/>
        <v>34.6</v>
      </c>
      <c r="I112" s="215"/>
    </row>
    <row r="113" spans="1:9" x14ac:dyDescent="0.2">
      <c r="A113" s="124"/>
      <c r="B113" s="215"/>
      <c r="C113" s="215"/>
      <c r="D113" s="215"/>
      <c r="E113" s="215"/>
      <c r="F113" s="215"/>
      <c r="G113" s="215"/>
      <c r="H113" s="215"/>
      <c r="I113" s="215"/>
    </row>
    <row r="115" spans="1:9" x14ac:dyDescent="0.2">
      <c r="A115" s="220" t="s">
        <v>1912</v>
      </c>
    </row>
    <row r="116" spans="1:9" x14ac:dyDescent="0.2">
      <c r="A116" s="235" t="s">
        <v>874</v>
      </c>
      <c r="B116" s="159"/>
      <c r="C116" s="159"/>
      <c r="D116" s="159"/>
      <c r="E116" s="159"/>
      <c r="F116" s="159"/>
      <c r="G116" s="159"/>
      <c r="H116" s="185"/>
    </row>
    <row r="117" spans="1:9" x14ac:dyDescent="0.2">
      <c r="A117" s="154" t="s">
        <v>1887</v>
      </c>
      <c r="B117" s="881">
        <v>1</v>
      </c>
      <c r="C117" s="881">
        <v>2</v>
      </c>
      <c r="D117" s="881">
        <v>3</v>
      </c>
      <c r="E117" s="881">
        <v>4</v>
      </c>
      <c r="F117" s="881">
        <v>5</v>
      </c>
      <c r="G117" s="881">
        <v>6</v>
      </c>
      <c r="H117" s="885">
        <v>7</v>
      </c>
    </row>
    <row r="118" spans="1:9" ht="14.25" x14ac:dyDescent="0.2">
      <c r="A118" s="154" t="s">
        <v>1888</v>
      </c>
      <c r="B118" s="1100">
        <v>21.09</v>
      </c>
      <c r="C118" s="1100">
        <v>21.93</v>
      </c>
      <c r="D118" s="1100">
        <v>22.81</v>
      </c>
      <c r="E118" s="1100">
        <v>23.72</v>
      </c>
      <c r="F118" s="1100">
        <v>24.67</v>
      </c>
      <c r="G118" s="1100">
        <v>25.66</v>
      </c>
      <c r="H118" s="576">
        <v>26.68</v>
      </c>
    </row>
    <row r="119" spans="1:9" ht="14.25" x14ac:dyDescent="0.2">
      <c r="A119" s="154" t="s">
        <v>1889</v>
      </c>
      <c r="B119" s="1100">
        <v>22.86</v>
      </c>
      <c r="C119" s="1100">
        <v>23.77</v>
      </c>
      <c r="D119" s="1100">
        <v>24.72</v>
      </c>
      <c r="E119" s="1100">
        <v>25.71</v>
      </c>
      <c r="F119" s="1100">
        <v>26.74</v>
      </c>
      <c r="G119" s="1100">
        <v>27.81</v>
      </c>
      <c r="H119" s="576">
        <v>28.92</v>
      </c>
    </row>
    <row r="120" spans="1:9" ht="14.25" x14ac:dyDescent="0.2">
      <c r="A120" s="154" t="s">
        <v>1887</v>
      </c>
      <c r="B120" s="1100"/>
      <c r="C120" s="1100"/>
      <c r="D120" s="1100"/>
      <c r="E120" s="883">
        <v>1</v>
      </c>
      <c r="F120" s="883">
        <v>2</v>
      </c>
      <c r="G120" s="883">
        <v>3</v>
      </c>
      <c r="H120" s="884">
        <v>4</v>
      </c>
    </row>
    <row r="121" spans="1:9" ht="14.25" x14ac:dyDescent="0.2">
      <c r="A121" s="154" t="s">
        <v>1890</v>
      </c>
      <c r="B121" s="1100"/>
      <c r="C121" s="1100"/>
      <c r="D121" s="1100"/>
      <c r="E121" s="1100">
        <v>27.43</v>
      </c>
      <c r="F121" s="1100">
        <v>28.53</v>
      </c>
      <c r="G121" s="1100">
        <v>29.67</v>
      </c>
      <c r="H121" s="576">
        <v>30.85</v>
      </c>
    </row>
    <row r="122" spans="1:9" ht="14.25" x14ac:dyDescent="0.2">
      <c r="A122" s="68" t="s">
        <v>1891</v>
      </c>
      <c r="B122" s="1101"/>
      <c r="C122" s="1101"/>
      <c r="D122" s="1101"/>
      <c r="E122" s="1101">
        <v>30.46</v>
      </c>
      <c r="F122" s="1101">
        <v>31.67</v>
      </c>
      <c r="G122" s="1101">
        <v>32.94</v>
      </c>
      <c r="H122" s="577">
        <v>34.26</v>
      </c>
    </row>
    <row r="125" spans="1:9" x14ac:dyDescent="0.2">
      <c r="A125" s="220" t="s">
        <v>1909</v>
      </c>
    </row>
    <row r="126" spans="1:9" x14ac:dyDescent="0.2">
      <c r="A126" s="234" t="s">
        <v>874</v>
      </c>
      <c r="H126" s="231"/>
    </row>
    <row r="127" spans="1:9" x14ac:dyDescent="0.2">
      <c r="A127" s="154" t="s">
        <v>1887</v>
      </c>
      <c r="B127" s="881">
        <v>1</v>
      </c>
      <c r="C127" s="881">
        <v>2</v>
      </c>
      <c r="D127" s="881">
        <v>3</v>
      </c>
      <c r="E127" s="881">
        <v>4</v>
      </c>
      <c r="F127" s="881">
        <v>5</v>
      </c>
      <c r="G127" s="881">
        <v>6</v>
      </c>
      <c r="H127" s="885">
        <v>7</v>
      </c>
    </row>
    <row r="128" spans="1:9" ht="14.25" x14ac:dyDescent="0.2">
      <c r="A128" s="154" t="s">
        <v>1888</v>
      </c>
      <c r="B128" s="1100">
        <f>ROUND((+B108*1.01),2)</f>
        <v>21.51</v>
      </c>
      <c r="C128" s="1100">
        <f t="shared" ref="C128:H128" si="37">ROUND((+C108*1.01),2)</f>
        <v>22.37</v>
      </c>
      <c r="D128" s="1100">
        <f t="shared" si="37"/>
        <v>23.27</v>
      </c>
      <c r="E128" s="1100">
        <f t="shared" si="37"/>
        <v>24.2</v>
      </c>
      <c r="F128" s="1100">
        <f t="shared" si="37"/>
        <v>25.17</v>
      </c>
      <c r="G128" s="1100">
        <f t="shared" si="37"/>
        <v>26.18</v>
      </c>
      <c r="H128" s="576">
        <f t="shared" si="37"/>
        <v>27.22</v>
      </c>
    </row>
    <row r="129" spans="1:8" ht="14.25" x14ac:dyDescent="0.2">
      <c r="A129" s="154" t="s">
        <v>1889</v>
      </c>
      <c r="B129" s="1100">
        <f>ROUND((+B109*1.01),2)</f>
        <v>23.32</v>
      </c>
      <c r="C129" s="1100">
        <f t="shared" ref="C129:H129" si="38">ROUND((+C109*1.01),2)</f>
        <v>24.25</v>
      </c>
      <c r="D129" s="1100">
        <f t="shared" si="38"/>
        <v>25.22</v>
      </c>
      <c r="E129" s="1100">
        <f t="shared" si="38"/>
        <v>26.23</v>
      </c>
      <c r="F129" s="1100">
        <f t="shared" si="38"/>
        <v>27.28</v>
      </c>
      <c r="G129" s="1100">
        <f t="shared" si="38"/>
        <v>28.37</v>
      </c>
      <c r="H129" s="576">
        <f t="shared" si="38"/>
        <v>29.5</v>
      </c>
    </row>
    <row r="130" spans="1:8" ht="14.25" x14ac:dyDescent="0.2">
      <c r="A130" s="154" t="s">
        <v>1887</v>
      </c>
      <c r="B130" s="1100"/>
      <c r="C130" s="1100"/>
      <c r="D130" s="1100"/>
      <c r="E130" s="883">
        <v>1</v>
      </c>
      <c r="F130" s="883">
        <v>2</v>
      </c>
      <c r="G130" s="883">
        <v>3</v>
      </c>
      <c r="H130" s="884">
        <v>4</v>
      </c>
    </row>
    <row r="131" spans="1:8" ht="14.25" x14ac:dyDescent="0.2">
      <c r="A131" s="154" t="s">
        <v>1890</v>
      </c>
      <c r="B131" s="1100"/>
      <c r="C131" s="1100"/>
      <c r="D131" s="1100"/>
      <c r="E131" s="1100">
        <f t="shared" ref="E131:H132" si="39">ROUND((+E111*1.01),2)</f>
        <v>27.98</v>
      </c>
      <c r="F131" s="1100">
        <f t="shared" si="39"/>
        <v>29.11</v>
      </c>
      <c r="G131" s="1100">
        <f t="shared" si="39"/>
        <v>30.27</v>
      </c>
      <c r="H131" s="576">
        <f t="shared" si="39"/>
        <v>31.47</v>
      </c>
    </row>
    <row r="132" spans="1:8" ht="14.25" x14ac:dyDescent="0.2">
      <c r="A132" s="68" t="s">
        <v>1891</v>
      </c>
      <c r="B132" s="1101"/>
      <c r="C132" s="1101"/>
      <c r="D132" s="1101"/>
      <c r="E132" s="1101">
        <f t="shared" si="39"/>
        <v>31.07</v>
      </c>
      <c r="F132" s="1101">
        <f t="shared" si="39"/>
        <v>32.31</v>
      </c>
      <c r="G132" s="1101">
        <f t="shared" si="39"/>
        <v>33.6</v>
      </c>
      <c r="H132" s="577">
        <f t="shared" si="39"/>
        <v>34.950000000000003</v>
      </c>
    </row>
  </sheetData>
  <mergeCells count="13">
    <mergeCell ref="A103:I103"/>
    <mergeCell ref="A104:H104"/>
    <mergeCell ref="A1:I1"/>
    <mergeCell ref="A93:H93"/>
    <mergeCell ref="A72:H72"/>
    <mergeCell ref="A82:H82"/>
    <mergeCell ref="A42:H42"/>
    <mergeCell ref="A62:H62"/>
    <mergeCell ref="A52:H52"/>
    <mergeCell ref="A2:H2"/>
    <mergeCell ref="A32:H32"/>
    <mergeCell ref="A22:H22"/>
    <mergeCell ref="A12:H12"/>
  </mergeCells>
  <phoneticPr fontId="15" type="noConversion"/>
  <hyperlinks>
    <hyperlink ref="I2" location="'Table of Contents'!A1" display="TOC" xr:uid="{00000000-0004-0000-4000-000000000000}"/>
    <hyperlink ref="I22" location="'Table of Contents'!A1" display="TOC" xr:uid="{00000000-0004-0000-4000-000001000000}"/>
    <hyperlink ref="I12" location="'Table of Contents'!A1" display="TOC" xr:uid="{58EE45A2-5DF5-4126-AB9F-FD7864093412}"/>
  </hyperlinks>
  <pageMargins left="0.75" right="0.75" top="1" bottom="1" header="0.5" footer="0.5"/>
  <pageSetup orientation="portrait" r:id="rId1"/>
  <headerFooter alignWithMargins="0">
    <oddFooter>&amp;L&amp;D &amp;T&amp;C&amp;F&amp;R&amp;A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92D050"/>
    <pageSetUpPr fitToPage="1"/>
  </sheetPr>
  <dimension ref="A1:O225"/>
  <sheetViews>
    <sheetView workbookViewId="0">
      <selection activeCell="D7" sqref="D7"/>
    </sheetView>
  </sheetViews>
  <sheetFormatPr defaultRowHeight="12.75" x14ac:dyDescent="0.2"/>
  <cols>
    <col min="1" max="1" width="10.1640625" style="125" customWidth="1"/>
    <col min="2" max="2" width="9.5" customWidth="1"/>
    <col min="3" max="3" width="9.6640625" customWidth="1"/>
    <col min="4" max="11" width="9.5" bestFit="1" customWidth="1"/>
    <col min="12" max="12" width="8.6640625" customWidth="1"/>
    <col min="13" max="13" width="12.83203125" customWidth="1"/>
  </cols>
  <sheetData>
    <row r="1" spans="1:12" x14ac:dyDescent="0.2">
      <c r="A1" s="888" t="s">
        <v>1913</v>
      </c>
      <c r="B1" s="335"/>
      <c r="C1" s="335"/>
      <c r="D1" s="335"/>
      <c r="E1" s="922">
        <v>2.5000000000000001E-2</v>
      </c>
      <c r="G1" s="308" t="s">
        <v>197</v>
      </c>
    </row>
    <row r="2" spans="1:12" x14ac:dyDescent="0.2">
      <c r="B2" s="220" t="s">
        <v>1887</v>
      </c>
    </row>
    <row r="3" spans="1:12" x14ac:dyDescent="0.2">
      <c r="A3" s="288" t="s">
        <v>1914</v>
      </c>
      <c r="B3" s="828">
        <v>1</v>
      </c>
      <c r="C3" s="828">
        <v>1</v>
      </c>
      <c r="D3" s="828">
        <v>2</v>
      </c>
      <c r="E3" s="828">
        <v>3</v>
      </c>
      <c r="F3" s="828">
        <v>4</v>
      </c>
      <c r="G3" s="828">
        <v>5</v>
      </c>
      <c r="H3" s="828">
        <v>6</v>
      </c>
      <c r="I3" s="828">
        <v>7</v>
      </c>
      <c r="J3" s="828">
        <v>8</v>
      </c>
      <c r="K3" s="828">
        <v>9</v>
      </c>
      <c r="L3" s="828">
        <v>10</v>
      </c>
    </row>
    <row r="4" spans="1:12" x14ac:dyDescent="0.2">
      <c r="A4" s="288" t="s">
        <v>1804</v>
      </c>
      <c r="B4" s="236"/>
      <c r="C4" s="236">
        <f>ROUND((+C26*(1+$E$1)),2)</f>
        <v>16.350000000000001</v>
      </c>
      <c r="D4" s="236">
        <f t="shared" ref="D4:L4" si="0">ROUND((+D26*(1+$E$1)),2)</f>
        <v>16.75</v>
      </c>
      <c r="E4" s="236">
        <f t="shared" si="0"/>
        <v>17.2</v>
      </c>
      <c r="F4" s="236">
        <f t="shared" si="0"/>
        <v>17.59</v>
      </c>
      <c r="G4" s="236">
        <f t="shared" si="0"/>
        <v>18.04</v>
      </c>
      <c r="H4" s="236">
        <f t="shared" si="0"/>
        <v>18.45</v>
      </c>
      <c r="I4" s="236">
        <f t="shared" si="0"/>
        <v>18.86</v>
      </c>
      <c r="J4" s="236">
        <f t="shared" si="0"/>
        <v>19.25</v>
      </c>
      <c r="K4" s="236">
        <f t="shared" si="0"/>
        <v>19.63</v>
      </c>
      <c r="L4" s="236">
        <f t="shared" si="0"/>
        <v>20.12</v>
      </c>
    </row>
    <row r="5" spans="1:12" x14ac:dyDescent="0.2">
      <c r="A5" s="288" t="s">
        <v>1808</v>
      </c>
      <c r="B5" s="236"/>
      <c r="C5" s="236">
        <f t="shared" ref="C5:L8" si="1">ROUND((+C27*(1+$E$1)),2)</f>
        <v>19.28</v>
      </c>
      <c r="D5" s="236">
        <f t="shared" si="1"/>
        <v>19.75</v>
      </c>
      <c r="E5" s="236">
        <f t="shared" si="1"/>
        <v>20.239999999999998</v>
      </c>
      <c r="F5" s="236">
        <f t="shared" si="1"/>
        <v>20.76</v>
      </c>
      <c r="G5" s="236">
        <f t="shared" si="1"/>
        <v>21.27</v>
      </c>
      <c r="H5" s="236">
        <f t="shared" si="1"/>
        <v>21.82</v>
      </c>
      <c r="I5" s="236">
        <f t="shared" si="1"/>
        <v>22.23</v>
      </c>
      <c r="J5" s="236">
        <f t="shared" si="1"/>
        <v>22.7</v>
      </c>
      <c r="K5" s="236">
        <f t="shared" si="1"/>
        <v>23.14</v>
      </c>
      <c r="L5" s="236">
        <f t="shared" si="1"/>
        <v>23.72</v>
      </c>
    </row>
    <row r="6" spans="1:12" x14ac:dyDescent="0.2">
      <c r="A6" s="288" t="s">
        <v>1814</v>
      </c>
      <c r="B6" s="236"/>
      <c r="C6" s="236">
        <f t="shared" si="1"/>
        <v>20.75</v>
      </c>
      <c r="D6" s="236">
        <f t="shared" si="1"/>
        <v>21.25</v>
      </c>
      <c r="E6" s="236">
        <f t="shared" si="1"/>
        <v>21.8</v>
      </c>
      <c r="F6" s="236">
        <f t="shared" si="1"/>
        <v>22.31</v>
      </c>
      <c r="G6" s="236">
        <f t="shared" si="1"/>
        <v>22.91</v>
      </c>
      <c r="H6" s="236">
        <f t="shared" si="1"/>
        <v>23.45</v>
      </c>
      <c r="I6" s="236">
        <f t="shared" si="1"/>
        <v>23.94</v>
      </c>
      <c r="J6" s="236">
        <f t="shared" si="1"/>
        <v>24.41</v>
      </c>
      <c r="K6" s="236">
        <f t="shared" si="1"/>
        <v>24.9</v>
      </c>
      <c r="L6" s="236">
        <f t="shared" si="1"/>
        <v>25.52</v>
      </c>
    </row>
    <row r="7" spans="1:12" x14ac:dyDescent="0.2">
      <c r="A7" s="288" t="s">
        <v>1817</v>
      </c>
      <c r="B7" s="236"/>
      <c r="C7" s="236">
        <f t="shared" si="1"/>
        <v>22.6</v>
      </c>
      <c r="D7" s="236">
        <f t="shared" si="1"/>
        <v>23.17</v>
      </c>
      <c r="E7" s="236">
        <f t="shared" si="1"/>
        <v>23.74</v>
      </c>
      <c r="F7" s="236">
        <f t="shared" si="1"/>
        <v>24.33</v>
      </c>
      <c r="G7" s="236">
        <f t="shared" si="1"/>
        <v>24.96</v>
      </c>
      <c r="H7" s="236">
        <f t="shared" si="1"/>
        <v>25.58</v>
      </c>
      <c r="I7" s="236">
        <f t="shared" si="1"/>
        <v>26.09</v>
      </c>
      <c r="J7" s="236">
        <f t="shared" si="1"/>
        <v>26.62</v>
      </c>
      <c r="K7" s="236">
        <f t="shared" si="1"/>
        <v>27.13</v>
      </c>
      <c r="L7" s="236">
        <f t="shared" si="1"/>
        <v>27.81</v>
      </c>
    </row>
    <row r="8" spans="1:12" x14ac:dyDescent="0.2">
      <c r="A8" s="288" t="s">
        <v>1915</v>
      </c>
      <c r="B8" s="236"/>
      <c r="C8" s="236">
        <f t="shared" si="1"/>
        <v>24.4</v>
      </c>
      <c r="D8" s="236">
        <f t="shared" si="1"/>
        <v>25.02</v>
      </c>
      <c r="E8" s="236">
        <f t="shared" si="1"/>
        <v>25.64</v>
      </c>
      <c r="F8" s="236">
        <f t="shared" si="1"/>
        <v>26.28</v>
      </c>
      <c r="G8" s="236">
        <f t="shared" si="1"/>
        <v>26.94</v>
      </c>
      <c r="H8" s="236">
        <f t="shared" si="1"/>
        <v>27.6</v>
      </c>
      <c r="I8" s="236">
        <f t="shared" si="1"/>
        <v>28.16</v>
      </c>
      <c r="J8" s="236">
        <f t="shared" si="1"/>
        <v>28.73</v>
      </c>
      <c r="K8" s="236">
        <f t="shared" si="1"/>
        <v>29.29</v>
      </c>
      <c r="L8" s="236">
        <f t="shared" si="1"/>
        <v>30.02</v>
      </c>
    </row>
    <row r="9" spans="1:12" x14ac:dyDescent="0.2">
      <c r="A9" s="288" t="s">
        <v>1916</v>
      </c>
      <c r="B9" s="300"/>
      <c r="C9" s="580">
        <f>ROUND((+C31*(1+$E$1)),0)</f>
        <v>61770</v>
      </c>
      <c r="D9" s="580">
        <f t="shared" ref="D9:L10" si="2">ROUND((+D31*(1+$E$1)),0)</f>
        <v>63311</v>
      </c>
      <c r="E9" s="580">
        <f t="shared" si="2"/>
        <v>64895</v>
      </c>
      <c r="F9" s="580">
        <f t="shared" si="2"/>
        <v>66517</v>
      </c>
      <c r="G9" s="580">
        <f t="shared" si="2"/>
        <v>68181</v>
      </c>
      <c r="H9" s="580">
        <f t="shared" si="2"/>
        <v>69543</v>
      </c>
      <c r="I9" s="580">
        <f t="shared" si="2"/>
        <v>70936</v>
      </c>
      <c r="J9" s="580">
        <f t="shared" si="2"/>
        <v>72354</v>
      </c>
      <c r="K9" s="580">
        <f t="shared" si="2"/>
        <v>73800</v>
      </c>
      <c r="L9" s="580">
        <f t="shared" si="2"/>
        <v>75645</v>
      </c>
    </row>
    <row r="10" spans="1:12" x14ac:dyDescent="0.2">
      <c r="A10" s="288" t="s">
        <v>1917</v>
      </c>
      <c r="B10" s="300"/>
      <c r="C10" s="580">
        <f>ROUND((+C32*(1+$E$1)),0)</f>
        <v>65636</v>
      </c>
      <c r="D10" s="580">
        <f t="shared" si="2"/>
        <v>67278</v>
      </c>
      <c r="E10" s="580">
        <f t="shared" si="2"/>
        <v>68959</v>
      </c>
      <c r="F10" s="580">
        <f t="shared" si="2"/>
        <v>70681</v>
      </c>
      <c r="G10" s="580">
        <f t="shared" si="2"/>
        <v>72450</v>
      </c>
      <c r="H10" s="580">
        <f t="shared" si="2"/>
        <v>73899</v>
      </c>
      <c r="I10" s="580">
        <f t="shared" si="2"/>
        <v>75376</v>
      </c>
      <c r="J10" s="580">
        <f t="shared" si="2"/>
        <v>76884</v>
      </c>
      <c r="K10" s="580">
        <f t="shared" si="2"/>
        <v>78423</v>
      </c>
      <c r="L10" s="580">
        <f t="shared" si="2"/>
        <v>80384</v>
      </c>
    </row>
    <row r="11" spans="1:12" x14ac:dyDescent="0.2">
      <c r="A11" s="288" t="s">
        <v>1918</v>
      </c>
      <c r="B11" s="548"/>
      <c r="C11" s="548"/>
      <c r="D11" s="548"/>
      <c r="E11" s="548"/>
      <c r="F11" s="548"/>
      <c r="G11" s="549">
        <f>+ROUND((((+G10*1.085)/52)/37.69),0)</f>
        <v>40</v>
      </c>
      <c r="H11" s="549">
        <f t="shared" ref="H11:L11" si="3">+ROUND((((+H10*1.085)/52)/37.69),2)</f>
        <v>40.909999999999997</v>
      </c>
      <c r="I11" s="549">
        <f t="shared" si="3"/>
        <v>41.73</v>
      </c>
      <c r="J11" s="549">
        <f t="shared" si="3"/>
        <v>42.56</v>
      </c>
      <c r="K11" s="549">
        <f t="shared" si="3"/>
        <v>43.42</v>
      </c>
      <c r="L11" s="549">
        <f t="shared" si="3"/>
        <v>44.5</v>
      </c>
    </row>
    <row r="12" spans="1:12" x14ac:dyDescent="0.2">
      <c r="A12" s="288" t="s">
        <v>1919</v>
      </c>
      <c r="B12" s="300"/>
      <c r="C12" s="580">
        <f t="shared" ref="C12:L12" si="4">ROUND((+C34*(1+$E$1)),0)</f>
        <v>83428</v>
      </c>
      <c r="D12" s="580">
        <f t="shared" si="4"/>
        <v>85512</v>
      </c>
      <c r="E12" s="580">
        <f t="shared" si="4"/>
        <v>87653</v>
      </c>
      <c r="F12" s="580">
        <f t="shared" si="4"/>
        <v>89843</v>
      </c>
      <c r="G12" s="580">
        <f t="shared" si="4"/>
        <v>92090</v>
      </c>
      <c r="H12" s="580">
        <f t="shared" si="4"/>
        <v>94391</v>
      </c>
      <c r="I12" s="580">
        <f t="shared" si="4"/>
        <v>96280</v>
      </c>
      <c r="J12" s="580">
        <f t="shared" si="4"/>
        <v>98204</v>
      </c>
      <c r="K12" s="580">
        <f t="shared" si="4"/>
        <v>100167</v>
      </c>
      <c r="L12" s="580">
        <f t="shared" si="4"/>
        <v>102672</v>
      </c>
    </row>
    <row r="13" spans="1:12" x14ac:dyDescent="0.2">
      <c r="A13" s="288" t="s">
        <v>1920</v>
      </c>
      <c r="B13" s="300"/>
      <c r="C13" s="580">
        <f t="shared" ref="C13:L13" si="5">ROUND((+C35*(1+$E$1)),0)</f>
        <v>91770</v>
      </c>
      <c r="D13" s="580">
        <f t="shared" si="5"/>
        <v>94065</v>
      </c>
      <c r="E13" s="580">
        <f t="shared" si="5"/>
        <v>96418</v>
      </c>
      <c r="F13" s="580">
        <f t="shared" si="5"/>
        <v>98825</v>
      </c>
      <c r="G13" s="580">
        <f t="shared" si="5"/>
        <v>101296</v>
      </c>
      <c r="H13" s="580">
        <f t="shared" si="5"/>
        <v>103827</v>
      </c>
      <c r="I13" s="580">
        <f t="shared" si="5"/>
        <v>105906</v>
      </c>
      <c r="J13" s="580">
        <f t="shared" si="5"/>
        <v>108024</v>
      </c>
      <c r="K13" s="580">
        <f t="shared" si="5"/>
        <v>110184</v>
      </c>
      <c r="L13" s="580">
        <f t="shared" si="5"/>
        <v>112940</v>
      </c>
    </row>
    <row r="14" spans="1:12" x14ac:dyDescent="0.2">
      <c r="A14" s="288" t="s">
        <v>1921</v>
      </c>
      <c r="B14" s="300"/>
      <c r="C14" s="580">
        <f t="shared" ref="C14:L14" si="6">ROUND((+C36*(1+$E$1)),0)</f>
        <v>100946</v>
      </c>
      <c r="D14" s="580">
        <f t="shared" si="6"/>
        <v>103472</v>
      </c>
      <c r="E14" s="580">
        <f t="shared" si="6"/>
        <v>106059</v>
      </c>
      <c r="F14" s="580">
        <f t="shared" si="6"/>
        <v>108709</v>
      </c>
      <c r="G14" s="580">
        <f t="shared" si="6"/>
        <v>111428</v>
      </c>
      <c r="H14" s="580">
        <f t="shared" si="6"/>
        <v>114213</v>
      </c>
      <c r="I14" s="580">
        <f t="shared" si="6"/>
        <v>116495</v>
      </c>
      <c r="J14" s="580">
        <f t="shared" si="6"/>
        <v>118827</v>
      </c>
      <c r="K14" s="580">
        <f t="shared" si="6"/>
        <v>121204</v>
      </c>
      <c r="L14" s="580">
        <f t="shared" si="6"/>
        <v>124233</v>
      </c>
    </row>
    <row r="16" spans="1:12" x14ac:dyDescent="0.2">
      <c r="A16" s="288" t="s">
        <v>874</v>
      </c>
      <c r="B16" s="220" t="s">
        <v>1922</v>
      </c>
    </row>
    <row r="17" spans="1:13" x14ac:dyDescent="0.2">
      <c r="A17" s="288" t="s">
        <v>1914</v>
      </c>
      <c r="B17" s="828">
        <v>1</v>
      </c>
      <c r="C17" s="828">
        <v>2</v>
      </c>
      <c r="D17" s="828">
        <v>3</v>
      </c>
      <c r="E17" s="828">
        <v>4</v>
      </c>
      <c r="F17" s="828">
        <v>5</v>
      </c>
      <c r="G17" s="828">
        <v>6</v>
      </c>
      <c r="H17" s="828">
        <v>7</v>
      </c>
      <c r="I17" s="828">
        <v>8</v>
      </c>
      <c r="J17" s="828">
        <v>9</v>
      </c>
      <c r="K17" s="828">
        <v>10</v>
      </c>
      <c r="L17" s="828">
        <v>11</v>
      </c>
      <c r="M17" t="s">
        <v>1923</v>
      </c>
    </row>
    <row r="18" spans="1:13" x14ac:dyDescent="0.2">
      <c r="A18" s="288" t="s">
        <v>1924</v>
      </c>
      <c r="B18" s="1"/>
      <c r="C18" s="1">
        <f>ROUND((+C9/$M$18),2)</f>
        <v>33.94</v>
      </c>
      <c r="D18" s="1">
        <f t="shared" ref="D18:L18" si="7">ROUND((+D9/$M$18),2)</f>
        <v>34.79</v>
      </c>
      <c r="E18" s="1">
        <f t="shared" si="7"/>
        <v>35.659999999999997</v>
      </c>
      <c r="F18" s="1">
        <f t="shared" si="7"/>
        <v>36.549999999999997</v>
      </c>
      <c r="G18" s="1">
        <f t="shared" si="7"/>
        <v>37.46</v>
      </c>
      <c r="H18" s="1">
        <f t="shared" si="7"/>
        <v>38.21</v>
      </c>
      <c r="I18" s="1">
        <f t="shared" si="7"/>
        <v>38.979999999999997</v>
      </c>
      <c r="J18" s="1">
        <f t="shared" si="7"/>
        <v>39.75</v>
      </c>
      <c r="K18" s="1">
        <f t="shared" si="7"/>
        <v>40.549999999999997</v>
      </c>
      <c r="L18" s="1">
        <f t="shared" si="7"/>
        <v>41.56</v>
      </c>
      <c r="M18" s="783">
        <v>1820</v>
      </c>
    </row>
    <row r="19" spans="1:13" x14ac:dyDescent="0.2">
      <c r="A19" s="288" t="s">
        <v>1925</v>
      </c>
      <c r="B19" s="1"/>
      <c r="C19" s="1">
        <f>ROUND((+C9/$M$19),2)</f>
        <v>29.7</v>
      </c>
      <c r="D19" s="1">
        <f t="shared" ref="D19:L19" si="8">ROUND((+D9/$M$19),2)</f>
        <v>30.44</v>
      </c>
      <c r="E19" s="1">
        <f t="shared" si="8"/>
        <v>31.2</v>
      </c>
      <c r="F19" s="1">
        <f t="shared" si="8"/>
        <v>31.98</v>
      </c>
      <c r="G19" s="1">
        <f t="shared" si="8"/>
        <v>32.78</v>
      </c>
      <c r="H19" s="1">
        <f t="shared" si="8"/>
        <v>33.43</v>
      </c>
      <c r="I19" s="1">
        <f t="shared" si="8"/>
        <v>34.1</v>
      </c>
      <c r="J19" s="1">
        <f t="shared" si="8"/>
        <v>34.79</v>
      </c>
      <c r="K19" s="1">
        <f t="shared" si="8"/>
        <v>35.479999999999997</v>
      </c>
      <c r="L19" s="1">
        <f t="shared" si="8"/>
        <v>36.369999999999997</v>
      </c>
      <c r="M19" s="783">
        <v>2080</v>
      </c>
    </row>
    <row r="20" spans="1:13" x14ac:dyDescent="0.2">
      <c r="A20" s="288" t="s">
        <v>1926</v>
      </c>
      <c r="B20" s="1"/>
      <c r="C20" s="1">
        <f>ROUND((+C9/$M$20),2)</f>
        <v>29.7</v>
      </c>
      <c r="D20" s="1">
        <f t="shared" ref="D20:L20" si="9">ROUND((+D9/$M$20),2)</f>
        <v>30.44</v>
      </c>
      <c r="E20" s="1">
        <f t="shared" si="9"/>
        <v>31.2</v>
      </c>
      <c r="F20" s="1">
        <f t="shared" si="9"/>
        <v>31.98</v>
      </c>
      <c r="G20" s="1">
        <f t="shared" si="9"/>
        <v>32.78</v>
      </c>
      <c r="H20" s="1">
        <f t="shared" si="9"/>
        <v>33.43</v>
      </c>
      <c r="I20" s="1">
        <f t="shared" si="9"/>
        <v>34.1</v>
      </c>
      <c r="J20" s="1">
        <f t="shared" si="9"/>
        <v>34.79</v>
      </c>
      <c r="K20" s="1">
        <f t="shared" si="9"/>
        <v>35.479999999999997</v>
      </c>
      <c r="L20" s="1">
        <f t="shared" si="9"/>
        <v>36.369999999999997</v>
      </c>
      <c r="M20" s="783">
        <v>2080</v>
      </c>
    </row>
    <row r="21" spans="1:13" x14ac:dyDescent="0.2">
      <c r="A21" s="125" t="s">
        <v>1927</v>
      </c>
      <c r="B21" s="783">
        <v>52.2</v>
      </c>
      <c r="C21" s="220" t="s">
        <v>1928</v>
      </c>
      <c r="G21" s="64"/>
      <c r="H21" s="64"/>
      <c r="I21" s="64"/>
      <c r="J21" s="64"/>
      <c r="K21" s="64"/>
    </row>
    <row r="23" spans="1:13" x14ac:dyDescent="0.2">
      <c r="A23" s="888" t="s">
        <v>1929</v>
      </c>
      <c r="B23" s="335"/>
      <c r="C23" s="335"/>
      <c r="D23" s="335"/>
      <c r="E23" s="922">
        <v>0.03</v>
      </c>
      <c r="G23" s="308" t="s">
        <v>197</v>
      </c>
    </row>
    <row r="24" spans="1:13" x14ac:dyDescent="0.2">
      <c r="B24" s="220" t="s">
        <v>1887</v>
      </c>
    </row>
    <row r="25" spans="1:13" x14ac:dyDescent="0.2">
      <c r="A25" s="288" t="s">
        <v>1914</v>
      </c>
      <c r="B25" s="828">
        <v>1</v>
      </c>
      <c r="C25" s="828">
        <v>1</v>
      </c>
      <c r="D25" s="828">
        <v>2</v>
      </c>
      <c r="E25" s="828">
        <v>3</v>
      </c>
      <c r="F25" s="828">
        <v>4</v>
      </c>
      <c r="G25" s="828">
        <v>5</v>
      </c>
      <c r="H25" s="828">
        <v>6</v>
      </c>
      <c r="I25" s="828">
        <v>7</v>
      </c>
      <c r="J25" s="828">
        <v>8</v>
      </c>
      <c r="K25" s="828">
        <v>9</v>
      </c>
      <c r="L25" s="828">
        <v>10</v>
      </c>
    </row>
    <row r="26" spans="1:13" x14ac:dyDescent="0.2">
      <c r="A26" s="288" t="s">
        <v>1804</v>
      </c>
      <c r="B26" s="236"/>
      <c r="C26" s="236">
        <f>ROUND((+C48*(1+$E$23)),2)</f>
        <v>15.95</v>
      </c>
      <c r="D26" s="236">
        <f t="shared" ref="D26:L26" si="10">ROUND((+D48*(1+$E$23)),2)</f>
        <v>16.34</v>
      </c>
      <c r="E26" s="236">
        <f t="shared" si="10"/>
        <v>16.78</v>
      </c>
      <c r="F26" s="236">
        <f t="shared" si="10"/>
        <v>17.16</v>
      </c>
      <c r="G26" s="236">
        <f t="shared" si="10"/>
        <v>17.600000000000001</v>
      </c>
      <c r="H26" s="236">
        <f t="shared" si="10"/>
        <v>18</v>
      </c>
      <c r="I26" s="236">
        <f t="shared" si="10"/>
        <v>18.399999999999999</v>
      </c>
      <c r="J26" s="236">
        <f t="shared" si="10"/>
        <v>18.78</v>
      </c>
      <c r="K26" s="236">
        <f t="shared" si="10"/>
        <v>19.149999999999999</v>
      </c>
      <c r="L26" s="236">
        <f t="shared" si="10"/>
        <v>19.63</v>
      </c>
    </row>
    <row r="27" spans="1:13" x14ac:dyDescent="0.2">
      <c r="A27" s="288" t="s">
        <v>1808</v>
      </c>
      <c r="B27" s="236"/>
      <c r="C27" s="236">
        <f t="shared" ref="C27:L27" si="11">ROUND((+C49*(1+$E$23)),2)</f>
        <v>18.809999999999999</v>
      </c>
      <c r="D27" s="236">
        <f t="shared" si="11"/>
        <v>19.27</v>
      </c>
      <c r="E27" s="236">
        <f t="shared" si="11"/>
        <v>19.75</v>
      </c>
      <c r="F27" s="236">
        <f t="shared" si="11"/>
        <v>20.25</v>
      </c>
      <c r="G27" s="236">
        <f t="shared" si="11"/>
        <v>20.75</v>
      </c>
      <c r="H27" s="236">
        <f t="shared" si="11"/>
        <v>21.29</v>
      </c>
      <c r="I27" s="236">
        <f t="shared" si="11"/>
        <v>21.69</v>
      </c>
      <c r="J27" s="236">
        <f t="shared" si="11"/>
        <v>22.15</v>
      </c>
      <c r="K27" s="236">
        <f t="shared" si="11"/>
        <v>22.58</v>
      </c>
      <c r="L27" s="236">
        <f t="shared" si="11"/>
        <v>23.14</v>
      </c>
    </row>
    <row r="28" spans="1:13" x14ac:dyDescent="0.2">
      <c r="A28" s="288" t="s">
        <v>1814</v>
      </c>
      <c r="B28" s="236"/>
      <c r="C28" s="236">
        <f t="shared" ref="C28:L28" si="12">ROUND((+C50*(1+$E$23)),2)</f>
        <v>20.239999999999998</v>
      </c>
      <c r="D28" s="236">
        <f t="shared" si="12"/>
        <v>20.73</v>
      </c>
      <c r="E28" s="236">
        <f t="shared" si="12"/>
        <v>21.27</v>
      </c>
      <c r="F28" s="236">
        <f t="shared" si="12"/>
        <v>21.77</v>
      </c>
      <c r="G28" s="236">
        <f t="shared" si="12"/>
        <v>22.35</v>
      </c>
      <c r="H28" s="236">
        <f t="shared" si="12"/>
        <v>22.88</v>
      </c>
      <c r="I28" s="236">
        <f t="shared" si="12"/>
        <v>23.36</v>
      </c>
      <c r="J28" s="236">
        <f t="shared" si="12"/>
        <v>23.81</v>
      </c>
      <c r="K28" s="236">
        <f t="shared" si="12"/>
        <v>24.29</v>
      </c>
      <c r="L28" s="236">
        <f t="shared" si="12"/>
        <v>24.9</v>
      </c>
    </row>
    <row r="29" spans="1:13" x14ac:dyDescent="0.2">
      <c r="A29" s="288" t="s">
        <v>1817</v>
      </c>
      <c r="B29" s="236"/>
      <c r="C29" s="236">
        <f t="shared" ref="C29:L29" si="13">ROUND((+C51*(1+$E$23)),2)</f>
        <v>22.05</v>
      </c>
      <c r="D29" s="236">
        <f t="shared" si="13"/>
        <v>22.6</v>
      </c>
      <c r="E29" s="236">
        <f t="shared" si="13"/>
        <v>23.16</v>
      </c>
      <c r="F29" s="236">
        <f t="shared" si="13"/>
        <v>23.74</v>
      </c>
      <c r="G29" s="236">
        <f t="shared" si="13"/>
        <v>24.35</v>
      </c>
      <c r="H29" s="236">
        <f t="shared" si="13"/>
        <v>24.96</v>
      </c>
      <c r="I29" s="236">
        <f t="shared" si="13"/>
        <v>25.45</v>
      </c>
      <c r="J29" s="236">
        <f t="shared" si="13"/>
        <v>25.97</v>
      </c>
      <c r="K29" s="236">
        <f t="shared" si="13"/>
        <v>26.47</v>
      </c>
      <c r="L29" s="236">
        <f t="shared" si="13"/>
        <v>27.13</v>
      </c>
    </row>
    <row r="30" spans="1:13" x14ac:dyDescent="0.2">
      <c r="A30" s="288" t="s">
        <v>1915</v>
      </c>
      <c r="B30" s="236"/>
      <c r="C30" s="236">
        <f t="shared" ref="C30:L30" si="14">ROUND((+C52*(1+$E$23)),2)</f>
        <v>23.8</v>
      </c>
      <c r="D30" s="236">
        <f t="shared" si="14"/>
        <v>24.41</v>
      </c>
      <c r="E30" s="236">
        <f t="shared" si="14"/>
        <v>25.01</v>
      </c>
      <c r="F30" s="236">
        <f t="shared" si="14"/>
        <v>25.64</v>
      </c>
      <c r="G30" s="236">
        <f t="shared" si="14"/>
        <v>26.28</v>
      </c>
      <c r="H30" s="236">
        <f t="shared" si="14"/>
        <v>26.93</v>
      </c>
      <c r="I30" s="236">
        <f t="shared" si="14"/>
        <v>27.47</v>
      </c>
      <c r="J30" s="236">
        <f t="shared" si="14"/>
        <v>28.03</v>
      </c>
      <c r="K30" s="236">
        <f t="shared" si="14"/>
        <v>28.58</v>
      </c>
      <c r="L30" s="236">
        <f t="shared" si="14"/>
        <v>29.29</v>
      </c>
    </row>
    <row r="31" spans="1:13" x14ac:dyDescent="0.2">
      <c r="A31" s="288" t="s">
        <v>1916</v>
      </c>
      <c r="B31" s="300"/>
      <c r="C31" s="580">
        <f>ROUND((+C53*(1+$E$23)),0)</f>
        <v>60263</v>
      </c>
      <c r="D31" s="580">
        <f t="shared" ref="D31:L32" si="15">ROUND((+D53*(1+$E$23)),0)</f>
        <v>61767</v>
      </c>
      <c r="E31" s="580">
        <f t="shared" si="15"/>
        <v>63312</v>
      </c>
      <c r="F31" s="580">
        <f t="shared" si="15"/>
        <v>64895</v>
      </c>
      <c r="G31" s="580">
        <f t="shared" si="15"/>
        <v>66518</v>
      </c>
      <c r="H31" s="580">
        <f t="shared" si="15"/>
        <v>67847</v>
      </c>
      <c r="I31" s="580">
        <f t="shared" si="15"/>
        <v>69206</v>
      </c>
      <c r="J31" s="580">
        <f t="shared" si="15"/>
        <v>70589</v>
      </c>
      <c r="K31" s="580">
        <f t="shared" si="15"/>
        <v>72000</v>
      </c>
      <c r="L31" s="580">
        <f t="shared" si="15"/>
        <v>73800</v>
      </c>
    </row>
    <row r="32" spans="1:13" x14ac:dyDescent="0.2">
      <c r="A32" s="288" t="s">
        <v>1917</v>
      </c>
      <c r="B32" s="300"/>
      <c r="C32" s="580">
        <f>ROUND((+C54*(1+$E$23)),0)</f>
        <v>64035</v>
      </c>
      <c r="D32" s="580">
        <f t="shared" si="15"/>
        <v>65637</v>
      </c>
      <c r="E32" s="580">
        <f t="shared" si="15"/>
        <v>67277</v>
      </c>
      <c r="F32" s="580">
        <f t="shared" si="15"/>
        <v>68957</v>
      </c>
      <c r="G32" s="580">
        <f t="shared" si="15"/>
        <v>70683</v>
      </c>
      <c r="H32" s="580">
        <f t="shared" si="15"/>
        <v>72097</v>
      </c>
      <c r="I32" s="580">
        <f t="shared" si="15"/>
        <v>73538</v>
      </c>
      <c r="J32" s="580">
        <f t="shared" si="15"/>
        <v>75009</v>
      </c>
      <c r="K32" s="580">
        <f t="shared" si="15"/>
        <v>76510</v>
      </c>
      <c r="L32" s="580">
        <f t="shared" si="15"/>
        <v>78423</v>
      </c>
    </row>
    <row r="33" spans="1:13" x14ac:dyDescent="0.2">
      <c r="A33" s="288" t="s">
        <v>1918</v>
      </c>
      <c r="B33" s="548"/>
      <c r="C33" s="548"/>
      <c r="D33" s="548"/>
      <c r="E33" s="548"/>
      <c r="F33" s="548"/>
      <c r="G33" s="549">
        <f>+ROUND((((+G32*1.085)/$B$43)/37.69),2)</f>
        <v>38.979999999999997</v>
      </c>
      <c r="H33" s="549">
        <f t="shared" ref="H33:L33" si="16">+ROUND((((+H32*1.085)/$B$43)/37.69),2)</f>
        <v>39.76</v>
      </c>
      <c r="I33" s="549">
        <f t="shared" si="16"/>
        <v>40.56</v>
      </c>
      <c r="J33" s="549">
        <f t="shared" si="16"/>
        <v>41.37</v>
      </c>
      <c r="K33" s="549">
        <f t="shared" si="16"/>
        <v>42.19</v>
      </c>
      <c r="L33" s="549">
        <f t="shared" si="16"/>
        <v>43.25</v>
      </c>
    </row>
    <row r="34" spans="1:13" x14ac:dyDescent="0.2">
      <c r="A34" s="288" t="s">
        <v>1919</v>
      </c>
      <c r="B34" s="300"/>
      <c r="C34" s="580">
        <f t="shared" ref="C34:L34" si="17">ROUND((+C56*(1+$E$23)),0)</f>
        <v>81393</v>
      </c>
      <c r="D34" s="580">
        <f t="shared" si="17"/>
        <v>83426</v>
      </c>
      <c r="E34" s="580">
        <f t="shared" si="17"/>
        <v>85515</v>
      </c>
      <c r="F34" s="580">
        <f t="shared" si="17"/>
        <v>87652</v>
      </c>
      <c r="G34" s="580">
        <f t="shared" si="17"/>
        <v>89844</v>
      </c>
      <c r="H34" s="580">
        <f t="shared" si="17"/>
        <v>92089</v>
      </c>
      <c r="I34" s="580">
        <f t="shared" si="17"/>
        <v>93932</v>
      </c>
      <c r="J34" s="580">
        <f t="shared" si="17"/>
        <v>95809</v>
      </c>
      <c r="K34" s="580">
        <f t="shared" si="17"/>
        <v>97724</v>
      </c>
      <c r="L34" s="580">
        <f t="shared" si="17"/>
        <v>100168</v>
      </c>
    </row>
    <row r="35" spans="1:13" x14ac:dyDescent="0.2">
      <c r="A35" s="288" t="s">
        <v>1920</v>
      </c>
      <c r="B35" s="300"/>
      <c r="C35" s="580">
        <f t="shared" ref="C35:L35" si="18">ROUND((+C57*(1+$E$23)),0)</f>
        <v>89532</v>
      </c>
      <c r="D35" s="580">
        <f t="shared" si="18"/>
        <v>91771</v>
      </c>
      <c r="E35" s="580">
        <f t="shared" si="18"/>
        <v>94066</v>
      </c>
      <c r="F35" s="580">
        <f t="shared" si="18"/>
        <v>96415</v>
      </c>
      <c r="G35" s="580">
        <f t="shared" si="18"/>
        <v>98825</v>
      </c>
      <c r="H35" s="580">
        <f t="shared" si="18"/>
        <v>101295</v>
      </c>
      <c r="I35" s="580">
        <f t="shared" si="18"/>
        <v>103323</v>
      </c>
      <c r="J35" s="580">
        <f t="shared" si="18"/>
        <v>105389</v>
      </c>
      <c r="K35" s="580">
        <f t="shared" si="18"/>
        <v>107497</v>
      </c>
      <c r="L35" s="580">
        <f t="shared" si="18"/>
        <v>110185</v>
      </c>
    </row>
    <row r="36" spans="1:13" x14ac:dyDescent="0.2">
      <c r="A36" s="288" t="s">
        <v>1921</v>
      </c>
      <c r="B36" s="300"/>
      <c r="C36" s="580">
        <f t="shared" ref="C36:L36" si="19">ROUND((+C58*(1+$E$23)),0)</f>
        <v>98484</v>
      </c>
      <c r="D36" s="580">
        <f t="shared" si="19"/>
        <v>100948</v>
      </c>
      <c r="E36" s="580">
        <f t="shared" si="19"/>
        <v>103472</v>
      </c>
      <c r="F36" s="580">
        <f t="shared" si="19"/>
        <v>106058</v>
      </c>
      <c r="G36" s="580">
        <f t="shared" si="19"/>
        <v>108710</v>
      </c>
      <c r="H36" s="580">
        <f t="shared" si="19"/>
        <v>111427</v>
      </c>
      <c r="I36" s="580">
        <f t="shared" si="19"/>
        <v>113654</v>
      </c>
      <c r="J36" s="580">
        <f t="shared" si="19"/>
        <v>115929</v>
      </c>
      <c r="K36" s="580">
        <f t="shared" si="19"/>
        <v>118248</v>
      </c>
      <c r="L36" s="580">
        <f t="shared" si="19"/>
        <v>121203</v>
      </c>
    </row>
    <row r="38" spans="1:13" x14ac:dyDescent="0.2">
      <c r="A38" s="288" t="s">
        <v>874</v>
      </c>
      <c r="B38" s="220" t="s">
        <v>1922</v>
      </c>
    </row>
    <row r="39" spans="1:13" x14ac:dyDescent="0.2">
      <c r="A39" s="288" t="s">
        <v>1914</v>
      </c>
      <c r="B39" s="828">
        <v>1</v>
      </c>
      <c r="C39" s="828">
        <v>2</v>
      </c>
      <c r="D39" s="828">
        <v>3</v>
      </c>
      <c r="E39" s="828">
        <v>4</v>
      </c>
      <c r="F39" s="828">
        <v>5</v>
      </c>
      <c r="G39" s="828">
        <v>6</v>
      </c>
      <c r="H39" s="828">
        <v>7</v>
      </c>
      <c r="I39" s="828">
        <v>8</v>
      </c>
      <c r="J39" s="828">
        <v>9</v>
      </c>
      <c r="K39" s="828">
        <v>10</v>
      </c>
      <c r="L39" s="828">
        <v>11</v>
      </c>
      <c r="M39" t="s">
        <v>1923</v>
      </c>
    </row>
    <row r="40" spans="1:13" x14ac:dyDescent="0.2">
      <c r="A40" s="288" t="s">
        <v>1924</v>
      </c>
      <c r="B40" s="1"/>
      <c r="C40" s="1">
        <f>ROUND((+C31/$M$40),2)</f>
        <v>32.979999999999997</v>
      </c>
      <c r="D40" s="1">
        <f t="shared" ref="D40:L40" si="20">ROUND((+D31/$M$40),2)</f>
        <v>33.81</v>
      </c>
      <c r="E40" s="1">
        <f t="shared" si="20"/>
        <v>34.65</v>
      </c>
      <c r="F40" s="1">
        <f t="shared" si="20"/>
        <v>35.520000000000003</v>
      </c>
      <c r="G40" s="1">
        <f t="shared" si="20"/>
        <v>36.409999999999997</v>
      </c>
      <c r="H40" s="1">
        <f t="shared" si="20"/>
        <v>37.14</v>
      </c>
      <c r="I40" s="1">
        <f t="shared" si="20"/>
        <v>37.880000000000003</v>
      </c>
      <c r="J40" s="1">
        <f t="shared" si="20"/>
        <v>38.64</v>
      </c>
      <c r="K40" s="1">
        <f t="shared" si="20"/>
        <v>39.409999999999997</v>
      </c>
      <c r="L40" s="1">
        <f t="shared" si="20"/>
        <v>40.39</v>
      </c>
      <c r="M40" s="783">
        <v>1827</v>
      </c>
    </row>
    <row r="41" spans="1:13" x14ac:dyDescent="0.2">
      <c r="A41" s="288" t="s">
        <v>1925</v>
      </c>
      <c r="B41" s="1"/>
      <c r="C41" s="1">
        <f>ROUND((+C31/$M$41),2)</f>
        <v>28.97</v>
      </c>
      <c r="D41" s="1">
        <f t="shared" ref="D41:L41" si="21">ROUND((+D31/$M$41),2)</f>
        <v>29.7</v>
      </c>
      <c r="E41" s="1">
        <f t="shared" si="21"/>
        <v>30.44</v>
      </c>
      <c r="F41" s="1">
        <f t="shared" si="21"/>
        <v>31.2</v>
      </c>
      <c r="G41" s="1">
        <f t="shared" si="21"/>
        <v>31.98</v>
      </c>
      <c r="H41" s="1">
        <f t="shared" si="21"/>
        <v>32.619999999999997</v>
      </c>
      <c r="I41" s="1">
        <f t="shared" si="21"/>
        <v>33.270000000000003</v>
      </c>
      <c r="J41" s="1">
        <f t="shared" si="21"/>
        <v>33.94</v>
      </c>
      <c r="K41" s="1">
        <f t="shared" si="21"/>
        <v>34.619999999999997</v>
      </c>
      <c r="L41" s="1">
        <f t="shared" si="21"/>
        <v>35.479999999999997</v>
      </c>
      <c r="M41" s="783">
        <v>2080</v>
      </c>
    </row>
    <row r="42" spans="1:13" x14ac:dyDescent="0.2">
      <c r="A42" s="288" t="s">
        <v>1926</v>
      </c>
      <c r="B42" s="1"/>
      <c r="C42" s="1">
        <f>ROUND((+C31/$M$42),2)</f>
        <v>28.86</v>
      </c>
      <c r="D42" s="1">
        <f t="shared" ref="D42:L42" si="22">ROUND((+D31/$M$42),2)</f>
        <v>29.58</v>
      </c>
      <c r="E42" s="1">
        <f t="shared" si="22"/>
        <v>30.32</v>
      </c>
      <c r="F42" s="1">
        <f t="shared" si="22"/>
        <v>31.08</v>
      </c>
      <c r="G42" s="1">
        <f t="shared" si="22"/>
        <v>31.86</v>
      </c>
      <c r="H42" s="1">
        <f t="shared" si="22"/>
        <v>32.49</v>
      </c>
      <c r="I42" s="1">
        <f t="shared" si="22"/>
        <v>33.14</v>
      </c>
      <c r="J42" s="1">
        <f t="shared" si="22"/>
        <v>33.81</v>
      </c>
      <c r="K42" s="1">
        <f t="shared" si="22"/>
        <v>34.479999999999997</v>
      </c>
      <c r="L42" s="1">
        <f t="shared" si="22"/>
        <v>35.340000000000003</v>
      </c>
      <c r="M42" s="783">
        <v>2088</v>
      </c>
    </row>
    <row r="43" spans="1:13" x14ac:dyDescent="0.2">
      <c r="A43" s="125" t="s">
        <v>1927</v>
      </c>
      <c r="B43" s="783">
        <v>52.2</v>
      </c>
      <c r="C43" s="220" t="s">
        <v>1928</v>
      </c>
      <c r="G43" s="64"/>
      <c r="H43" s="64"/>
      <c r="I43" s="64"/>
      <c r="J43" s="64"/>
      <c r="K43" s="64"/>
    </row>
    <row r="44" spans="1:13" x14ac:dyDescent="0.2">
      <c r="A44" s="299"/>
      <c r="G44" s="308"/>
    </row>
    <row r="45" spans="1:13" x14ac:dyDescent="0.2">
      <c r="A45" s="299" t="s">
        <v>1930</v>
      </c>
      <c r="G45" s="308"/>
    </row>
    <row r="46" spans="1:13" x14ac:dyDescent="0.2">
      <c r="B46" s="220" t="s">
        <v>1887</v>
      </c>
    </row>
    <row r="47" spans="1:13" x14ac:dyDescent="0.2">
      <c r="A47" s="288" t="s">
        <v>1914</v>
      </c>
      <c r="B47" s="828">
        <v>1</v>
      </c>
      <c r="C47" s="828">
        <v>2</v>
      </c>
      <c r="D47" s="828">
        <v>3</v>
      </c>
      <c r="E47" s="828">
        <v>4</v>
      </c>
      <c r="F47" s="828">
        <v>5</v>
      </c>
      <c r="G47" s="828">
        <v>6</v>
      </c>
      <c r="H47" s="828">
        <v>7</v>
      </c>
      <c r="I47" s="828">
        <v>8</v>
      </c>
      <c r="J47" s="828">
        <v>9</v>
      </c>
      <c r="K47" s="828">
        <v>10</v>
      </c>
      <c r="L47" s="828">
        <v>11</v>
      </c>
    </row>
    <row r="48" spans="1:13" x14ac:dyDescent="0.2">
      <c r="A48" s="288" t="s">
        <v>1804</v>
      </c>
      <c r="B48" s="236"/>
      <c r="C48" s="236">
        <f>ROUND((+C70*1.015),2)</f>
        <v>15.49</v>
      </c>
      <c r="D48" s="236">
        <f t="shared" ref="D48:L48" si="23">ROUND((+D70*1.015),2)</f>
        <v>15.86</v>
      </c>
      <c r="E48" s="236">
        <f t="shared" si="23"/>
        <v>16.29</v>
      </c>
      <c r="F48" s="236">
        <f t="shared" si="23"/>
        <v>16.66</v>
      </c>
      <c r="G48" s="236">
        <f t="shared" si="23"/>
        <v>17.09</v>
      </c>
      <c r="H48" s="236">
        <f t="shared" si="23"/>
        <v>17.48</v>
      </c>
      <c r="I48" s="236">
        <f t="shared" si="23"/>
        <v>17.86</v>
      </c>
      <c r="J48" s="236">
        <f t="shared" si="23"/>
        <v>18.23</v>
      </c>
      <c r="K48" s="236">
        <f t="shared" si="23"/>
        <v>18.59</v>
      </c>
      <c r="L48" s="236">
        <f t="shared" si="23"/>
        <v>19.059999999999999</v>
      </c>
    </row>
    <row r="49" spans="1:13" x14ac:dyDescent="0.2">
      <c r="A49" s="288" t="s">
        <v>1808</v>
      </c>
      <c r="B49" s="236"/>
      <c r="C49" s="236">
        <f t="shared" ref="C49:L49" si="24">ROUND((+C71*1.015),2)</f>
        <v>18.260000000000002</v>
      </c>
      <c r="D49" s="236">
        <f t="shared" si="24"/>
        <v>18.71</v>
      </c>
      <c r="E49" s="236">
        <f t="shared" si="24"/>
        <v>19.170000000000002</v>
      </c>
      <c r="F49" s="236">
        <f t="shared" si="24"/>
        <v>19.66</v>
      </c>
      <c r="G49" s="236">
        <f t="shared" si="24"/>
        <v>20.149999999999999</v>
      </c>
      <c r="H49" s="236">
        <f t="shared" si="24"/>
        <v>20.67</v>
      </c>
      <c r="I49" s="236">
        <f t="shared" si="24"/>
        <v>21.06</v>
      </c>
      <c r="J49" s="236">
        <f t="shared" si="24"/>
        <v>21.5</v>
      </c>
      <c r="K49" s="236">
        <f t="shared" si="24"/>
        <v>21.92</v>
      </c>
      <c r="L49" s="236">
        <f t="shared" si="24"/>
        <v>22.47</v>
      </c>
    </row>
    <row r="50" spans="1:13" x14ac:dyDescent="0.2">
      <c r="A50" s="288" t="s">
        <v>1814</v>
      </c>
      <c r="B50" s="236"/>
      <c r="C50" s="236">
        <f t="shared" ref="C50:L50" si="25">ROUND((+C72*1.015),2)</f>
        <v>19.649999999999999</v>
      </c>
      <c r="D50" s="236">
        <f t="shared" si="25"/>
        <v>20.13</v>
      </c>
      <c r="E50" s="236">
        <f t="shared" si="25"/>
        <v>20.65</v>
      </c>
      <c r="F50" s="236">
        <f t="shared" si="25"/>
        <v>21.14</v>
      </c>
      <c r="G50" s="236">
        <f t="shared" si="25"/>
        <v>21.7</v>
      </c>
      <c r="H50" s="236">
        <f t="shared" si="25"/>
        <v>22.21</v>
      </c>
      <c r="I50" s="236">
        <f t="shared" si="25"/>
        <v>22.68</v>
      </c>
      <c r="J50" s="236">
        <f t="shared" si="25"/>
        <v>23.12</v>
      </c>
      <c r="K50" s="236">
        <f t="shared" si="25"/>
        <v>23.58</v>
      </c>
      <c r="L50" s="236">
        <f t="shared" si="25"/>
        <v>24.17</v>
      </c>
    </row>
    <row r="51" spans="1:13" x14ac:dyDescent="0.2">
      <c r="A51" s="288" t="s">
        <v>1817</v>
      </c>
      <c r="B51" s="236"/>
      <c r="C51" s="236">
        <f t="shared" ref="C51:L51" si="26">ROUND((+C73*1.015),2)</f>
        <v>21.41</v>
      </c>
      <c r="D51" s="236">
        <f t="shared" si="26"/>
        <v>21.94</v>
      </c>
      <c r="E51" s="236">
        <f t="shared" si="26"/>
        <v>22.49</v>
      </c>
      <c r="F51" s="236">
        <f t="shared" si="26"/>
        <v>23.05</v>
      </c>
      <c r="G51" s="236">
        <f t="shared" si="26"/>
        <v>23.64</v>
      </c>
      <c r="H51" s="236">
        <f t="shared" si="26"/>
        <v>24.23</v>
      </c>
      <c r="I51" s="236">
        <f t="shared" si="26"/>
        <v>24.71</v>
      </c>
      <c r="J51" s="236">
        <f t="shared" si="26"/>
        <v>25.21</v>
      </c>
      <c r="K51" s="236">
        <f t="shared" si="26"/>
        <v>25.7</v>
      </c>
      <c r="L51" s="236">
        <f t="shared" si="26"/>
        <v>26.34</v>
      </c>
    </row>
    <row r="52" spans="1:13" x14ac:dyDescent="0.2">
      <c r="A52" s="288" t="s">
        <v>1915</v>
      </c>
      <c r="B52" s="236"/>
      <c r="C52" s="236">
        <f t="shared" ref="C52:L52" si="27">ROUND((+C74*1.015),2)</f>
        <v>23.11</v>
      </c>
      <c r="D52" s="236">
        <f t="shared" si="27"/>
        <v>23.7</v>
      </c>
      <c r="E52" s="236">
        <f t="shared" si="27"/>
        <v>24.28</v>
      </c>
      <c r="F52" s="236">
        <f t="shared" si="27"/>
        <v>24.89</v>
      </c>
      <c r="G52" s="236">
        <f t="shared" si="27"/>
        <v>25.51</v>
      </c>
      <c r="H52" s="236">
        <f t="shared" si="27"/>
        <v>26.15</v>
      </c>
      <c r="I52" s="236">
        <f t="shared" si="27"/>
        <v>26.67</v>
      </c>
      <c r="J52" s="236">
        <f t="shared" si="27"/>
        <v>27.21</v>
      </c>
      <c r="K52" s="236">
        <f t="shared" si="27"/>
        <v>27.75</v>
      </c>
      <c r="L52" s="236">
        <f t="shared" si="27"/>
        <v>28.44</v>
      </c>
    </row>
    <row r="53" spans="1:13" x14ac:dyDescent="0.2">
      <c r="A53" s="288" t="s">
        <v>1916</v>
      </c>
      <c r="B53" s="300"/>
      <c r="C53" s="580">
        <f>ROUND((+C75*1.015),0)</f>
        <v>58508</v>
      </c>
      <c r="D53" s="580">
        <f t="shared" ref="D53:L53" si="28">ROUND((+D75*1.015),0)</f>
        <v>59968</v>
      </c>
      <c r="E53" s="580">
        <f t="shared" si="28"/>
        <v>61468</v>
      </c>
      <c r="F53" s="580">
        <f t="shared" si="28"/>
        <v>63005</v>
      </c>
      <c r="G53" s="580">
        <f t="shared" si="28"/>
        <v>64581</v>
      </c>
      <c r="H53" s="580">
        <f t="shared" si="28"/>
        <v>65871</v>
      </c>
      <c r="I53" s="580">
        <f t="shared" si="28"/>
        <v>67190</v>
      </c>
      <c r="J53" s="580">
        <f t="shared" si="28"/>
        <v>68533</v>
      </c>
      <c r="K53" s="580">
        <f t="shared" si="28"/>
        <v>69903</v>
      </c>
      <c r="L53" s="580">
        <f t="shared" si="28"/>
        <v>71650</v>
      </c>
    </row>
    <row r="54" spans="1:13" x14ac:dyDescent="0.2">
      <c r="A54" s="288" t="s">
        <v>1917</v>
      </c>
      <c r="B54" s="300"/>
      <c r="C54" s="580">
        <f>ROUND((+C76*1.015),0)</f>
        <v>62170</v>
      </c>
      <c r="D54" s="580">
        <f t="shared" ref="D54:L54" si="29">ROUND((+D76*1.015),0)</f>
        <v>63725</v>
      </c>
      <c r="E54" s="580">
        <f t="shared" si="29"/>
        <v>65317</v>
      </c>
      <c r="F54" s="580">
        <f t="shared" si="29"/>
        <v>66949</v>
      </c>
      <c r="G54" s="580">
        <f t="shared" si="29"/>
        <v>68624</v>
      </c>
      <c r="H54" s="580">
        <f t="shared" si="29"/>
        <v>69997</v>
      </c>
      <c r="I54" s="580">
        <f t="shared" si="29"/>
        <v>71396</v>
      </c>
      <c r="J54" s="580">
        <f t="shared" si="29"/>
        <v>72824</v>
      </c>
      <c r="K54" s="580">
        <f t="shared" si="29"/>
        <v>74282</v>
      </c>
      <c r="L54" s="580">
        <f t="shared" si="29"/>
        <v>76139</v>
      </c>
    </row>
    <row r="55" spans="1:13" x14ac:dyDescent="0.2">
      <c r="A55" s="288" t="s">
        <v>1918</v>
      </c>
      <c r="B55" s="548"/>
      <c r="C55" s="548"/>
      <c r="D55" s="548"/>
      <c r="E55" s="548"/>
      <c r="F55" s="548"/>
      <c r="G55" s="549">
        <f>+ROUND((((+G54*1.085)/$B$87)/37.69),2)</f>
        <v>37.85</v>
      </c>
      <c r="H55" s="549">
        <f t="shared" ref="H55:L55" si="30">+ROUND((((+H54*1.085)/$B$87)/37.69),2)</f>
        <v>38.6</v>
      </c>
      <c r="I55" s="549">
        <f t="shared" si="30"/>
        <v>39.369999999999997</v>
      </c>
      <c r="J55" s="549">
        <f t="shared" si="30"/>
        <v>40.159999999999997</v>
      </c>
      <c r="K55" s="549">
        <f t="shared" si="30"/>
        <v>40.97</v>
      </c>
      <c r="L55" s="549">
        <f t="shared" si="30"/>
        <v>41.99</v>
      </c>
    </row>
    <row r="56" spans="1:13" x14ac:dyDescent="0.2">
      <c r="A56" s="288" t="s">
        <v>1919</v>
      </c>
      <c r="B56" s="300"/>
      <c r="C56" s="580">
        <f t="shared" ref="C56:L56" si="31">ROUND((+C78*1.015),0)</f>
        <v>79022</v>
      </c>
      <c r="D56" s="580">
        <f t="shared" si="31"/>
        <v>80996</v>
      </c>
      <c r="E56" s="580">
        <f t="shared" si="31"/>
        <v>83024</v>
      </c>
      <c r="F56" s="580">
        <f t="shared" si="31"/>
        <v>85099</v>
      </c>
      <c r="G56" s="580">
        <f t="shared" si="31"/>
        <v>87227</v>
      </c>
      <c r="H56" s="580">
        <f t="shared" si="31"/>
        <v>89407</v>
      </c>
      <c r="I56" s="580">
        <f t="shared" si="31"/>
        <v>91196</v>
      </c>
      <c r="J56" s="580">
        <f t="shared" si="31"/>
        <v>93018</v>
      </c>
      <c r="K56" s="580">
        <f t="shared" si="31"/>
        <v>94878</v>
      </c>
      <c r="L56" s="580">
        <f t="shared" si="31"/>
        <v>97250</v>
      </c>
    </row>
    <row r="57" spans="1:13" x14ac:dyDescent="0.2">
      <c r="A57" s="288" t="s">
        <v>1920</v>
      </c>
      <c r="B57" s="300"/>
      <c r="C57" s="580">
        <f t="shared" ref="C57:L57" si="32">ROUND((+C79*1.015),0)</f>
        <v>86924</v>
      </c>
      <c r="D57" s="580">
        <f t="shared" si="32"/>
        <v>89098</v>
      </c>
      <c r="E57" s="580">
        <f t="shared" si="32"/>
        <v>91326</v>
      </c>
      <c r="F57" s="580">
        <f t="shared" si="32"/>
        <v>93607</v>
      </c>
      <c r="G57" s="580">
        <f t="shared" si="32"/>
        <v>95947</v>
      </c>
      <c r="H57" s="580">
        <f t="shared" si="32"/>
        <v>98345</v>
      </c>
      <c r="I57" s="580">
        <f t="shared" si="32"/>
        <v>100314</v>
      </c>
      <c r="J57" s="580">
        <f t="shared" si="32"/>
        <v>102319</v>
      </c>
      <c r="K57" s="580">
        <f t="shared" si="32"/>
        <v>104366</v>
      </c>
      <c r="L57" s="580">
        <f t="shared" si="32"/>
        <v>106976</v>
      </c>
    </row>
    <row r="58" spans="1:13" x14ac:dyDescent="0.2">
      <c r="A58" s="288" t="s">
        <v>1921</v>
      </c>
      <c r="B58" s="300"/>
      <c r="C58" s="580">
        <f t="shared" ref="C58:L58" si="33">ROUND((+C80*1.015),0)</f>
        <v>95616</v>
      </c>
      <c r="D58" s="580">
        <f t="shared" si="33"/>
        <v>98008</v>
      </c>
      <c r="E58" s="580">
        <f t="shared" si="33"/>
        <v>100458</v>
      </c>
      <c r="F58" s="580">
        <f t="shared" si="33"/>
        <v>102969</v>
      </c>
      <c r="G58" s="580">
        <f t="shared" si="33"/>
        <v>105544</v>
      </c>
      <c r="H58" s="580">
        <f t="shared" si="33"/>
        <v>108182</v>
      </c>
      <c r="I58" s="580">
        <f t="shared" si="33"/>
        <v>110344</v>
      </c>
      <c r="J58" s="580">
        <f t="shared" si="33"/>
        <v>112552</v>
      </c>
      <c r="K58" s="580">
        <f t="shared" si="33"/>
        <v>114804</v>
      </c>
      <c r="L58" s="580">
        <f t="shared" si="33"/>
        <v>117673</v>
      </c>
    </row>
    <row r="60" spans="1:13" x14ac:dyDescent="0.2">
      <c r="A60" s="288" t="s">
        <v>874</v>
      </c>
      <c r="B60" s="220" t="s">
        <v>1922</v>
      </c>
    </row>
    <row r="61" spans="1:13" x14ac:dyDescent="0.2">
      <c r="A61" s="288" t="s">
        <v>1914</v>
      </c>
      <c r="B61" s="828">
        <v>1</v>
      </c>
      <c r="C61" s="828">
        <v>2</v>
      </c>
      <c r="D61" s="828">
        <v>3</v>
      </c>
      <c r="E61" s="828">
        <v>4</v>
      </c>
      <c r="F61" s="828">
        <v>5</v>
      </c>
      <c r="G61" s="828">
        <v>6</v>
      </c>
      <c r="H61" s="828">
        <v>7</v>
      </c>
      <c r="I61" s="828">
        <v>8</v>
      </c>
      <c r="J61" s="828">
        <v>9</v>
      </c>
      <c r="K61" s="828">
        <v>10</v>
      </c>
      <c r="L61" s="828">
        <v>11</v>
      </c>
      <c r="M61" t="s">
        <v>1923</v>
      </c>
    </row>
    <row r="62" spans="1:13" x14ac:dyDescent="0.2">
      <c r="A62" s="288" t="s">
        <v>1924</v>
      </c>
      <c r="B62" s="887"/>
      <c r="C62" s="1">
        <f>ROUND((+C53/+$M$62),2)</f>
        <v>32.020000000000003</v>
      </c>
      <c r="D62" s="1">
        <f t="shared" ref="D62:L62" si="34">ROUND((+D53/+$M$62),2)</f>
        <v>32.82</v>
      </c>
      <c r="E62" s="1">
        <f t="shared" si="34"/>
        <v>33.64</v>
      </c>
      <c r="F62" s="1">
        <f t="shared" si="34"/>
        <v>34.49</v>
      </c>
      <c r="G62" s="1">
        <f t="shared" si="34"/>
        <v>35.35</v>
      </c>
      <c r="H62" s="1">
        <f t="shared" si="34"/>
        <v>36.049999999999997</v>
      </c>
      <c r="I62" s="1">
        <f t="shared" si="34"/>
        <v>36.78</v>
      </c>
      <c r="J62" s="1">
        <f t="shared" si="34"/>
        <v>37.51</v>
      </c>
      <c r="K62" s="1">
        <f t="shared" si="34"/>
        <v>38.26</v>
      </c>
      <c r="L62" s="1">
        <f t="shared" si="34"/>
        <v>39.22</v>
      </c>
      <c r="M62" s="783">
        <v>1827</v>
      </c>
    </row>
    <row r="63" spans="1:13" x14ac:dyDescent="0.2">
      <c r="A63" s="288" t="s">
        <v>1925</v>
      </c>
      <c r="B63" s="887"/>
      <c r="C63" s="1">
        <f>ROUND((+C53/$M$63),2)</f>
        <v>27.99</v>
      </c>
      <c r="D63" s="1">
        <f t="shared" ref="D63:L63" si="35">ROUND((+D53/$M$63),2)</f>
        <v>28.69</v>
      </c>
      <c r="E63" s="1">
        <f t="shared" si="35"/>
        <v>29.41</v>
      </c>
      <c r="F63" s="1">
        <f t="shared" si="35"/>
        <v>30.15</v>
      </c>
      <c r="G63" s="1">
        <f t="shared" si="35"/>
        <v>30.9</v>
      </c>
      <c r="H63" s="1">
        <f t="shared" si="35"/>
        <v>31.52</v>
      </c>
      <c r="I63" s="1">
        <f t="shared" si="35"/>
        <v>32.15</v>
      </c>
      <c r="J63" s="1">
        <f t="shared" si="35"/>
        <v>32.79</v>
      </c>
      <c r="K63" s="1">
        <f t="shared" si="35"/>
        <v>33.450000000000003</v>
      </c>
      <c r="L63" s="1">
        <f t="shared" si="35"/>
        <v>34.28</v>
      </c>
      <c r="M63" s="783">
        <v>2090</v>
      </c>
    </row>
    <row r="64" spans="1:13" x14ac:dyDescent="0.2">
      <c r="A64" s="288" t="s">
        <v>1926</v>
      </c>
      <c r="B64" s="887"/>
      <c r="C64" s="1">
        <f>ROUND((+C53/$M$64),2)</f>
        <v>28.02</v>
      </c>
      <c r="D64" s="1">
        <f t="shared" ref="D64:L64" si="36">ROUND((+D53/$M$64),2)</f>
        <v>28.72</v>
      </c>
      <c r="E64" s="1">
        <f t="shared" si="36"/>
        <v>29.44</v>
      </c>
      <c r="F64" s="1">
        <f t="shared" si="36"/>
        <v>30.17</v>
      </c>
      <c r="G64" s="1">
        <f t="shared" si="36"/>
        <v>30.93</v>
      </c>
      <c r="H64" s="1">
        <f t="shared" si="36"/>
        <v>31.55</v>
      </c>
      <c r="I64" s="1">
        <f t="shared" si="36"/>
        <v>32.18</v>
      </c>
      <c r="J64" s="1">
        <f t="shared" si="36"/>
        <v>32.82</v>
      </c>
      <c r="K64" s="1">
        <f t="shared" si="36"/>
        <v>33.479999999999997</v>
      </c>
      <c r="L64" s="1">
        <f t="shared" si="36"/>
        <v>34.32</v>
      </c>
      <c r="M64" s="783">
        <v>2088</v>
      </c>
    </row>
    <row r="65" spans="1:12" x14ac:dyDescent="0.2">
      <c r="A65" s="125" t="s">
        <v>1927</v>
      </c>
      <c r="B65" s="783">
        <v>52.2</v>
      </c>
      <c r="C65" s="220" t="s">
        <v>1928</v>
      </c>
      <c r="G65" s="64"/>
      <c r="H65" s="64"/>
      <c r="I65" s="64"/>
      <c r="J65" s="64"/>
      <c r="K65" s="64"/>
    </row>
    <row r="66" spans="1:12" x14ac:dyDescent="0.2">
      <c r="A66" s="299"/>
      <c r="G66" s="308"/>
    </row>
    <row r="67" spans="1:12" x14ac:dyDescent="0.2">
      <c r="A67" s="299" t="s">
        <v>1931</v>
      </c>
      <c r="G67" s="308"/>
    </row>
    <row r="68" spans="1:12" x14ac:dyDescent="0.2">
      <c r="B68" s="220" t="s">
        <v>1887</v>
      </c>
    </row>
    <row r="69" spans="1:12" x14ac:dyDescent="0.2">
      <c r="A69" s="288" t="s">
        <v>1914</v>
      </c>
      <c r="B69" s="828">
        <v>1</v>
      </c>
      <c r="C69" s="828">
        <v>2</v>
      </c>
      <c r="D69" s="828">
        <v>3</v>
      </c>
      <c r="E69" s="828">
        <v>4</v>
      </c>
      <c r="F69" s="828">
        <v>5</v>
      </c>
      <c r="G69" s="828">
        <v>6</v>
      </c>
      <c r="H69" s="828">
        <v>7</v>
      </c>
      <c r="I69" s="828">
        <v>8</v>
      </c>
      <c r="J69" s="828">
        <v>9</v>
      </c>
      <c r="K69" s="828">
        <v>10</v>
      </c>
      <c r="L69" s="828">
        <v>11</v>
      </c>
    </row>
    <row r="70" spans="1:12" x14ac:dyDescent="0.2">
      <c r="A70" s="288" t="s">
        <v>1804</v>
      </c>
      <c r="B70" s="236"/>
      <c r="C70" s="236">
        <f>ROUND((+C92*1.015),2)</f>
        <v>15.26</v>
      </c>
      <c r="D70" s="236">
        <f t="shared" ref="D70:L70" si="37">ROUND((+D92*1.015),2)</f>
        <v>15.63</v>
      </c>
      <c r="E70" s="236">
        <f t="shared" si="37"/>
        <v>16.05</v>
      </c>
      <c r="F70" s="236">
        <f t="shared" si="37"/>
        <v>16.41</v>
      </c>
      <c r="G70" s="236">
        <f t="shared" si="37"/>
        <v>16.84</v>
      </c>
      <c r="H70" s="236">
        <f t="shared" si="37"/>
        <v>17.22</v>
      </c>
      <c r="I70" s="236">
        <f t="shared" si="37"/>
        <v>17.600000000000001</v>
      </c>
      <c r="J70" s="236">
        <f t="shared" si="37"/>
        <v>17.96</v>
      </c>
      <c r="K70" s="236">
        <f t="shared" si="37"/>
        <v>18.32</v>
      </c>
      <c r="L70" s="236">
        <f t="shared" si="37"/>
        <v>18.78</v>
      </c>
    </row>
    <row r="71" spans="1:12" x14ac:dyDescent="0.2">
      <c r="A71" s="288" t="s">
        <v>1808</v>
      </c>
      <c r="B71" s="236"/>
      <c r="C71" s="236">
        <f t="shared" ref="C71:L74" si="38">ROUND((+C93*1.015),2)</f>
        <v>17.989999999999998</v>
      </c>
      <c r="D71" s="236">
        <f t="shared" si="38"/>
        <v>18.43</v>
      </c>
      <c r="E71" s="236">
        <f t="shared" si="38"/>
        <v>18.89</v>
      </c>
      <c r="F71" s="236">
        <f t="shared" si="38"/>
        <v>19.37</v>
      </c>
      <c r="G71" s="236">
        <f t="shared" si="38"/>
        <v>19.850000000000001</v>
      </c>
      <c r="H71" s="236">
        <f t="shared" si="38"/>
        <v>20.36</v>
      </c>
      <c r="I71" s="236">
        <f t="shared" si="38"/>
        <v>20.75</v>
      </c>
      <c r="J71" s="236">
        <f t="shared" si="38"/>
        <v>21.18</v>
      </c>
      <c r="K71" s="236">
        <f t="shared" si="38"/>
        <v>21.6</v>
      </c>
      <c r="L71" s="236">
        <f t="shared" si="38"/>
        <v>22.14</v>
      </c>
    </row>
    <row r="72" spans="1:12" x14ac:dyDescent="0.2">
      <c r="A72" s="288" t="s">
        <v>1814</v>
      </c>
      <c r="B72" s="236"/>
      <c r="C72" s="236">
        <f t="shared" si="38"/>
        <v>19.36</v>
      </c>
      <c r="D72" s="236">
        <f t="shared" si="38"/>
        <v>19.829999999999998</v>
      </c>
      <c r="E72" s="236">
        <f t="shared" si="38"/>
        <v>20.34</v>
      </c>
      <c r="F72" s="236">
        <f t="shared" si="38"/>
        <v>20.83</v>
      </c>
      <c r="G72" s="236">
        <f t="shared" si="38"/>
        <v>21.38</v>
      </c>
      <c r="H72" s="236">
        <f t="shared" si="38"/>
        <v>21.88</v>
      </c>
      <c r="I72" s="236">
        <f t="shared" si="38"/>
        <v>22.34</v>
      </c>
      <c r="J72" s="236">
        <f t="shared" si="38"/>
        <v>22.78</v>
      </c>
      <c r="K72" s="236">
        <f t="shared" si="38"/>
        <v>23.23</v>
      </c>
      <c r="L72" s="236">
        <f t="shared" si="38"/>
        <v>23.81</v>
      </c>
    </row>
    <row r="73" spans="1:12" x14ac:dyDescent="0.2">
      <c r="A73" s="288" t="s">
        <v>1817</v>
      </c>
      <c r="B73" s="236"/>
      <c r="C73" s="236">
        <f t="shared" si="38"/>
        <v>21.09</v>
      </c>
      <c r="D73" s="236">
        <f t="shared" si="38"/>
        <v>21.62</v>
      </c>
      <c r="E73" s="236">
        <f t="shared" si="38"/>
        <v>22.16</v>
      </c>
      <c r="F73" s="236">
        <f t="shared" si="38"/>
        <v>22.71</v>
      </c>
      <c r="G73" s="236">
        <f t="shared" si="38"/>
        <v>23.29</v>
      </c>
      <c r="H73" s="236">
        <f t="shared" si="38"/>
        <v>23.87</v>
      </c>
      <c r="I73" s="236">
        <f t="shared" si="38"/>
        <v>24.34</v>
      </c>
      <c r="J73" s="236">
        <f t="shared" si="38"/>
        <v>24.84</v>
      </c>
      <c r="K73" s="236">
        <f t="shared" si="38"/>
        <v>25.32</v>
      </c>
      <c r="L73" s="236">
        <f t="shared" si="38"/>
        <v>25.95</v>
      </c>
    </row>
    <row r="74" spans="1:12" x14ac:dyDescent="0.2">
      <c r="A74" s="288" t="s">
        <v>1915</v>
      </c>
      <c r="B74" s="236"/>
      <c r="C74" s="236">
        <f t="shared" si="38"/>
        <v>22.77</v>
      </c>
      <c r="D74" s="236">
        <f t="shared" si="38"/>
        <v>23.35</v>
      </c>
      <c r="E74" s="236">
        <f t="shared" si="38"/>
        <v>23.92</v>
      </c>
      <c r="F74" s="236">
        <f t="shared" si="38"/>
        <v>24.52</v>
      </c>
      <c r="G74" s="236">
        <f t="shared" si="38"/>
        <v>25.13</v>
      </c>
      <c r="H74" s="236">
        <f t="shared" si="38"/>
        <v>25.76</v>
      </c>
      <c r="I74" s="236">
        <f t="shared" si="38"/>
        <v>26.28</v>
      </c>
      <c r="J74" s="236">
        <f t="shared" si="38"/>
        <v>26.81</v>
      </c>
      <c r="K74" s="236">
        <f t="shared" si="38"/>
        <v>27.34</v>
      </c>
      <c r="L74" s="236">
        <f t="shared" si="38"/>
        <v>28.02</v>
      </c>
    </row>
    <row r="75" spans="1:12" x14ac:dyDescent="0.2">
      <c r="A75" s="288" t="s">
        <v>1916</v>
      </c>
      <c r="B75" s="300"/>
      <c r="C75" s="580">
        <f>ROUND((+C97*1.015),0)</f>
        <v>57643</v>
      </c>
      <c r="D75" s="580">
        <f t="shared" ref="D75:L75" si="39">ROUND((+D97*1.015),0)</f>
        <v>59082</v>
      </c>
      <c r="E75" s="580">
        <f t="shared" si="39"/>
        <v>60560</v>
      </c>
      <c r="F75" s="580">
        <f t="shared" si="39"/>
        <v>62074</v>
      </c>
      <c r="G75" s="580">
        <f t="shared" si="39"/>
        <v>63627</v>
      </c>
      <c r="H75" s="580">
        <f t="shared" si="39"/>
        <v>64898</v>
      </c>
      <c r="I75" s="580">
        <f t="shared" si="39"/>
        <v>66197</v>
      </c>
      <c r="J75" s="580">
        <f t="shared" si="39"/>
        <v>67520</v>
      </c>
      <c r="K75" s="580">
        <f t="shared" si="39"/>
        <v>68870</v>
      </c>
      <c r="L75" s="580">
        <f t="shared" si="39"/>
        <v>70591</v>
      </c>
    </row>
    <row r="76" spans="1:12" x14ac:dyDescent="0.2">
      <c r="A76" s="288" t="s">
        <v>1917</v>
      </c>
      <c r="B76" s="300"/>
      <c r="C76" s="580">
        <f>ROUND((+C98*1.015),0)</f>
        <v>61251</v>
      </c>
      <c r="D76" s="580">
        <f t="shared" ref="D76:L76" si="40">ROUND((+D98*1.015),0)</f>
        <v>62783</v>
      </c>
      <c r="E76" s="580">
        <f t="shared" si="40"/>
        <v>64352</v>
      </c>
      <c r="F76" s="580">
        <f t="shared" si="40"/>
        <v>65960</v>
      </c>
      <c r="G76" s="580">
        <f t="shared" si="40"/>
        <v>67610</v>
      </c>
      <c r="H76" s="580">
        <f t="shared" si="40"/>
        <v>68963</v>
      </c>
      <c r="I76" s="580">
        <f t="shared" si="40"/>
        <v>70341</v>
      </c>
      <c r="J76" s="580">
        <f t="shared" si="40"/>
        <v>71748</v>
      </c>
      <c r="K76" s="580">
        <f t="shared" si="40"/>
        <v>73184</v>
      </c>
      <c r="L76" s="580">
        <f t="shared" si="40"/>
        <v>75014</v>
      </c>
    </row>
    <row r="77" spans="1:12" x14ac:dyDescent="0.2">
      <c r="A77" s="288" t="s">
        <v>1918</v>
      </c>
      <c r="B77" s="548"/>
      <c r="C77" s="548"/>
      <c r="D77" s="548"/>
      <c r="E77" s="548"/>
      <c r="F77" s="548"/>
      <c r="G77" s="549">
        <f>+ROUND((((+G76*1.085)/$B$87)/37.69),2)</f>
        <v>37.29</v>
      </c>
      <c r="H77" s="549">
        <f t="shared" ref="H77:L77" si="41">+ROUND((((+H76*1.085)/$B$87)/37.69),2)</f>
        <v>38.03</v>
      </c>
      <c r="I77" s="549">
        <f t="shared" si="41"/>
        <v>38.79</v>
      </c>
      <c r="J77" s="549">
        <f t="shared" si="41"/>
        <v>39.57</v>
      </c>
      <c r="K77" s="549">
        <f t="shared" si="41"/>
        <v>40.36</v>
      </c>
      <c r="L77" s="549">
        <f t="shared" si="41"/>
        <v>41.37</v>
      </c>
    </row>
    <row r="78" spans="1:12" x14ac:dyDescent="0.2">
      <c r="A78" s="288" t="s">
        <v>1919</v>
      </c>
      <c r="B78" s="300"/>
      <c r="C78" s="580">
        <f t="shared" ref="C78:L80" si="42">ROUND((+C100*1.015),0)</f>
        <v>77854</v>
      </c>
      <c r="D78" s="580">
        <f t="shared" si="42"/>
        <v>79799</v>
      </c>
      <c r="E78" s="580">
        <f t="shared" si="42"/>
        <v>81797</v>
      </c>
      <c r="F78" s="580">
        <f t="shared" si="42"/>
        <v>83841</v>
      </c>
      <c r="G78" s="580">
        <f t="shared" si="42"/>
        <v>85938</v>
      </c>
      <c r="H78" s="580">
        <f t="shared" si="42"/>
        <v>88086</v>
      </c>
      <c r="I78" s="580">
        <f t="shared" si="42"/>
        <v>89848</v>
      </c>
      <c r="J78" s="580">
        <f t="shared" si="42"/>
        <v>91643</v>
      </c>
      <c r="K78" s="580">
        <f t="shared" si="42"/>
        <v>93476</v>
      </c>
      <c r="L78" s="580">
        <f t="shared" si="42"/>
        <v>95813</v>
      </c>
    </row>
    <row r="79" spans="1:12" x14ac:dyDescent="0.2">
      <c r="A79" s="288" t="s">
        <v>1920</v>
      </c>
      <c r="B79" s="300"/>
      <c r="C79" s="580">
        <f t="shared" si="42"/>
        <v>85639</v>
      </c>
      <c r="D79" s="580">
        <f t="shared" si="42"/>
        <v>87781</v>
      </c>
      <c r="E79" s="580">
        <f t="shared" si="42"/>
        <v>89976</v>
      </c>
      <c r="F79" s="580">
        <f t="shared" si="42"/>
        <v>92224</v>
      </c>
      <c r="G79" s="580">
        <f t="shared" si="42"/>
        <v>94529</v>
      </c>
      <c r="H79" s="580">
        <f t="shared" si="42"/>
        <v>96892</v>
      </c>
      <c r="I79" s="580">
        <f t="shared" si="42"/>
        <v>98832</v>
      </c>
      <c r="J79" s="580">
        <f t="shared" si="42"/>
        <v>100807</v>
      </c>
      <c r="K79" s="580">
        <f t="shared" si="42"/>
        <v>102824</v>
      </c>
      <c r="L79" s="580">
        <f t="shared" si="42"/>
        <v>105395</v>
      </c>
    </row>
    <row r="80" spans="1:12" x14ac:dyDescent="0.2">
      <c r="A80" s="288" t="s">
        <v>1921</v>
      </c>
      <c r="B80" s="300"/>
      <c r="C80" s="580">
        <f t="shared" si="42"/>
        <v>94203</v>
      </c>
      <c r="D80" s="580">
        <f t="shared" si="42"/>
        <v>96560</v>
      </c>
      <c r="E80" s="580">
        <f t="shared" si="42"/>
        <v>98973</v>
      </c>
      <c r="F80" s="580">
        <f t="shared" si="42"/>
        <v>101447</v>
      </c>
      <c r="G80" s="580">
        <f t="shared" si="42"/>
        <v>103984</v>
      </c>
      <c r="H80" s="580">
        <f t="shared" si="42"/>
        <v>106583</v>
      </c>
      <c r="I80" s="580">
        <f t="shared" si="42"/>
        <v>108713</v>
      </c>
      <c r="J80" s="580">
        <f t="shared" si="42"/>
        <v>110889</v>
      </c>
      <c r="K80" s="580">
        <f t="shared" si="42"/>
        <v>113107</v>
      </c>
      <c r="L80" s="580">
        <f t="shared" si="42"/>
        <v>115934</v>
      </c>
    </row>
    <row r="82" spans="1:12" x14ac:dyDescent="0.2">
      <c r="A82" s="288" t="s">
        <v>874</v>
      </c>
      <c r="B82" s="220" t="s">
        <v>1922</v>
      </c>
    </row>
    <row r="83" spans="1:12" x14ac:dyDescent="0.2">
      <c r="A83" s="288" t="s">
        <v>1914</v>
      </c>
      <c r="B83" s="828">
        <v>1</v>
      </c>
      <c r="C83" s="828">
        <v>2</v>
      </c>
      <c r="D83" s="828">
        <v>3</v>
      </c>
      <c r="E83" s="828">
        <v>4</v>
      </c>
      <c r="F83" s="828">
        <v>5</v>
      </c>
      <c r="G83" s="828">
        <v>6</v>
      </c>
      <c r="H83" s="828">
        <v>7</v>
      </c>
      <c r="I83" s="828">
        <v>8</v>
      </c>
      <c r="J83" s="828">
        <v>9</v>
      </c>
      <c r="K83" s="828">
        <v>10</v>
      </c>
      <c r="L83" s="828">
        <v>11</v>
      </c>
    </row>
    <row r="84" spans="1:12" x14ac:dyDescent="0.2">
      <c r="A84" s="288" t="s">
        <v>1924</v>
      </c>
      <c r="B84" s="1"/>
      <c r="C84" s="1">
        <f>ROUND((+C75/+'To Do and Changes'!$E21),2)</f>
        <v>31.67</v>
      </c>
      <c r="D84" s="1">
        <f>ROUND((+D75/+'To Do and Changes'!$E21),2)</f>
        <v>32.46</v>
      </c>
      <c r="E84" s="1">
        <f>ROUND((+E75/+'To Do and Changes'!$E21),2)</f>
        <v>33.270000000000003</v>
      </c>
      <c r="F84" s="1">
        <f>ROUND((+F75/+'To Do and Changes'!$E21),2)</f>
        <v>34.11</v>
      </c>
      <c r="G84" s="1">
        <f>ROUND((+G75/+'To Do and Changes'!$E21),2)</f>
        <v>34.96</v>
      </c>
      <c r="H84" s="1">
        <f>ROUND((+H75/+'To Do and Changes'!$E21),2)</f>
        <v>35.659999999999997</v>
      </c>
      <c r="I84" s="1">
        <f>ROUND((+I75/+'To Do and Changes'!$E21),2)</f>
        <v>36.369999999999997</v>
      </c>
      <c r="J84" s="1">
        <f>ROUND((+J75/+'To Do and Changes'!$E21),2)</f>
        <v>37.1</v>
      </c>
      <c r="K84" s="1">
        <f>ROUND((+K75/+'To Do and Changes'!$E21),2)</f>
        <v>37.840000000000003</v>
      </c>
      <c r="L84" s="1">
        <f>ROUND((+L75/+'To Do and Changes'!$E21),2)</f>
        <v>38.79</v>
      </c>
    </row>
    <row r="85" spans="1:12" x14ac:dyDescent="0.2">
      <c r="A85" s="288" t="s">
        <v>1925</v>
      </c>
      <c r="B85" s="1"/>
      <c r="C85" s="1">
        <f>ROUND((+C75/'To Do and Changes'!$E24),2)</f>
        <v>27.71</v>
      </c>
      <c r="D85" s="1">
        <f>ROUND((+D75/'To Do and Changes'!$E24),2)</f>
        <v>28.4</v>
      </c>
      <c r="E85" s="1">
        <f>ROUND((+E75/'To Do and Changes'!$E24),2)</f>
        <v>29.12</v>
      </c>
      <c r="F85" s="1">
        <f>ROUND((+F75/'To Do and Changes'!$E24),2)</f>
        <v>29.84</v>
      </c>
      <c r="G85" s="1">
        <f>ROUND((+G75/'To Do and Changes'!$E24),2)</f>
        <v>30.59</v>
      </c>
      <c r="H85" s="1">
        <f>ROUND((+H75/'To Do and Changes'!$E24),2)</f>
        <v>31.2</v>
      </c>
      <c r="I85" s="1">
        <f>ROUND((+I75/'To Do and Changes'!$E24),2)</f>
        <v>31.83</v>
      </c>
      <c r="J85" s="1">
        <f>ROUND((+J75/'To Do and Changes'!$E24),2)</f>
        <v>32.46</v>
      </c>
      <c r="K85" s="1">
        <f>ROUND((+K75/'To Do and Changes'!$E24),2)</f>
        <v>33.11</v>
      </c>
      <c r="L85" s="1">
        <f>ROUND((+L75/'To Do and Changes'!$E24),2)</f>
        <v>33.94</v>
      </c>
    </row>
    <row r="86" spans="1:12" x14ac:dyDescent="0.2">
      <c r="A86" s="288" t="s">
        <v>1926</v>
      </c>
      <c r="B86" s="1"/>
      <c r="C86" s="1">
        <f>ROUND((+C75/+'To Do and Changes'!$E23),2)</f>
        <v>27.71</v>
      </c>
      <c r="D86" s="1">
        <f>ROUND((+D75/+'To Do and Changes'!$E23),2)</f>
        <v>28.4</v>
      </c>
      <c r="E86" s="1">
        <f>ROUND((+E75/+'To Do and Changes'!$E23),2)</f>
        <v>29.12</v>
      </c>
      <c r="F86" s="1">
        <f>ROUND((+F75/+'To Do and Changes'!$E23),2)</f>
        <v>29.84</v>
      </c>
      <c r="G86" s="1">
        <f>ROUND((+G75/+'To Do and Changes'!$E23),2)</f>
        <v>30.59</v>
      </c>
      <c r="H86" s="1">
        <f>ROUND((+H75/+'To Do and Changes'!$E23),2)</f>
        <v>31.2</v>
      </c>
      <c r="I86" s="1">
        <f>ROUND((+I75/+'To Do and Changes'!$E23),2)</f>
        <v>31.83</v>
      </c>
      <c r="J86" s="1">
        <f>ROUND((+J75/+'To Do and Changes'!$E23),2)</f>
        <v>32.46</v>
      </c>
      <c r="K86" s="1">
        <f>ROUND((+K75/+'To Do and Changes'!$E23),2)</f>
        <v>33.11</v>
      </c>
      <c r="L86" s="1">
        <f>ROUND((+L75/+'To Do and Changes'!$E23),2)</f>
        <v>33.94</v>
      </c>
    </row>
    <row r="87" spans="1:12" x14ac:dyDescent="0.2">
      <c r="A87" s="125" t="s">
        <v>1927</v>
      </c>
      <c r="B87" s="783">
        <v>52.2</v>
      </c>
      <c r="C87" s="220" t="s">
        <v>1928</v>
      </c>
      <c r="G87" s="64"/>
      <c r="H87" s="64"/>
      <c r="I87" s="64"/>
      <c r="J87" s="64"/>
      <c r="K87" s="64"/>
    </row>
    <row r="89" spans="1:12" x14ac:dyDescent="0.2">
      <c r="A89" s="299" t="s">
        <v>1932</v>
      </c>
    </row>
    <row r="90" spans="1:12" x14ac:dyDescent="0.2">
      <c r="B90" s="220" t="s">
        <v>1887</v>
      </c>
      <c r="L90" s="343" t="s">
        <v>1933</v>
      </c>
    </row>
    <row r="91" spans="1:12" x14ac:dyDescent="0.2">
      <c r="A91" s="288" t="s">
        <v>1914</v>
      </c>
      <c r="B91" s="828">
        <v>1</v>
      </c>
      <c r="C91" s="828">
        <v>2</v>
      </c>
      <c r="D91" s="828">
        <v>3</v>
      </c>
      <c r="E91" s="828">
        <v>4</v>
      </c>
      <c r="F91" s="828">
        <v>5</v>
      </c>
      <c r="G91" s="828">
        <v>6</v>
      </c>
      <c r="H91" s="828">
        <v>7</v>
      </c>
      <c r="I91" s="828">
        <v>8</v>
      </c>
      <c r="J91" s="828">
        <v>9</v>
      </c>
      <c r="K91" s="828">
        <v>10</v>
      </c>
      <c r="L91" s="828">
        <v>11</v>
      </c>
    </row>
    <row r="92" spans="1:12" x14ac:dyDescent="0.2">
      <c r="A92" s="288" t="s">
        <v>1804</v>
      </c>
      <c r="B92" s="236"/>
      <c r="C92" s="236">
        <f t="shared" ref="C92:K92" si="43">ROUND((+C114*1.01),2)</f>
        <v>15.03</v>
      </c>
      <c r="D92" s="236">
        <f t="shared" si="43"/>
        <v>15.4</v>
      </c>
      <c r="E92" s="236">
        <f t="shared" si="43"/>
        <v>15.81</v>
      </c>
      <c r="F92" s="236">
        <f t="shared" si="43"/>
        <v>16.170000000000002</v>
      </c>
      <c r="G92" s="236">
        <f t="shared" si="43"/>
        <v>16.59</v>
      </c>
      <c r="H92" s="236">
        <f t="shared" si="43"/>
        <v>16.97</v>
      </c>
      <c r="I92" s="236">
        <f t="shared" si="43"/>
        <v>17.34</v>
      </c>
      <c r="J92" s="236">
        <f t="shared" si="43"/>
        <v>17.690000000000001</v>
      </c>
      <c r="K92" s="236">
        <f t="shared" si="43"/>
        <v>18.05</v>
      </c>
      <c r="L92" s="582">
        <f>ROUND((+K92*1.025),2)</f>
        <v>18.5</v>
      </c>
    </row>
    <row r="93" spans="1:12" x14ac:dyDescent="0.2">
      <c r="A93" s="288" t="s">
        <v>1808</v>
      </c>
      <c r="B93" s="236"/>
      <c r="C93" s="236">
        <f t="shared" ref="C93:K96" si="44">ROUND((+C115*1.01),2)</f>
        <v>17.72</v>
      </c>
      <c r="D93" s="236">
        <f t="shared" si="44"/>
        <v>18.16</v>
      </c>
      <c r="E93" s="236">
        <f t="shared" si="44"/>
        <v>18.61</v>
      </c>
      <c r="F93" s="236">
        <f t="shared" si="44"/>
        <v>19.079999999999998</v>
      </c>
      <c r="G93" s="236">
        <f t="shared" si="44"/>
        <v>19.559999999999999</v>
      </c>
      <c r="H93" s="236">
        <f t="shared" si="44"/>
        <v>20.059999999999999</v>
      </c>
      <c r="I93" s="236">
        <f t="shared" si="44"/>
        <v>20.440000000000001</v>
      </c>
      <c r="J93" s="236">
        <f t="shared" si="44"/>
        <v>20.87</v>
      </c>
      <c r="K93" s="236">
        <f t="shared" si="44"/>
        <v>21.28</v>
      </c>
      <c r="L93" s="582">
        <f t="shared" ref="L93:L96" si="45">ROUND((+K93*1.025),2)</f>
        <v>21.81</v>
      </c>
    </row>
    <row r="94" spans="1:12" x14ac:dyDescent="0.2">
      <c r="A94" s="288" t="s">
        <v>1814</v>
      </c>
      <c r="B94" s="236"/>
      <c r="C94" s="236">
        <f t="shared" si="44"/>
        <v>19.07</v>
      </c>
      <c r="D94" s="236">
        <f t="shared" si="44"/>
        <v>19.54</v>
      </c>
      <c r="E94" s="236">
        <f t="shared" si="44"/>
        <v>20.04</v>
      </c>
      <c r="F94" s="236">
        <f t="shared" si="44"/>
        <v>20.52</v>
      </c>
      <c r="G94" s="236">
        <f t="shared" si="44"/>
        <v>21.06</v>
      </c>
      <c r="H94" s="236">
        <f t="shared" si="44"/>
        <v>21.56</v>
      </c>
      <c r="I94" s="236">
        <f t="shared" si="44"/>
        <v>22.01</v>
      </c>
      <c r="J94" s="236">
        <f t="shared" si="44"/>
        <v>22.44</v>
      </c>
      <c r="K94" s="236">
        <f t="shared" si="44"/>
        <v>22.89</v>
      </c>
      <c r="L94" s="582">
        <f t="shared" si="45"/>
        <v>23.46</v>
      </c>
    </row>
    <row r="95" spans="1:12" x14ac:dyDescent="0.2">
      <c r="A95" s="288" t="s">
        <v>1817</v>
      </c>
      <c r="B95" s="236"/>
      <c r="C95" s="236">
        <f t="shared" si="44"/>
        <v>20.78</v>
      </c>
      <c r="D95" s="236">
        <f t="shared" si="44"/>
        <v>21.3</v>
      </c>
      <c r="E95" s="236">
        <f t="shared" si="44"/>
        <v>21.83</v>
      </c>
      <c r="F95" s="236">
        <f t="shared" si="44"/>
        <v>22.37</v>
      </c>
      <c r="G95" s="236">
        <f t="shared" si="44"/>
        <v>22.95</v>
      </c>
      <c r="H95" s="236">
        <f t="shared" si="44"/>
        <v>23.52</v>
      </c>
      <c r="I95" s="236">
        <f t="shared" si="44"/>
        <v>23.98</v>
      </c>
      <c r="J95" s="236">
        <f t="shared" si="44"/>
        <v>24.47</v>
      </c>
      <c r="K95" s="236">
        <f t="shared" si="44"/>
        <v>24.95</v>
      </c>
      <c r="L95" s="582">
        <f t="shared" si="45"/>
        <v>25.57</v>
      </c>
    </row>
    <row r="96" spans="1:12" x14ac:dyDescent="0.2">
      <c r="A96" s="288" t="s">
        <v>1915</v>
      </c>
      <c r="B96" s="236"/>
      <c r="C96" s="236">
        <f t="shared" si="44"/>
        <v>22.43</v>
      </c>
      <c r="D96" s="236">
        <f t="shared" si="44"/>
        <v>23</v>
      </c>
      <c r="E96" s="236">
        <f t="shared" si="44"/>
        <v>23.57</v>
      </c>
      <c r="F96" s="236">
        <f t="shared" si="44"/>
        <v>24.16</v>
      </c>
      <c r="G96" s="236">
        <f t="shared" si="44"/>
        <v>24.76</v>
      </c>
      <c r="H96" s="236">
        <f t="shared" si="44"/>
        <v>25.38</v>
      </c>
      <c r="I96" s="236">
        <f t="shared" si="44"/>
        <v>25.89</v>
      </c>
      <c r="J96" s="236">
        <f t="shared" si="44"/>
        <v>26.41</v>
      </c>
      <c r="K96" s="236">
        <f t="shared" si="44"/>
        <v>26.94</v>
      </c>
      <c r="L96" s="582">
        <f t="shared" si="45"/>
        <v>27.61</v>
      </c>
    </row>
    <row r="97" spans="1:12" x14ac:dyDescent="0.2">
      <c r="A97" s="288" t="s">
        <v>1916</v>
      </c>
      <c r="B97" s="580"/>
      <c r="C97" s="580">
        <f>ROUND((+C119*1.01),0)</f>
        <v>56791</v>
      </c>
      <c r="D97" s="580">
        <f t="shared" ref="D97:K97" si="46">ROUND((+D119*1.01),0)</f>
        <v>58209</v>
      </c>
      <c r="E97" s="580">
        <f t="shared" si="46"/>
        <v>59665</v>
      </c>
      <c r="F97" s="580">
        <f t="shared" si="46"/>
        <v>61157</v>
      </c>
      <c r="G97" s="580">
        <f t="shared" si="46"/>
        <v>62687</v>
      </c>
      <c r="H97" s="580">
        <f t="shared" si="46"/>
        <v>63939</v>
      </c>
      <c r="I97" s="580">
        <f t="shared" si="46"/>
        <v>65219</v>
      </c>
      <c r="J97" s="580">
        <f t="shared" si="46"/>
        <v>66522</v>
      </c>
      <c r="K97" s="580">
        <f t="shared" si="46"/>
        <v>67852</v>
      </c>
      <c r="L97" s="583">
        <f>ROUND((+K97*1.025),0)</f>
        <v>69548</v>
      </c>
    </row>
    <row r="98" spans="1:12" x14ac:dyDescent="0.2">
      <c r="A98" s="288" t="s">
        <v>1917</v>
      </c>
      <c r="B98" s="580"/>
      <c r="C98" s="580">
        <f>ROUND((+C120*1.01),0)</f>
        <v>60346</v>
      </c>
      <c r="D98" s="580">
        <f t="shared" ref="D98:K98" si="47">ROUND((+D120*1.01),0)</f>
        <v>61855</v>
      </c>
      <c r="E98" s="580">
        <f t="shared" si="47"/>
        <v>63401</v>
      </c>
      <c r="F98" s="580">
        <f t="shared" si="47"/>
        <v>64985</v>
      </c>
      <c r="G98" s="580">
        <f t="shared" si="47"/>
        <v>66611</v>
      </c>
      <c r="H98" s="580">
        <f t="shared" si="47"/>
        <v>67944</v>
      </c>
      <c r="I98" s="580">
        <f t="shared" si="47"/>
        <v>69301</v>
      </c>
      <c r="J98" s="580">
        <f t="shared" si="47"/>
        <v>70688</v>
      </c>
      <c r="K98" s="580">
        <f t="shared" si="47"/>
        <v>72102</v>
      </c>
      <c r="L98" s="583">
        <f>ROUND((+K98*1.025),0)</f>
        <v>73905</v>
      </c>
    </row>
    <row r="99" spans="1:12" x14ac:dyDescent="0.2">
      <c r="A99" s="288" t="s">
        <v>1918</v>
      </c>
      <c r="B99" s="581"/>
      <c r="C99" s="581">
        <f t="shared" ref="C99:F99" si="48">+ROUND((((+C98*1.085)/$B$109)/37.69),2)</f>
        <v>33.15</v>
      </c>
      <c r="D99" s="581">
        <f t="shared" si="48"/>
        <v>33.979999999999997</v>
      </c>
      <c r="E99" s="581">
        <f t="shared" si="48"/>
        <v>34.83</v>
      </c>
      <c r="F99" s="581">
        <f t="shared" si="48"/>
        <v>35.700000000000003</v>
      </c>
      <c r="G99" s="549">
        <f t="shared" ref="G99:L99" si="49">+ROUND((((+G98*1.085)/$B$109)/37.69),2)</f>
        <v>36.590000000000003</v>
      </c>
      <c r="H99" s="549">
        <f t="shared" si="49"/>
        <v>37.33</v>
      </c>
      <c r="I99" s="549">
        <f t="shared" si="49"/>
        <v>38.07</v>
      </c>
      <c r="J99" s="549">
        <f t="shared" si="49"/>
        <v>38.83</v>
      </c>
      <c r="K99" s="549">
        <f t="shared" si="49"/>
        <v>39.61</v>
      </c>
      <c r="L99" s="549">
        <f t="shared" si="49"/>
        <v>40.6</v>
      </c>
    </row>
    <row r="100" spans="1:12" x14ac:dyDescent="0.2">
      <c r="A100" s="288" t="s">
        <v>1919</v>
      </c>
      <c r="B100" s="580"/>
      <c r="C100" s="580">
        <f t="shared" ref="C100:C102" si="50">ROUND((+C122*1.01),0)</f>
        <v>76703</v>
      </c>
      <c r="D100" s="580">
        <f t="shared" ref="D100:K100" si="51">ROUND((+D122*1.01),0)</f>
        <v>78620</v>
      </c>
      <c r="E100" s="580">
        <f t="shared" si="51"/>
        <v>80588</v>
      </c>
      <c r="F100" s="580">
        <f t="shared" si="51"/>
        <v>82602</v>
      </c>
      <c r="G100" s="580">
        <f t="shared" si="51"/>
        <v>84668</v>
      </c>
      <c r="H100" s="580">
        <f t="shared" si="51"/>
        <v>86784</v>
      </c>
      <c r="I100" s="580">
        <f t="shared" si="51"/>
        <v>88520</v>
      </c>
      <c r="J100" s="580">
        <f t="shared" si="51"/>
        <v>90289</v>
      </c>
      <c r="K100" s="580">
        <f t="shared" si="51"/>
        <v>92095</v>
      </c>
      <c r="L100" s="583">
        <f t="shared" ref="L100:L102" si="52">ROUND((+K100*1.025),0)</f>
        <v>94397</v>
      </c>
    </row>
    <row r="101" spans="1:12" x14ac:dyDescent="0.2">
      <c r="A101" s="288" t="s">
        <v>1920</v>
      </c>
      <c r="B101" s="580"/>
      <c r="C101" s="580">
        <f t="shared" si="50"/>
        <v>84373</v>
      </c>
      <c r="D101" s="580">
        <f t="shared" ref="D101:K101" si="53">ROUND((+D123*1.01),0)</f>
        <v>86484</v>
      </c>
      <c r="E101" s="580">
        <f t="shared" si="53"/>
        <v>88646</v>
      </c>
      <c r="F101" s="580">
        <f t="shared" si="53"/>
        <v>90861</v>
      </c>
      <c r="G101" s="580">
        <f t="shared" si="53"/>
        <v>93132</v>
      </c>
      <c r="H101" s="580">
        <f t="shared" si="53"/>
        <v>95460</v>
      </c>
      <c r="I101" s="580">
        <f t="shared" si="53"/>
        <v>97371</v>
      </c>
      <c r="J101" s="580">
        <f t="shared" si="53"/>
        <v>99317</v>
      </c>
      <c r="K101" s="580">
        <f t="shared" si="53"/>
        <v>101304</v>
      </c>
      <c r="L101" s="583">
        <f t="shared" si="52"/>
        <v>103837</v>
      </c>
    </row>
    <row r="102" spans="1:12" x14ac:dyDescent="0.2">
      <c r="A102" s="288" t="s">
        <v>1921</v>
      </c>
      <c r="B102" s="580"/>
      <c r="C102" s="580">
        <f t="shared" si="50"/>
        <v>92811</v>
      </c>
      <c r="D102" s="580">
        <f t="shared" ref="D102:K102" si="54">ROUND((+D124*1.01),0)</f>
        <v>95133</v>
      </c>
      <c r="E102" s="580">
        <f t="shared" si="54"/>
        <v>97510</v>
      </c>
      <c r="F102" s="580">
        <f t="shared" si="54"/>
        <v>99948</v>
      </c>
      <c r="G102" s="580">
        <f t="shared" si="54"/>
        <v>102447</v>
      </c>
      <c r="H102" s="580">
        <f t="shared" si="54"/>
        <v>105008</v>
      </c>
      <c r="I102" s="580">
        <f t="shared" si="54"/>
        <v>107106</v>
      </c>
      <c r="J102" s="580">
        <f t="shared" si="54"/>
        <v>109250</v>
      </c>
      <c r="K102" s="580">
        <f t="shared" si="54"/>
        <v>111435</v>
      </c>
      <c r="L102" s="583">
        <f t="shared" si="52"/>
        <v>114221</v>
      </c>
    </row>
    <row r="104" spans="1:12" x14ac:dyDescent="0.2">
      <c r="A104" s="288" t="s">
        <v>874</v>
      </c>
      <c r="B104" s="220" t="s">
        <v>1922</v>
      </c>
    </row>
    <row r="105" spans="1:12" x14ac:dyDescent="0.2">
      <c r="A105" s="288" t="s">
        <v>1914</v>
      </c>
      <c r="B105" s="828">
        <v>1</v>
      </c>
      <c r="C105" s="828">
        <v>2</v>
      </c>
      <c r="D105" s="828">
        <v>3</v>
      </c>
      <c r="E105" s="828">
        <v>4</v>
      </c>
      <c r="F105" s="828">
        <v>5</v>
      </c>
      <c r="G105" s="828">
        <v>6</v>
      </c>
      <c r="H105" s="828">
        <v>7</v>
      </c>
      <c r="I105" s="828">
        <v>8</v>
      </c>
      <c r="J105" s="828">
        <v>9</v>
      </c>
      <c r="K105" s="828">
        <v>10</v>
      </c>
      <c r="L105" s="828">
        <v>11</v>
      </c>
    </row>
    <row r="106" spans="1:12" x14ac:dyDescent="0.2">
      <c r="A106" s="288" t="s">
        <v>1924</v>
      </c>
      <c r="B106" s="1">
        <f>ROUND((+B97/1834),2)</f>
        <v>0</v>
      </c>
      <c r="C106" s="1">
        <f>ROUND((+C97/1834),2)</f>
        <v>30.97</v>
      </c>
      <c r="D106" s="1">
        <f t="shared" ref="D106:L106" si="55">ROUND((+D97/1834),2)</f>
        <v>31.74</v>
      </c>
      <c r="E106" s="1">
        <f t="shared" si="55"/>
        <v>32.53</v>
      </c>
      <c r="F106" s="1">
        <f t="shared" si="55"/>
        <v>33.35</v>
      </c>
      <c r="G106" s="1">
        <f t="shared" si="55"/>
        <v>34.18</v>
      </c>
      <c r="H106" s="1">
        <f t="shared" si="55"/>
        <v>34.86</v>
      </c>
      <c r="I106" s="1">
        <f t="shared" si="55"/>
        <v>35.56</v>
      </c>
      <c r="J106" s="1">
        <f t="shared" si="55"/>
        <v>36.270000000000003</v>
      </c>
      <c r="K106" s="1">
        <f t="shared" si="55"/>
        <v>37</v>
      </c>
      <c r="L106" s="1">
        <f t="shared" si="55"/>
        <v>37.92</v>
      </c>
    </row>
    <row r="107" spans="1:12" x14ac:dyDescent="0.2">
      <c r="A107" s="288" t="s">
        <v>1925</v>
      </c>
      <c r="B107" s="1">
        <f>ROUND((+B97/2100),2)</f>
        <v>0</v>
      </c>
      <c r="C107" s="1">
        <f t="shared" ref="C107:L107" si="56">ROUND((+C97/2100),2)</f>
        <v>27.04</v>
      </c>
      <c r="D107" s="1">
        <f t="shared" si="56"/>
        <v>27.72</v>
      </c>
      <c r="E107" s="1">
        <f t="shared" si="56"/>
        <v>28.41</v>
      </c>
      <c r="F107" s="1">
        <f t="shared" si="56"/>
        <v>29.12</v>
      </c>
      <c r="G107" s="1">
        <f t="shared" si="56"/>
        <v>29.85</v>
      </c>
      <c r="H107" s="1">
        <f t="shared" si="56"/>
        <v>30.45</v>
      </c>
      <c r="I107" s="1">
        <f t="shared" si="56"/>
        <v>31.06</v>
      </c>
      <c r="J107" s="1">
        <f t="shared" si="56"/>
        <v>31.68</v>
      </c>
      <c r="K107" s="1">
        <f t="shared" si="56"/>
        <v>32.31</v>
      </c>
      <c r="L107" s="1">
        <f t="shared" si="56"/>
        <v>33.119999999999997</v>
      </c>
    </row>
    <row r="108" spans="1:12" x14ac:dyDescent="0.2">
      <c r="A108" s="288" t="s">
        <v>1926</v>
      </c>
      <c r="B108" s="1">
        <f>ROUND((+B97/2096),2)</f>
        <v>0</v>
      </c>
      <c r="C108" s="1">
        <f t="shared" ref="C108:L108" si="57">ROUND((+C97/2096),2)</f>
        <v>27.09</v>
      </c>
      <c r="D108" s="1">
        <f t="shared" si="57"/>
        <v>27.77</v>
      </c>
      <c r="E108" s="1">
        <f t="shared" si="57"/>
        <v>28.47</v>
      </c>
      <c r="F108" s="1">
        <f t="shared" si="57"/>
        <v>29.18</v>
      </c>
      <c r="G108" s="1">
        <f t="shared" si="57"/>
        <v>29.91</v>
      </c>
      <c r="H108" s="1">
        <f t="shared" si="57"/>
        <v>30.51</v>
      </c>
      <c r="I108" s="1">
        <f t="shared" si="57"/>
        <v>31.12</v>
      </c>
      <c r="J108" s="1">
        <f t="shared" si="57"/>
        <v>31.74</v>
      </c>
      <c r="K108" s="1">
        <f t="shared" si="57"/>
        <v>32.369999999999997</v>
      </c>
      <c r="L108" s="1">
        <f t="shared" si="57"/>
        <v>33.18</v>
      </c>
    </row>
    <row r="109" spans="1:12" x14ac:dyDescent="0.2">
      <c r="A109" s="125" t="s">
        <v>1927</v>
      </c>
      <c r="B109">
        <v>52.4</v>
      </c>
      <c r="C109" s="220" t="s">
        <v>1928</v>
      </c>
      <c r="G109" s="64"/>
      <c r="H109" s="64"/>
      <c r="I109" s="64"/>
      <c r="J109" s="64"/>
      <c r="K109" s="64"/>
      <c r="L109" s="64"/>
    </row>
    <row r="111" spans="1:12" x14ac:dyDescent="0.2">
      <c r="A111" s="299" t="s">
        <v>1934</v>
      </c>
    </row>
    <row r="112" spans="1:12" x14ac:dyDescent="0.2">
      <c r="B112" s="220" t="s">
        <v>1887</v>
      </c>
    </row>
    <row r="113" spans="1:12" x14ac:dyDescent="0.2">
      <c r="A113" s="288" t="s">
        <v>1914</v>
      </c>
      <c r="B113" s="828">
        <v>1</v>
      </c>
      <c r="C113" s="828">
        <v>2</v>
      </c>
      <c r="D113" s="828">
        <v>3</v>
      </c>
      <c r="E113" s="828">
        <v>4</v>
      </c>
      <c r="F113" s="828">
        <v>5</v>
      </c>
      <c r="G113" s="828">
        <v>6</v>
      </c>
      <c r="H113" s="828">
        <v>7</v>
      </c>
      <c r="I113" s="828">
        <v>8</v>
      </c>
      <c r="J113" s="828">
        <v>9</v>
      </c>
      <c r="K113" s="828">
        <v>10</v>
      </c>
      <c r="L113" s="828">
        <v>11</v>
      </c>
    </row>
    <row r="114" spans="1:12" x14ac:dyDescent="0.2">
      <c r="A114" s="288" t="s">
        <v>1804</v>
      </c>
      <c r="B114" s="236">
        <f>ROUND((+B136*1.02),2)</f>
        <v>14.52</v>
      </c>
      <c r="C114" s="236">
        <f t="shared" ref="C114:K114" si="58">ROUND((+C136*1.02),2)</f>
        <v>14.88</v>
      </c>
      <c r="D114" s="236">
        <f t="shared" si="58"/>
        <v>15.25</v>
      </c>
      <c r="E114" s="236">
        <f t="shared" si="58"/>
        <v>15.65</v>
      </c>
      <c r="F114" s="236">
        <f t="shared" si="58"/>
        <v>16.010000000000002</v>
      </c>
      <c r="G114" s="236">
        <f t="shared" si="58"/>
        <v>16.43</v>
      </c>
      <c r="H114" s="236">
        <f t="shared" si="58"/>
        <v>16.8</v>
      </c>
      <c r="I114" s="236">
        <f t="shared" si="58"/>
        <v>17.170000000000002</v>
      </c>
      <c r="J114" s="236">
        <f t="shared" si="58"/>
        <v>17.510000000000002</v>
      </c>
      <c r="K114" s="236">
        <f t="shared" si="58"/>
        <v>17.87</v>
      </c>
    </row>
    <row r="115" spans="1:12" x14ac:dyDescent="0.2">
      <c r="A115" s="288" t="s">
        <v>1808</v>
      </c>
      <c r="B115" s="236">
        <f t="shared" ref="B115:K118" si="59">ROUND((+B137*1.02),2)</f>
        <v>17.12</v>
      </c>
      <c r="C115" s="236">
        <f t="shared" si="59"/>
        <v>17.54</v>
      </c>
      <c r="D115" s="236">
        <f t="shared" si="59"/>
        <v>17.98</v>
      </c>
      <c r="E115" s="236">
        <f t="shared" si="59"/>
        <v>18.43</v>
      </c>
      <c r="F115" s="236">
        <f t="shared" si="59"/>
        <v>18.89</v>
      </c>
      <c r="G115" s="236">
        <f t="shared" si="59"/>
        <v>19.37</v>
      </c>
      <c r="H115" s="236">
        <f t="shared" si="59"/>
        <v>19.86</v>
      </c>
      <c r="I115" s="236">
        <f t="shared" si="59"/>
        <v>20.239999999999998</v>
      </c>
      <c r="J115" s="236">
        <f t="shared" si="59"/>
        <v>20.66</v>
      </c>
      <c r="K115" s="236">
        <f t="shared" si="59"/>
        <v>21.07</v>
      </c>
    </row>
    <row r="116" spans="1:12" x14ac:dyDescent="0.2">
      <c r="A116" s="288" t="s">
        <v>1814</v>
      </c>
      <c r="B116" s="236">
        <f t="shared" si="59"/>
        <v>18.420000000000002</v>
      </c>
      <c r="C116" s="236">
        <f t="shared" si="59"/>
        <v>18.88</v>
      </c>
      <c r="D116" s="236">
        <f t="shared" si="59"/>
        <v>19.350000000000001</v>
      </c>
      <c r="E116" s="236">
        <f t="shared" si="59"/>
        <v>19.84</v>
      </c>
      <c r="F116" s="236">
        <f t="shared" si="59"/>
        <v>20.32</v>
      </c>
      <c r="G116" s="236">
        <f t="shared" si="59"/>
        <v>20.85</v>
      </c>
      <c r="H116" s="236">
        <f t="shared" si="59"/>
        <v>21.35</v>
      </c>
      <c r="I116" s="236">
        <f t="shared" si="59"/>
        <v>21.79</v>
      </c>
      <c r="J116" s="236">
        <f t="shared" si="59"/>
        <v>22.22</v>
      </c>
      <c r="K116" s="236">
        <f t="shared" si="59"/>
        <v>22.66</v>
      </c>
    </row>
    <row r="117" spans="1:12" x14ac:dyDescent="0.2">
      <c r="A117" s="288" t="s">
        <v>1817</v>
      </c>
      <c r="B117" s="236">
        <f t="shared" si="59"/>
        <v>20.07</v>
      </c>
      <c r="C117" s="236">
        <f t="shared" si="59"/>
        <v>20.57</v>
      </c>
      <c r="D117" s="236">
        <f t="shared" si="59"/>
        <v>21.09</v>
      </c>
      <c r="E117" s="236">
        <f t="shared" si="59"/>
        <v>21.61</v>
      </c>
      <c r="F117" s="236">
        <f t="shared" si="59"/>
        <v>22.15</v>
      </c>
      <c r="G117" s="236">
        <f t="shared" si="59"/>
        <v>22.72</v>
      </c>
      <c r="H117" s="236">
        <f t="shared" si="59"/>
        <v>23.29</v>
      </c>
      <c r="I117" s="236">
        <f t="shared" si="59"/>
        <v>23.74</v>
      </c>
      <c r="J117" s="236">
        <f t="shared" si="59"/>
        <v>24.23</v>
      </c>
      <c r="K117" s="236">
        <f t="shared" si="59"/>
        <v>24.7</v>
      </c>
    </row>
    <row r="118" spans="1:12" x14ac:dyDescent="0.2">
      <c r="A118" s="288" t="s">
        <v>1915</v>
      </c>
      <c r="B118" s="236">
        <f t="shared" si="59"/>
        <v>21.66</v>
      </c>
      <c r="C118" s="236">
        <f t="shared" si="59"/>
        <v>22.21</v>
      </c>
      <c r="D118" s="236">
        <f t="shared" si="59"/>
        <v>22.77</v>
      </c>
      <c r="E118" s="236">
        <f t="shared" si="59"/>
        <v>23.34</v>
      </c>
      <c r="F118" s="236">
        <f t="shared" si="59"/>
        <v>23.92</v>
      </c>
      <c r="G118" s="236">
        <f t="shared" si="59"/>
        <v>24.51</v>
      </c>
      <c r="H118" s="236">
        <f t="shared" si="59"/>
        <v>25.13</v>
      </c>
      <c r="I118" s="236">
        <f t="shared" si="59"/>
        <v>25.63</v>
      </c>
      <c r="J118" s="236">
        <f t="shared" si="59"/>
        <v>26.15</v>
      </c>
      <c r="K118" s="236">
        <f t="shared" si="59"/>
        <v>26.67</v>
      </c>
    </row>
    <row r="119" spans="1:12" x14ac:dyDescent="0.2">
      <c r="A119" s="288" t="s">
        <v>1916</v>
      </c>
      <c r="B119" s="300">
        <f>ROUND((+B141*1.02),0)</f>
        <v>54857</v>
      </c>
      <c r="C119" s="300">
        <f t="shared" ref="C119:K119" si="60">ROUND((+C141*1.02),0)</f>
        <v>56229</v>
      </c>
      <c r="D119" s="300">
        <f t="shared" si="60"/>
        <v>57633</v>
      </c>
      <c r="E119" s="300">
        <f t="shared" si="60"/>
        <v>59074</v>
      </c>
      <c r="F119" s="300">
        <f t="shared" si="60"/>
        <v>60551</v>
      </c>
      <c r="G119" s="300">
        <f t="shared" si="60"/>
        <v>62066</v>
      </c>
      <c r="H119" s="300">
        <f t="shared" si="60"/>
        <v>63306</v>
      </c>
      <c r="I119" s="300">
        <f t="shared" si="60"/>
        <v>64573</v>
      </c>
      <c r="J119" s="300">
        <f t="shared" si="60"/>
        <v>65863</v>
      </c>
      <c r="K119" s="300">
        <f t="shared" si="60"/>
        <v>67180</v>
      </c>
    </row>
    <row r="120" spans="1:12" x14ac:dyDescent="0.2">
      <c r="A120" s="288" t="s">
        <v>1917</v>
      </c>
      <c r="B120" s="300">
        <f>ROUND((+B142*1.02),0)</f>
        <v>58291</v>
      </c>
      <c r="C120" s="300">
        <f t="shared" ref="C120:K120" si="61">ROUND((+C142*1.02),0)</f>
        <v>59749</v>
      </c>
      <c r="D120" s="300">
        <f t="shared" si="61"/>
        <v>61243</v>
      </c>
      <c r="E120" s="300">
        <f t="shared" si="61"/>
        <v>62773</v>
      </c>
      <c r="F120" s="300">
        <f t="shared" si="61"/>
        <v>64342</v>
      </c>
      <c r="G120" s="300">
        <f t="shared" si="61"/>
        <v>65951</v>
      </c>
      <c r="H120" s="300">
        <f t="shared" si="61"/>
        <v>67271</v>
      </c>
      <c r="I120" s="300">
        <f t="shared" si="61"/>
        <v>68615</v>
      </c>
      <c r="J120" s="300">
        <f t="shared" si="61"/>
        <v>69988</v>
      </c>
      <c r="K120" s="300">
        <f t="shared" si="61"/>
        <v>71388</v>
      </c>
    </row>
    <row r="121" spans="1:12" x14ac:dyDescent="0.2">
      <c r="A121" s="288"/>
      <c r="B121" s="300"/>
      <c r="C121" s="300"/>
      <c r="D121" s="300"/>
      <c r="E121" s="300"/>
      <c r="F121" s="300"/>
      <c r="G121" s="300"/>
      <c r="H121" s="300"/>
      <c r="I121" s="300"/>
      <c r="J121" s="300"/>
      <c r="K121" s="300"/>
    </row>
    <row r="122" spans="1:12" x14ac:dyDescent="0.2">
      <c r="A122" s="288" t="s">
        <v>1919</v>
      </c>
      <c r="B122" s="300">
        <f t="shared" ref="B122:K124" si="62">ROUND((+B143*1.02),0)</f>
        <v>74094</v>
      </c>
      <c r="C122" s="300">
        <f t="shared" si="62"/>
        <v>75944</v>
      </c>
      <c r="D122" s="300">
        <f t="shared" si="62"/>
        <v>77842</v>
      </c>
      <c r="E122" s="300">
        <f t="shared" si="62"/>
        <v>79790</v>
      </c>
      <c r="F122" s="300">
        <f t="shared" si="62"/>
        <v>81784</v>
      </c>
      <c r="G122" s="300">
        <f t="shared" si="62"/>
        <v>83830</v>
      </c>
      <c r="H122" s="300">
        <f t="shared" si="62"/>
        <v>85925</v>
      </c>
      <c r="I122" s="300">
        <f t="shared" si="62"/>
        <v>87644</v>
      </c>
      <c r="J122" s="300">
        <f t="shared" si="62"/>
        <v>89395</v>
      </c>
      <c r="K122" s="300">
        <f t="shared" si="62"/>
        <v>91183</v>
      </c>
    </row>
    <row r="123" spans="1:12" x14ac:dyDescent="0.2">
      <c r="A123" s="288" t="s">
        <v>1920</v>
      </c>
      <c r="B123" s="300">
        <f t="shared" si="62"/>
        <v>81501</v>
      </c>
      <c r="C123" s="300">
        <f t="shared" si="62"/>
        <v>83538</v>
      </c>
      <c r="D123" s="300">
        <f t="shared" si="62"/>
        <v>85628</v>
      </c>
      <c r="E123" s="300">
        <f t="shared" si="62"/>
        <v>87768</v>
      </c>
      <c r="F123" s="300">
        <f t="shared" si="62"/>
        <v>89961</v>
      </c>
      <c r="G123" s="300">
        <f t="shared" si="62"/>
        <v>92210</v>
      </c>
      <c r="H123" s="300">
        <f t="shared" si="62"/>
        <v>94515</v>
      </c>
      <c r="I123" s="300">
        <f t="shared" si="62"/>
        <v>96407</v>
      </c>
      <c r="J123" s="300">
        <f t="shared" si="62"/>
        <v>98334</v>
      </c>
      <c r="K123" s="300">
        <f t="shared" si="62"/>
        <v>100301</v>
      </c>
    </row>
    <row r="124" spans="1:12" x14ac:dyDescent="0.2">
      <c r="A124" s="288" t="s">
        <v>1921</v>
      </c>
      <c r="B124" s="300">
        <f t="shared" si="62"/>
        <v>89651</v>
      </c>
      <c r="C124" s="300">
        <f t="shared" si="62"/>
        <v>91892</v>
      </c>
      <c r="D124" s="300">
        <f t="shared" si="62"/>
        <v>94191</v>
      </c>
      <c r="E124" s="300">
        <f t="shared" si="62"/>
        <v>96545</v>
      </c>
      <c r="F124" s="300">
        <f t="shared" si="62"/>
        <v>98958</v>
      </c>
      <c r="G124" s="300">
        <f t="shared" si="62"/>
        <v>101433</v>
      </c>
      <c r="H124" s="300">
        <f t="shared" si="62"/>
        <v>103968</v>
      </c>
      <c r="I124" s="300">
        <f t="shared" si="62"/>
        <v>106046</v>
      </c>
      <c r="J124" s="300">
        <f t="shared" si="62"/>
        <v>108168</v>
      </c>
      <c r="K124" s="300">
        <f t="shared" si="62"/>
        <v>110332</v>
      </c>
    </row>
    <row r="126" spans="1:12" x14ac:dyDescent="0.2">
      <c r="A126" s="288" t="s">
        <v>874</v>
      </c>
      <c r="B126" s="306" t="s">
        <v>1935</v>
      </c>
      <c r="C126" s="335"/>
      <c r="D126" s="335"/>
      <c r="E126" s="335"/>
    </row>
    <row r="127" spans="1:12" x14ac:dyDescent="0.2">
      <c r="A127" s="288" t="s">
        <v>1914</v>
      </c>
      <c r="B127" s="828">
        <v>1</v>
      </c>
      <c r="C127" s="828">
        <v>2</v>
      </c>
      <c r="D127" s="828">
        <v>3</v>
      </c>
      <c r="E127" s="828">
        <v>4</v>
      </c>
      <c r="F127" s="828">
        <v>5</v>
      </c>
      <c r="G127" s="828">
        <v>6</v>
      </c>
      <c r="H127" s="828">
        <v>7</v>
      </c>
      <c r="I127" s="828">
        <v>8</v>
      </c>
      <c r="J127" s="828">
        <v>9</v>
      </c>
      <c r="K127" s="828">
        <v>10</v>
      </c>
      <c r="L127" s="828">
        <v>11</v>
      </c>
    </row>
    <row r="128" spans="1:12" x14ac:dyDescent="0.2">
      <c r="A128" s="288" t="s">
        <v>1924</v>
      </c>
      <c r="B128" s="1">
        <f>ROUND((+B119/1820),2)</f>
        <v>30.14</v>
      </c>
      <c r="C128" s="1">
        <f t="shared" ref="C128:K128" si="63">ROUND((+C119/1820),2)</f>
        <v>30.9</v>
      </c>
      <c r="D128" s="1">
        <f t="shared" si="63"/>
        <v>31.67</v>
      </c>
      <c r="E128" s="1">
        <f t="shared" si="63"/>
        <v>32.46</v>
      </c>
      <c r="F128" s="1">
        <f t="shared" si="63"/>
        <v>33.270000000000003</v>
      </c>
      <c r="G128" s="1">
        <f t="shared" si="63"/>
        <v>34.1</v>
      </c>
      <c r="H128" s="1">
        <f t="shared" si="63"/>
        <v>34.78</v>
      </c>
      <c r="I128" s="1">
        <f t="shared" si="63"/>
        <v>35.479999999999997</v>
      </c>
      <c r="J128" s="1">
        <f t="shared" si="63"/>
        <v>36.19</v>
      </c>
      <c r="K128" s="1">
        <f t="shared" si="63"/>
        <v>36.909999999999997</v>
      </c>
    </row>
    <row r="129" spans="1:12" x14ac:dyDescent="0.2">
      <c r="A129" s="288" t="s">
        <v>1925</v>
      </c>
      <c r="B129" s="1">
        <f>ROUND((+B119/2080),2)</f>
        <v>26.37</v>
      </c>
      <c r="C129" s="1">
        <f t="shared" ref="C129:K129" si="64">ROUND((+C119/2080),2)</f>
        <v>27.03</v>
      </c>
      <c r="D129" s="1">
        <f t="shared" si="64"/>
        <v>27.71</v>
      </c>
      <c r="E129" s="1">
        <f t="shared" si="64"/>
        <v>28.4</v>
      </c>
      <c r="F129" s="1">
        <f t="shared" si="64"/>
        <v>29.11</v>
      </c>
      <c r="G129" s="1">
        <f t="shared" si="64"/>
        <v>29.84</v>
      </c>
      <c r="H129" s="1">
        <f t="shared" si="64"/>
        <v>30.44</v>
      </c>
      <c r="I129" s="1">
        <f t="shared" si="64"/>
        <v>31.04</v>
      </c>
      <c r="J129" s="1">
        <f t="shared" si="64"/>
        <v>31.66</v>
      </c>
      <c r="K129" s="1">
        <f t="shared" si="64"/>
        <v>32.299999999999997</v>
      </c>
    </row>
    <row r="130" spans="1:12" x14ac:dyDescent="0.2">
      <c r="A130" s="288" t="s">
        <v>1926</v>
      </c>
      <c r="B130" s="1">
        <f>ROUND((+B119/2080),2)</f>
        <v>26.37</v>
      </c>
      <c r="C130" s="1">
        <f t="shared" ref="C130:K130" si="65">ROUND((+C119/2080),2)</f>
        <v>27.03</v>
      </c>
      <c r="D130" s="1">
        <f t="shared" si="65"/>
        <v>27.71</v>
      </c>
      <c r="E130" s="1">
        <f t="shared" si="65"/>
        <v>28.4</v>
      </c>
      <c r="F130" s="1">
        <f t="shared" si="65"/>
        <v>29.11</v>
      </c>
      <c r="G130" s="1">
        <f t="shared" si="65"/>
        <v>29.84</v>
      </c>
      <c r="H130" s="1">
        <f t="shared" si="65"/>
        <v>30.44</v>
      </c>
      <c r="I130" s="1">
        <f t="shared" si="65"/>
        <v>31.04</v>
      </c>
      <c r="J130" s="1">
        <f t="shared" si="65"/>
        <v>31.66</v>
      </c>
      <c r="K130" s="1">
        <f t="shared" si="65"/>
        <v>32.299999999999997</v>
      </c>
    </row>
    <row r="131" spans="1:12" x14ac:dyDescent="0.2">
      <c r="A131" s="125" t="s">
        <v>1927</v>
      </c>
      <c r="G131" s="64">
        <f>ROUND(((+G120*1.085)/52/37.69),2)</f>
        <v>36.51</v>
      </c>
      <c r="H131" s="64">
        <f>ROUND(((+H120*1.085)/52/37.69),2)</f>
        <v>37.24</v>
      </c>
      <c r="I131" s="64">
        <f>ROUND(((+I120*1.085)/52/37.69),2)</f>
        <v>37.99</v>
      </c>
      <c r="J131" s="64">
        <f>ROUND(((+J120*1.085)/52/37.69),2)</f>
        <v>38.75</v>
      </c>
      <c r="K131" s="64">
        <f>ROUND(((+K120*1.085)/52/37.69),2)</f>
        <v>39.520000000000003</v>
      </c>
    </row>
    <row r="133" spans="1:12" x14ac:dyDescent="0.2">
      <c r="A133" s="299" t="s">
        <v>1936</v>
      </c>
    </row>
    <row r="134" spans="1:12" x14ac:dyDescent="0.2">
      <c r="B134" s="220" t="s">
        <v>1887</v>
      </c>
    </row>
    <row r="135" spans="1:12" x14ac:dyDescent="0.2">
      <c r="A135" s="288" t="s">
        <v>1914</v>
      </c>
      <c r="B135" s="828">
        <v>1</v>
      </c>
      <c r="C135" s="828">
        <v>2</v>
      </c>
      <c r="D135" s="828">
        <v>3</v>
      </c>
      <c r="E135" s="828">
        <v>4</v>
      </c>
      <c r="F135" s="828">
        <v>5</v>
      </c>
      <c r="G135" s="828">
        <v>6</v>
      </c>
      <c r="H135" s="828">
        <v>7</v>
      </c>
      <c r="I135" s="828">
        <v>8</v>
      </c>
      <c r="J135" s="828">
        <v>9</v>
      </c>
      <c r="K135" s="828">
        <v>10</v>
      </c>
      <c r="L135" s="828">
        <v>11</v>
      </c>
    </row>
    <row r="136" spans="1:12" x14ac:dyDescent="0.2">
      <c r="A136" s="288" t="s">
        <v>1804</v>
      </c>
      <c r="B136" s="236">
        <f>ROUND((+B157*1.015),2)</f>
        <v>14.24</v>
      </c>
      <c r="C136" s="236">
        <f t="shared" ref="C136:K136" si="66">ROUND((+C157*1.015),2)</f>
        <v>14.59</v>
      </c>
      <c r="D136" s="236">
        <f t="shared" si="66"/>
        <v>14.95</v>
      </c>
      <c r="E136" s="236">
        <f t="shared" si="66"/>
        <v>15.34</v>
      </c>
      <c r="F136" s="236">
        <f t="shared" si="66"/>
        <v>15.7</v>
      </c>
      <c r="G136" s="236">
        <f t="shared" si="66"/>
        <v>16.11</v>
      </c>
      <c r="H136" s="236">
        <f t="shared" si="66"/>
        <v>16.47</v>
      </c>
      <c r="I136" s="236">
        <f t="shared" si="66"/>
        <v>16.829999999999998</v>
      </c>
      <c r="J136" s="236">
        <f t="shared" si="66"/>
        <v>17.170000000000002</v>
      </c>
      <c r="K136" s="236">
        <f t="shared" si="66"/>
        <v>17.52</v>
      </c>
    </row>
    <row r="137" spans="1:12" x14ac:dyDescent="0.2">
      <c r="A137" s="288" t="s">
        <v>1808</v>
      </c>
      <c r="B137" s="236">
        <f t="shared" ref="B137:K140" si="67">ROUND((+B158*1.015),2)</f>
        <v>16.78</v>
      </c>
      <c r="C137" s="236">
        <f t="shared" si="67"/>
        <v>17.2</v>
      </c>
      <c r="D137" s="236">
        <f t="shared" si="67"/>
        <v>17.63</v>
      </c>
      <c r="E137" s="236">
        <f t="shared" si="67"/>
        <v>18.07</v>
      </c>
      <c r="F137" s="236">
        <f t="shared" si="67"/>
        <v>18.52</v>
      </c>
      <c r="G137" s="236">
        <f t="shared" si="67"/>
        <v>18.989999999999998</v>
      </c>
      <c r="H137" s="236">
        <f t="shared" si="67"/>
        <v>19.47</v>
      </c>
      <c r="I137" s="236">
        <f t="shared" si="67"/>
        <v>19.84</v>
      </c>
      <c r="J137" s="236">
        <f t="shared" si="67"/>
        <v>20.25</v>
      </c>
      <c r="K137" s="236">
        <f t="shared" si="67"/>
        <v>20.66</v>
      </c>
    </row>
    <row r="138" spans="1:12" x14ac:dyDescent="0.2">
      <c r="A138" s="288" t="s">
        <v>1814</v>
      </c>
      <c r="B138" s="236">
        <f t="shared" si="67"/>
        <v>18.059999999999999</v>
      </c>
      <c r="C138" s="236">
        <f t="shared" si="67"/>
        <v>18.510000000000002</v>
      </c>
      <c r="D138" s="236">
        <f t="shared" si="67"/>
        <v>18.97</v>
      </c>
      <c r="E138" s="236">
        <f t="shared" si="67"/>
        <v>19.45</v>
      </c>
      <c r="F138" s="236">
        <f t="shared" si="67"/>
        <v>19.920000000000002</v>
      </c>
      <c r="G138" s="236">
        <f t="shared" si="67"/>
        <v>20.440000000000001</v>
      </c>
      <c r="H138" s="236">
        <f t="shared" si="67"/>
        <v>20.93</v>
      </c>
      <c r="I138" s="236">
        <f t="shared" si="67"/>
        <v>21.36</v>
      </c>
      <c r="J138" s="236">
        <f t="shared" si="67"/>
        <v>21.78</v>
      </c>
      <c r="K138" s="236">
        <f t="shared" si="67"/>
        <v>22.22</v>
      </c>
    </row>
    <row r="139" spans="1:12" x14ac:dyDescent="0.2">
      <c r="A139" s="288" t="s">
        <v>1817</v>
      </c>
      <c r="B139" s="236">
        <f t="shared" si="67"/>
        <v>19.68</v>
      </c>
      <c r="C139" s="236">
        <f t="shared" si="67"/>
        <v>20.170000000000002</v>
      </c>
      <c r="D139" s="236">
        <f t="shared" si="67"/>
        <v>20.68</v>
      </c>
      <c r="E139" s="236">
        <f t="shared" si="67"/>
        <v>21.19</v>
      </c>
      <c r="F139" s="236">
        <f t="shared" si="67"/>
        <v>21.72</v>
      </c>
      <c r="G139" s="236">
        <f t="shared" si="67"/>
        <v>22.27</v>
      </c>
      <c r="H139" s="236">
        <f t="shared" si="67"/>
        <v>22.83</v>
      </c>
      <c r="I139" s="236">
        <f t="shared" si="67"/>
        <v>23.27</v>
      </c>
      <c r="J139" s="236">
        <f t="shared" si="67"/>
        <v>23.75</v>
      </c>
      <c r="K139" s="236">
        <f t="shared" si="67"/>
        <v>24.22</v>
      </c>
    </row>
    <row r="140" spans="1:12" x14ac:dyDescent="0.2">
      <c r="A140" s="288" t="s">
        <v>1915</v>
      </c>
      <c r="B140" s="236">
        <f t="shared" si="67"/>
        <v>21.24</v>
      </c>
      <c r="C140" s="236">
        <f t="shared" si="67"/>
        <v>21.77</v>
      </c>
      <c r="D140" s="236">
        <f t="shared" si="67"/>
        <v>22.32</v>
      </c>
      <c r="E140" s="236">
        <f t="shared" si="67"/>
        <v>22.88</v>
      </c>
      <c r="F140" s="236">
        <f t="shared" si="67"/>
        <v>23.45</v>
      </c>
      <c r="G140" s="236">
        <f t="shared" si="67"/>
        <v>24.03</v>
      </c>
      <c r="H140" s="236">
        <f t="shared" si="67"/>
        <v>24.64</v>
      </c>
      <c r="I140" s="236">
        <f t="shared" si="67"/>
        <v>25.13</v>
      </c>
      <c r="J140" s="236">
        <f t="shared" si="67"/>
        <v>25.64</v>
      </c>
      <c r="K140" s="236">
        <f t="shared" si="67"/>
        <v>26.15</v>
      </c>
    </row>
    <row r="141" spans="1:12" x14ac:dyDescent="0.2">
      <c r="A141" s="288" t="s">
        <v>1916</v>
      </c>
      <c r="B141" s="300">
        <f>ROUND((+B162*1.015),0)</f>
        <v>53781</v>
      </c>
      <c r="C141" s="300">
        <f t="shared" ref="C141:K141" si="68">ROUND((+C162*1.015),0)</f>
        <v>55126</v>
      </c>
      <c r="D141" s="300">
        <f t="shared" si="68"/>
        <v>56503</v>
      </c>
      <c r="E141" s="300">
        <f t="shared" si="68"/>
        <v>57916</v>
      </c>
      <c r="F141" s="300">
        <f t="shared" si="68"/>
        <v>59364</v>
      </c>
      <c r="G141" s="300">
        <f t="shared" si="68"/>
        <v>60849</v>
      </c>
      <c r="H141" s="300">
        <f t="shared" si="68"/>
        <v>62065</v>
      </c>
      <c r="I141" s="300">
        <f t="shared" si="68"/>
        <v>63307</v>
      </c>
      <c r="J141" s="300">
        <f t="shared" si="68"/>
        <v>64572</v>
      </c>
      <c r="K141" s="300">
        <f t="shared" si="68"/>
        <v>65863</v>
      </c>
    </row>
    <row r="142" spans="1:12" x14ac:dyDescent="0.2">
      <c r="A142" s="288" t="s">
        <v>1917</v>
      </c>
      <c r="B142" s="300">
        <f t="shared" ref="B142:K145" si="69">ROUND((+B163*1.015),0)</f>
        <v>57148</v>
      </c>
      <c r="C142" s="300">
        <f t="shared" si="69"/>
        <v>58577</v>
      </c>
      <c r="D142" s="300">
        <f t="shared" si="69"/>
        <v>60042</v>
      </c>
      <c r="E142" s="300">
        <f t="shared" si="69"/>
        <v>61542</v>
      </c>
      <c r="F142" s="300">
        <f t="shared" si="69"/>
        <v>63080</v>
      </c>
      <c r="G142" s="300">
        <f t="shared" si="69"/>
        <v>64658</v>
      </c>
      <c r="H142" s="300">
        <f t="shared" si="69"/>
        <v>65952</v>
      </c>
      <c r="I142" s="300">
        <f t="shared" si="69"/>
        <v>67270</v>
      </c>
      <c r="J142" s="300">
        <f t="shared" si="69"/>
        <v>68616</v>
      </c>
      <c r="K142" s="300">
        <f t="shared" si="69"/>
        <v>69988</v>
      </c>
    </row>
    <row r="143" spans="1:12" x14ac:dyDescent="0.2">
      <c r="A143" s="288" t="s">
        <v>1919</v>
      </c>
      <c r="B143" s="300">
        <f t="shared" si="69"/>
        <v>72641</v>
      </c>
      <c r="C143" s="300">
        <f t="shared" si="69"/>
        <v>74455</v>
      </c>
      <c r="D143" s="300">
        <f t="shared" si="69"/>
        <v>76316</v>
      </c>
      <c r="E143" s="300">
        <f t="shared" si="69"/>
        <v>78225</v>
      </c>
      <c r="F143" s="300">
        <f t="shared" si="69"/>
        <v>80180</v>
      </c>
      <c r="G143" s="300">
        <f t="shared" si="69"/>
        <v>82186</v>
      </c>
      <c r="H143" s="300">
        <f t="shared" si="69"/>
        <v>84240</v>
      </c>
      <c r="I143" s="300">
        <f t="shared" si="69"/>
        <v>85925</v>
      </c>
      <c r="J143" s="300">
        <f t="shared" si="69"/>
        <v>87642</v>
      </c>
      <c r="K143" s="300">
        <f t="shared" si="69"/>
        <v>89395</v>
      </c>
    </row>
    <row r="144" spans="1:12" x14ac:dyDescent="0.2">
      <c r="A144" s="288" t="s">
        <v>1920</v>
      </c>
      <c r="B144" s="300">
        <f t="shared" si="69"/>
        <v>79903</v>
      </c>
      <c r="C144" s="300">
        <f t="shared" si="69"/>
        <v>81900</v>
      </c>
      <c r="D144" s="300">
        <f t="shared" si="69"/>
        <v>83949</v>
      </c>
      <c r="E144" s="300">
        <f t="shared" si="69"/>
        <v>86047</v>
      </c>
      <c r="F144" s="300">
        <f t="shared" si="69"/>
        <v>88197</v>
      </c>
      <c r="G144" s="300">
        <f t="shared" si="69"/>
        <v>90402</v>
      </c>
      <c r="H144" s="300">
        <f t="shared" si="69"/>
        <v>92662</v>
      </c>
      <c r="I144" s="300">
        <f t="shared" si="69"/>
        <v>94517</v>
      </c>
      <c r="J144" s="300">
        <f t="shared" si="69"/>
        <v>96406</v>
      </c>
      <c r="K144" s="300">
        <f t="shared" si="69"/>
        <v>98334</v>
      </c>
    </row>
    <row r="145" spans="1:15" x14ac:dyDescent="0.2">
      <c r="A145" s="288" t="s">
        <v>1921</v>
      </c>
      <c r="B145" s="300">
        <f t="shared" si="69"/>
        <v>87893</v>
      </c>
      <c r="C145" s="300">
        <f t="shared" si="69"/>
        <v>90090</v>
      </c>
      <c r="D145" s="300">
        <f t="shared" si="69"/>
        <v>92344</v>
      </c>
      <c r="E145" s="300">
        <f t="shared" si="69"/>
        <v>94652</v>
      </c>
      <c r="F145" s="300">
        <f t="shared" si="69"/>
        <v>97018</v>
      </c>
      <c r="G145" s="300">
        <f t="shared" si="69"/>
        <v>99444</v>
      </c>
      <c r="H145" s="300">
        <f t="shared" si="69"/>
        <v>101929</v>
      </c>
      <c r="I145" s="300">
        <f t="shared" si="69"/>
        <v>103967</v>
      </c>
      <c r="J145" s="300">
        <f t="shared" si="69"/>
        <v>106047</v>
      </c>
      <c r="K145" s="300">
        <f t="shared" si="69"/>
        <v>108169</v>
      </c>
    </row>
    <row r="147" spans="1:15" x14ac:dyDescent="0.2">
      <c r="A147" s="288" t="s">
        <v>874</v>
      </c>
      <c r="B147" s="306" t="s">
        <v>1935</v>
      </c>
      <c r="C147" s="335"/>
      <c r="D147" s="335"/>
      <c r="E147" s="335"/>
    </row>
    <row r="148" spans="1:15" x14ac:dyDescent="0.2">
      <c r="A148" s="288" t="s">
        <v>1914</v>
      </c>
      <c r="B148" s="828">
        <v>1</v>
      </c>
      <c r="C148" s="828">
        <v>2</v>
      </c>
      <c r="D148" s="828">
        <v>3</v>
      </c>
      <c r="E148" s="828">
        <v>4</v>
      </c>
      <c r="F148" s="828">
        <v>5</v>
      </c>
      <c r="G148" s="828">
        <v>6</v>
      </c>
      <c r="H148" s="828">
        <v>7</v>
      </c>
      <c r="I148" s="828">
        <v>8</v>
      </c>
      <c r="J148" s="828">
        <v>9</v>
      </c>
      <c r="K148" s="828">
        <v>10</v>
      </c>
      <c r="L148" s="828">
        <v>11</v>
      </c>
    </row>
    <row r="149" spans="1:15" x14ac:dyDescent="0.2">
      <c r="A149" s="288" t="s">
        <v>1924</v>
      </c>
      <c r="B149" s="1">
        <f>ROUND((+B141/1820),2)</f>
        <v>29.55</v>
      </c>
      <c r="C149" s="1">
        <f t="shared" ref="C149:K149" si="70">ROUND((+C141/1820),2)</f>
        <v>30.29</v>
      </c>
      <c r="D149" s="1">
        <f t="shared" si="70"/>
        <v>31.05</v>
      </c>
      <c r="E149" s="1">
        <f t="shared" si="70"/>
        <v>31.82</v>
      </c>
      <c r="F149" s="1">
        <f t="shared" si="70"/>
        <v>32.619999999999997</v>
      </c>
      <c r="G149" s="1">
        <f t="shared" si="70"/>
        <v>33.43</v>
      </c>
      <c r="H149" s="1">
        <f t="shared" si="70"/>
        <v>34.1</v>
      </c>
      <c r="I149" s="1">
        <f t="shared" si="70"/>
        <v>34.78</v>
      </c>
      <c r="J149" s="1">
        <f t="shared" si="70"/>
        <v>35.479999999999997</v>
      </c>
      <c r="K149" s="1">
        <f t="shared" si="70"/>
        <v>36.19</v>
      </c>
    </row>
    <row r="150" spans="1:15" x14ac:dyDescent="0.2">
      <c r="A150" s="288" t="s">
        <v>1925</v>
      </c>
      <c r="B150" s="1">
        <f>ROUND((+B141/2080),2)</f>
        <v>25.86</v>
      </c>
      <c r="C150" s="1">
        <f t="shared" ref="C150:K150" si="71">ROUND((+C141/2080),2)</f>
        <v>26.5</v>
      </c>
      <c r="D150" s="1">
        <f t="shared" si="71"/>
        <v>27.16</v>
      </c>
      <c r="E150" s="1">
        <f t="shared" si="71"/>
        <v>27.84</v>
      </c>
      <c r="F150" s="1">
        <f t="shared" si="71"/>
        <v>28.54</v>
      </c>
      <c r="G150" s="1">
        <f t="shared" si="71"/>
        <v>29.25</v>
      </c>
      <c r="H150" s="1">
        <f t="shared" si="71"/>
        <v>29.84</v>
      </c>
      <c r="I150" s="1">
        <f t="shared" si="71"/>
        <v>30.44</v>
      </c>
      <c r="J150" s="1">
        <f t="shared" si="71"/>
        <v>31.04</v>
      </c>
      <c r="K150" s="1">
        <f t="shared" si="71"/>
        <v>31.66</v>
      </c>
    </row>
    <row r="151" spans="1:15" x14ac:dyDescent="0.2">
      <c r="A151" s="288" t="s">
        <v>1926</v>
      </c>
      <c r="B151" s="1">
        <f>ROUND((+B141/2080),2)</f>
        <v>25.86</v>
      </c>
      <c r="C151" s="1">
        <f t="shared" ref="C151:K151" si="72">ROUND((+C141/2080),2)</f>
        <v>26.5</v>
      </c>
      <c r="D151" s="1">
        <f t="shared" si="72"/>
        <v>27.16</v>
      </c>
      <c r="E151" s="1">
        <f t="shared" si="72"/>
        <v>27.84</v>
      </c>
      <c r="F151" s="1">
        <f t="shared" si="72"/>
        <v>28.54</v>
      </c>
      <c r="G151" s="1">
        <f t="shared" si="72"/>
        <v>29.25</v>
      </c>
      <c r="H151" s="1">
        <f t="shared" si="72"/>
        <v>29.84</v>
      </c>
      <c r="I151" s="1">
        <f t="shared" si="72"/>
        <v>30.44</v>
      </c>
      <c r="J151" s="1">
        <f t="shared" si="72"/>
        <v>31.04</v>
      </c>
      <c r="K151" s="1">
        <f t="shared" si="72"/>
        <v>31.66</v>
      </c>
    </row>
    <row r="152" spans="1:15" x14ac:dyDescent="0.2">
      <c r="A152" s="125" t="s">
        <v>1927</v>
      </c>
      <c r="G152" s="64">
        <f>ROUND(((+G142*1.085)/52/37.69),2)</f>
        <v>35.799999999999997</v>
      </c>
      <c r="H152" s="64">
        <f>ROUND(((+H142*1.085)/52/37.69),2)</f>
        <v>36.51</v>
      </c>
      <c r="I152" s="64">
        <f>ROUND(((+I142*1.085)/52/37.69),2)</f>
        <v>37.24</v>
      </c>
      <c r="J152" s="64">
        <f>ROUND(((+J142*1.085)/52/37.69),2)</f>
        <v>37.99</v>
      </c>
      <c r="K152" s="64">
        <f>ROUND(((+K142*1.085)/52/37.69),2)</f>
        <v>38.75</v>
      </c>
    </row>
    <row r="154" spans="1:15" x14ac:dyDescent="0.2">
      <c r="A154" s="299" t="s">
        <v>1937</v>
      </c>
    </row>
    <row r="155" spans="1:15" x14ac:dyDescent="0.2">
      <c r="B155" s="220" t="s">
        <v>1887</v>
      </c>
      <c r="M155" s="220" t="s">
        <v>1938</v>
      </c>
    </row>
    <row r="156" spans="1:15" x14ac:dyDescent="0.2">
      <c r="A156" s="288" t="s">
        <v>1914</v>
      </c>
      <c r="B156" s="828">
        <v>1</v>
      </c>
      <c r="C156" s="828">
        <v>2</v>
      </c>
      <c r="D156" s="828">
        <v>3</v>
      </c>
      <c r="E156" s="828">
        <v>4</v>
      </c>
      <c r="F156" s="828">
        <v>5</v>
      </c>
      <c r="G156" s="828">
        <v>6</v>
      </c>
      <c r="H156" s="828">
        <v>7</v>
      </c>
      <c r="I156" s="828">
        <v>8</v>
      </c>
      <c r="J156" s="828">
        <v>9</v>
      </c>
      <c r="K156" s="828">
        <v>10</v>
      </c>
      <c r="L156" s="828">
        <v>11</v>
      </c>
      <c r="M156" s="220"/>
      <c r="N156" s="220"/>
    </row>
    <row r="157" spans="1:15" x14ac:dyDescent="0.2">
      <c r="A157" s="288" t="s">
        <v>1804</v>
      </c>
      <c r="B157" s="236">
        <f>ROUND((+B177*1.01),2)</f>
        <v>14.03</v>
      </c>
      <c r="C157" s="236">
        <f t="shared" ref="C157:K157" si="73">ROUND((+C177*1.01),2)</f>
        <v>14.37</v>
      </c>
      <c r="D157" s="236">
        <f t="shared" si="73"/>
        <v>14.73</v>
      </c>
      <c r="E157" s="236">
        <f t="shared" si="73"/>
        <v>15.11</v>
      </c>
      <c r="F157" s="236">
        <f t="shared" si="73"/>
        <v>15.47</v>
      </c>
      <c r="G157" s="236">
        <f t="shared" si="73"/>
        <v>15.87</v>
      </c>
      <c r="H157" s="236">
        <f t="shared" si="73"/>
        <v>16.23</v>
      </c>
      <c r="I157" s="236">
        <f t="shared" si="73"/>
        <v>16.579999999999998</v>
      </c>
      <c r="J157" s="236">
        <f t="shared" si="73"/>
        <v>16.920000000000002</v>
      </c>
      <c r="K157" s="236">
        <f t="shared" si="73"/>
        <v>17.260000000000002</v>
      </c>
      <c r="M157" s="220"/>
    </row>
    <row r="158" spans="1:15" x14ac:dyDescent="0.2">
      <c r="A158" s="288" t="s">
        <v>1808</v>
      </c>
      <c r="B158" s="236">
        <f t="shared" ref="B158:K161" si="74">ROUND((+B178*1.01),2)</f>
        <v>16.53</v>
      </c>
      <c r="C158" s="236">
        <f t="shared" si="74"/>
        <v>16.95</v>
      </c>
      <c r="D158" s="236">
        <f t="shared" si="74"/>
        <v>17.37</v>
      </c>
      <c r="E158" s="236">
        <f t="shared" si="74"/>
        <v>17.8</v>
      </c>
      <c r="F158" s="236">
        <f t="shared" si="74"/>
        <v>18.25</v>
      </c>
      <c r="G158" s="236">
        <f t="shared" si="74"/>
        <v>18.71</v>
      </c>
      <c r="H158" s="236">
        <f t="shared" si="74"/>
        <v>19.18</v>
      </c>
      <c r="I158" s="236">
        <f t="shared" si="74"/>
        <v>19.55</v>
      </c>
      <c r="J158" s="236">
        <f t="shared" si="74"/>
        <v>19.95</v>
      </c>
      <c r="K158" s="236">
        <f t="shared" si="74"/>
        <v>20.350000000000001</v>
      </c>
      <c r="M158" s="220"/>
      <c r="O158" s="220"/>
    </row>
    <row r="159" spans="1:15" x14ac:dyDescent="0.2">
      <c r="A159" s="288" t="s">
        <v>1814</v>
      </c>
      <c r="B159" s="236">
        <f t="shared" si="74"/>
        <v>17.79</v>
      </c>
      <c r="C159" s="236">
        <f t="shared" si="74"/>
        <v>18.239999999999998</v>
      </c>
      <c r="D159" s="236">
        <f t="shared" si="74"/>
        <v>18.690000000000001</v>
      </c>
      <c r="E159" s="236">
        <f t="shared" si="74"/>
        <v>19.16</v>
      </c>
      <c r="F159" s="236">
        <f t="shared" si="74"/>
        <v>19.63</v>
      </c>
      <c r="G159" s="236">
        <f t="shared" si="74"/>
        <v>20.14</v>
      </c>
      <c r="H159" s="236">
        <f t="shared" si="74"/>
        <v>20.62</v>
      </c>
      <c r="I159" s="236">
        <f t="shared" si="74"/>
        <v>21.04</v>
      </c>
      <c r="J159" s="236">
        <f t="shared" si="74"/>
        <v>21.46</v>
      </c>
      <c r="K159" s="236">
        <f t="shared" si="74"/>
        <v>21.89</v>
      </c>
      <c r="M159" s="220"/>
    </row>
    <row r="160" spans="1:15" x14ac:dyDescent="0.2">
      <c r="A160" s="288" t="s">
        <v>1817</v>
      </c>
      <c r="B160" s="236">
        <f t="shared" si="74"/>
        <v>19.39</v>
      </c>
      <c r="C160" s="236">
        <f t="shared" si="74"/>
        <v>19.87</v>
      </c>
      <c r="D160" s="236">
        <f t="shared" si="74"/>
        <v>20.37</v>
      </c>
      <c r="E160" s="236">
        <f t="shared" si="74"/>
        <v>20.88</v>
      </c>
      <c r="F160" s="236">
        <f t="shared" si="74"/>
        <v>21.4</v>
      </c>
      <c r="G160" s="236">
        <f t="shared" si="74"/>
        <v>21.94</v>
      </c>
      <c r="H160" s="236">
        <f t="shared" si="74"/>
        <v>22.49</v>
      </c>
      <c r="I160" s="236">
        <f t="shared" si="74"/>
        <v>22.93</v>
      </c>
      <c r="J160" s="236">
        <f t="shared" si="74"/>
        <v>23.4</v>
      </c>
      <c r="K160" s="236">
        <f t="shared" si="74"/>
        <v>23.86</v>
      </c>
    </row>
    <row r="161" spans="1:12" x14ac:dyDescent="0.2">
      <c r="A161" s="288" t="s">
        <v>1915</v>
      </c>
      <c r="B161" s="236">
        <f t="shared" si="74"/>
        <v>20.93</v>
      </c>
      <c r="C161" s="236">
        <f t="shared" si="74"/>
        <v>21.45</v>
      </c>
      <c r="D161" s="236">
        <f t="shared" si="74"/>
        <v>21.99</v>
      </c>
      <c r="E161" s="236">
        <f t="shared" si="74"/>
        <v>22.54</v>
      </c>
      <c r="F161" s="236">
        <f t="shared" si="74"/>
        <v>23.1</v>
      </c>
      <c r="G161" s="236">
        <f t="shared" si="74"/>
        <v>23.67</v>
      </c>
      <c r="H161" s="236">
        <f t="shared" si="74"/>
        <v>24.28</v>
      </c>
      <c r="I161" s="236">
        <f t="shared" si="74"/>
        <v>24.76</v>
      </c>
      <c r="J161" s="236">
        <f t="shared" si="74"/>
        <v>25.26</v>
      </c>
      <c r="K161" s="236">
        <f t="shared" si="74"/>
        <v>25.76</v>
      </c>
    </row>
    <row r="162" spans="1:12" x14ac:dyDescent="0.2">
      <c r="A162" s="288" t="s">
        <v>1916</v>
      </c>
      <c r="B162" s="300">
        <f>ROUND((+B182*1.01),0)</f>
        <v>52986</v>
      </c>
      <c r="C162" s="300">
        <f t="shared" ref="C162:K162" si="75">ROUND((+C182*1.01),0)</f>
        <v>54311</v>
      </c>
      <c r="D162" s="300">
        <f t="shared" si="75"/>
        <v>55668</v>
      </c>
      <c r="E162" s="300">
        <f t="shared" si="75"/>
        <v>57060</v>
      </c>
      <c r="F162" s="300">
        <f t="shared" si="75"/>
        <v>58487</v>
      </c>
      <c r="G162" s="300">
        <f t="shared" si="75"/>
        <v>59950</v>
      </c>
      <c r="H162" s="300">
        <f t="shared" si="75"/>
        <v>61148</v>
      </c>
      <c r="I162" s="300">
        <f t="shared" si="75"/>
        <v>62371</v>
      </c>
      <c r="J162" s="300">
        <f t="shared" si="75"/>
        <v>63618</v>
      </c>
      <c r="K162" s="300">
        <f t="shared" si="75"/>
        <v>64890</v>
      </c>
    </row>
    <row r="163" spans="1:12" x14ac:dyDescent="0.2">
      <c r="A163" s="288" t="s">
        <v>1917</v>
      </c>
      <c r="B163" s="300">
        <f t="shared" ref="B163:K166" si="76">ROUND((+B183*1.01),0)</f>
        <v>56303</v>
      </c>
      <c r="C163" s="300">
        <f t="shared" si="76"/>
        <v>57711</v>
      </c>
      <c r="D163" s="300">
        <f t="shared" si="76"/>
        <v>59155</v>
      </c>
      <c r="E163" s="300">
        <f t="shared" si="76"/>
        <v>60633</v>
      </c>
      <c r="F163" s="300">
        <f t="shared" si="76"/>
        <v>62148</v>
      </c>
      <c r="G163" s="300">
        <f t="shared" si="76"/>
        <v>63702</v>
      </c>
      <c r="H163" s="300">
        <f t="shared" si="76"/>
        <v>64977</v>
      </c>
      <c r="I163" s="300">
        <f t="shared" si="76"/>
        <v>66276</v>
      </c>
      <c r="J163" s="300">
        <f t="shared" si="76"/>
        <v>67602</v>
      </c>
      <c r="K163" s="300">
        <f t="shared" si="76"/>
        <v>68954</v>
      </c>
    </row>
    <row r="164" spans="1:12" x14ac:dyDescent="0.2">
      <c r="A164" s="288" t="s">
        <v>1919</v>
      </c>
      <c r="B164" s="300">
        <f t="shared" si="76"/>
        <v>71567</v>
      </c>
      <c r="C164" s="300">
        <f t="shared" si="76"/>
        <v>73355</v>
      </c>
      <c r="D164" s="300">
        <f t="shared" si="76"/>
        <v>75188</v>
      </c>
      <c r="E164" s="300">
        <f t="shared" si="76"/>
        <v>77069</v>
      </c>
      <c r="F164" s="300">
        <f t="shared" si="76"/>
        <v>78995</v>
      </c>
      <c r="G164" s="300">
        <f t="shared" si="76"/>
        <v>80971</v>
      </c>
      <c r="H164" s="300">
        <f t="shared" si="76"/>
        <v>82995</v>
      </c>
      <c r="I164" s="300">
        <f t="shared" si="76"/>
        <v>84655</v>
      </c>
      <c r="J164" s="300">
        <f t="shared" si="76"/>
        <v>86347</v>
      </c>
      <c r="K164" s="300">
        <f t="shared" si="76"/>
        <v>88074</v>
      </c>
    </row>
    <row r="165" spans="1:12" x14ac:dyDescent="0.2">
      <c r="A165" s="288" t="s">
        <v>1920</v>
      </c>
      <c r="B165" s="300">
        <f t="shared" si="76"/>
        <v>78722</v>
      </c>
      <c r="C165" s="300">
        <f t="shared" si="76"/>
        <v>80690</v>
      </c>
      <c r="D165" s="300">
        <f t="shared" si="76"/>
        <v>82708</v>
      </c>
      <c r="E165" s="300">
        <f t="shared" si="76"/>
        <v>84775</v>
      </c>
      <c r="F165" s="300">
        <f t="shared" si="76"/>
        <v>86894</v>
      </c>
      <c r="G165" s="300">
        <f t="shared" si="76"/>
        <v>89066</v>
      </c>
      <c r="H165" s="300">
        <f t="shared" si="76"/>
        <v>91293</v>
      </c>
      <c r="I165" s="300">
        <f t="shared" si="76"/>
        <v>93120</v>
      </c>
      <c r="J165" s="300">
        <f t="shared" si="76"/>
        <v>94981</v>
      </c>
      <c r="K165" s="300">
        <f t="shared" si="76"/>
        <v>96881</v>
      </c>
    </row>
    <row r="166" spans="1:12" x14ac:dyDescent="0.2">
      <c r="A166" s="288" t="s">
        <v>1921</v>
      </c>
      <c r="B166" s="300">
        <f t="shared" si="76"/>
        <v>86594</v>
      </c>
      <c r="C166" s="300">
        <f t="shared" si="76"/>
        <v>88759</v>
      </c>
      <c r="D166" s="300">
        <f t="shared" si="76"/>
        <v>90979</v>
      </c>
      <c r="E166" s="300">
        <f t="shared" si="76"/>
        <v>93253</v>
      </c>
      <c r="F166" s="300">
        <f t="shared" si="76"/>
        <v>95584</v>
      </c>
      <c r="G166" s="300">
        <f t="shared" si="76"/>
        <v>97974</v>
      </c>
      <c r="H166" s="300">
        <f t="shared" si="76"/>
        <v>100423</v>
      </c>
      <c r="I166" s="300">
        <f t="shared" si="76"/>
        <v>102431</v>
      </c>
      <c r="J166" s="300">
        <f t="shared" si="76"/>
        <v>104480</v>
      </c>
      <c r="K166" s="300">
        <f t="shared" si="76"/>
        <v>106570</v>
      </c>
    </row>
    <row r="168" spans="1:12" x14ac:dyDescent="0.2">
      <c r="A168" s="288" t="s">
        <v>874</v>
      </c>
      <c r="B168" s="306" t="s">
        <v>1935</v>
      </c>
      <c r="C168" s="335"/>
      <c r="D168" s="335"/>
      <c r="E168" s="335"/>
    </row>
    <row r="169" spans="1:12" x14ac:dyDescent="0.2">
      <c r="A169" s="288" t="s">
        <v>1914</v>
      </c>
      <c r="B169" s="828">
        <v>1</v>
      </c>
      <c r="C169" s="828">
        <v>2</v>
      </c>
      <c r="D169" s="828">
        <v>3</v>
      </c>
      <c r="E169" s="828">
        <v>4</v>
      </c>
      <c r="F169" s="828">
        <v>5</v>
      </c>
      <c r="G169" s="828">
        <v>6</v>
      </c>
      <c r="H169" s="828">
        <v>7</v>
      </c>
      <c r="I169" s="828">
        <v>8</v>
      </c>
      <c r="J169" s="828">
        <v>9</v>
      </c>
      <c r="K169" s="828">
        <v>10</v>
      </c>
      <c r="L169" s="828">
        <v>11</v>
      </c>
    </row>
    <row r="170" spans="1:12" x14ac:dyDescent="0.2">
      <c r="A170" s="288" t="s">
        <v>1924</v>
      </c>
      <c r="B170" s="1">
        <f>ROUND((+B162/1827),2)</f>
        <v>29</v>
      </c>
      <c r="C170" s="1">
        <f t="shared" ref="C170:K170" si="77">ROUND((+C162/1827),2)</f>
        <v>29.73</v>
      </c>
      <c r="D170" s="1">
        <f t="shared" si="77"/>
        <v>30.47</v>
      </c>
      <c r="E170" s="1">
        <f t="shared" si="77"/>
        <v>31.23</v>
      </c>
      <c r="F170" s="1">
        <f t="shared" si="77"/>
        <v>32.01</v>
      </c>
      <c r="G170" s="1">
        <f t="shared" si="77"/>
        <v>32.81</v>
      </c>
      <c r="H170" s="1">
        <f t="shared" si="77"/>
        <v>33.47</v>
      </c>
      <c r="I170" s="1">
        <f t="shared" si="77"/>
        <v>34.14</v>
      </c>
      <c r="J170" s="1">
        <f t="shared" si="77"/>
        <v>34.82</v>
      </c>
      <c r="K170" s="1">
        <f t="shared" si="77"/>
        <v>35.520000000000003</v>
      </c>
    </row>
    <row r="171" spans="1:12" x14ac:dyDescent="0.2">
      <c r="A171" s="288" t="s">
        <v>213</v>
      </c>
      <c r="B171" s="1">
        <f>ROUND((+B162/2080),2)</f>
        <v>25.47</v>
      </c>
      <c r="C171" s="1">
        <f t="shared" ref="C171:K171" si="78">ROUND((+C162/2080),2)</f>
        <v>26.11</v>
      </c>
      <c r="D171" s="1">
        <f t="shared" si="78"/>
        <v>26.76</v>
      </c>
      <c r="E171" s="1">
        <f t="shared" si="78"/>
        <v>27.43</v>
      </c>
      <c r="F171" s="1">
        <f t="shared" si="78"/>
        <v>28.12</v>
      </c>
      <c r="G171" s="1">
        <f t="shared" si="78"/>
        <v>28.82</v>
      </c>
      <c r="H171" s="1">
        <f t="shared" si="78"/>
        <v>29.4</v>
      </c>
      <c r="I171" s="1">
        <f t="shared" si="78"/>
        <v>29.99</v>
      </c>
      <c r="J171" s="1">
        <f t="shared" si="78"/>
        <v>30.59</v>
      </c>
      <c r="K171" s="1">
        <f t="shared" si="78"/>
        <v>31.2</v>
      </c>
    </row>
    <row r="172" spans="1:12" x14ac:dyDescent="0.2">
      <c r="A172" s="125" t="s">
        <v>1927</v>
      </c>
      <c r="G172" s="64">
        <f>ROUND(((+G163*1.085)/52.2/37.69),2)</f>
        <v>35.130000000000003</v>
      </c>
      <c r="H172" s="64">
        <f>ROUND(((+H163*1.085)/52.2/37.69),2)</f>
        <v>35.83</v>
      </c>
      <c r="I172" s="64">
        <f>ROUND(((+I163*1.085)/52.2/37.69),2)</f>
        <v>36.549999999999997</v>
      </c>
      <c r="J172" s="64">
        <f>ROUND(((+J163*1.085)/52.2/37.69),2)</f>
        <v>37.28</v>
      </c>
      <c r="K172" s="64">
        <f>ROUND(((+K163*1.085)/52.2/37.69),2)</f>
        <v>38.03</v>
      </c>
    </row>
    <row r="174" spans="1:12" x14ac:dyDescent="0.2">
      <c r="A174" s="299" t="s">
        <v>1939</v>
      </c>
    </row>
    <row r="175" spans="1:12" x14ac:dyDescent="0.2">
      <c r="B175" s="220" t="s">
        <v>1887</v>
      </c>
    </row>
    <row r="176" spans="1:12" x14ac:dyDescent="0.2">
      <c r="A176" s="288" t="s">
        <v>1914</v>
      </c>
      <c r="B176" s="828">
        <v>1</v>
      </c>
      <c r="C176" s="828">
        <v>2</v>
      </c>
      <c r="D176" s="828">
        <v>3</v>
      </c>
      <c r="E176" s="828">
        <v>4</v>
      </c>
      <c r="F176" s="828">
        <v>5</v>
      </c>
      <c r="G176" s="828">
        <v>6</v>
      </c>
      <c r="H176" s="828">
        <v>7</v>
      </c>
      <c r="I176" s="828">
        <v>8</v>
      </c>
      <c r="J176" s="828">
        <v>9</v>
      </c>
      <c r="K176" s="828">
        <v>10</v>
      </c>
      <c r="L176" s="828">
        <v>11</v>
      </c>
    </row>
    <row r="177" spans="1:12" x14ac:dyDescent="0.2">
      <c r="A177" s="288" t="s">
        <v>1804</v>
      </c>
      <c r="B177" s="236">
        <f>ROUND((+B196*1.01),2)</f>
        <v>13.89</v>
      </c>
      <c r="C177" s="236">
        <f t="shared" ref="C177:K177" si="79">ROUND((+C196*1.01),2)</f>
        <v>14.23</v>
      </c>
      <c r="D177" s="236">
        <f t="shared" si="79"/>
        <v>14.58</v>
      </c>
      <c r="E177" s="236">
        <f t="shared" si="79"/>
        <v>14.96</v>
      </c>
      <c r="F177" s="236">
        <f t="shared" si="79"/>
        <v>15.32</v>
      </c>
      <c r="G177" s="236">
        <f t="shared" si="79"/>
        <v>15.71</v>
      </c>
      <c r="H177" s="236">
        <f t="shared" si="79"/>
        <v>16.07</v>
      </c>
      <c r="I177" s="236">
        <f t="shared" si="79"/>
        <v>16.420000000000002</v>
      </c>
      <c r="J177" s="236">
        <f t="shared" si="79"/>
        <v>16.75</v>
      </c>
      <c r="K177" s="236">
        <f t="shared" si="79"/>
        <v>17.09</v>
      </c>
    </row>
    <row r="178" spans="1:12" x14ac:dyDescent="0.2">
      <c r="A178" s="288" t="s">
        <v>1808</v>
      </c>
      <c r="B178" s="236">
        <f t="shared" ref="B178:K181" si="80">ROUND((+B197*1.01),2)</f>
        <v>16.37</v>
      </c>
      <c r="C178" s="236">
        <f t="shared" si="80"/>
        <v>16.78</v>
      </c>
      <c r="D178" s="236">
        <f t="shared" si="80"/>
        <v>17.2</v>
      </c>
      <c r="E178" s="236">
        <f t="shared" si="80"/>
        <v>17.62</v>
      </c>
      <c r="F178" s="236">
        <f t="shared" si="80"/>
        <v>18.07</v>
      </c>
      <c r="G178" s="236">
        <f t="shared" si="80"/>
        <v>18.52</v>
      </c>
      <c r="H178" s="236">
        <f t="shared" si="80"/>
        <v>18.989999999999998</v>
      </c>
      <c r="I178" s="236">
        <f t="shared" si="80"/>
        <v>19.36</v>
      </c>
      <c r="J178" s="236">
        <f t="shared" si="80"/>
        <v>19.75</v>
      </c>
      <c r="K178" s="236">
        <f t="shared" si="80"/>
        <v>20.149999999999999</v>
      </c>
    </row>
    <row r="179" spans="1:12" x14ac:dyDescent="0.2">
      <c r="A179" s="288" t="s">
        <v>1814</v>
      </c>
      <c r="B179" s="236">
        <f t="shared" si="80"/>
        <v>17.61</v>
      </c>
      <c r="C179" s="236">
        <f t="shared" si="80"/>
        <v>18.059999999999999</v>
      </c>
      <c r="D179" s="236">
        <f t="shared" si="80"/>
        <v>18.5</v>
      </c>
      <c r="E179" s="236">
        <f t="shared" si="80"/>
        <v>18.97</v>
      </c>
      <c r="F179" s="236">
        <f t="shared" si="80"/>
        <v>19.440000000000001</v>
      </c>
      <c r="G179" s="236">
        <f t="shared" si="80"/>
        <v>19.940000000000001</v>
      </c>
      <c r="H179" s="236">
        <f t="shared" si="80"/>
        <v>20.420000000000002</v>
      </c>
      <c r="I179" s="236">
        <f t="shared" si="80"/>
        <v>20.83</v>
      </c>
      <c r="J179" s="236">
        <f t="shared" si="80"/>
        <v>21.25</v>
      </c>
      <c r="K179" s="236">
        <f t="shared" si="80"/>
        <v>21.67</v>
      </c>
    </row>
    <row r="180" spans="1:12" x14ac:dyDescent="0.2">
      <c r="A180" s="288" t="s">
        <v>1817</v>
      </c>
      <c r="B180" s="236">
        <f t="shared" si="80"/>
        <v>19.2</v>
      </c>
      <c r="C180" s="236">
        <f t="shared" si="80"/>
        <v>19.670000000000002</v>
      </c>
      <c r="D180" s="236">
        <f t="shared" si="80"/>
        <v>20.170000000000002</v>
      </c>
      <c r="E180" s="236">
        <f t="shared" si="80"/>
        <v>20.67</v>
      </c>
      <c r="F180" s="236">
        <f t="shared" si="80"/>
        <v>21.19</v>
      </c>
      <c r="G180" s="236">
        <f t="shared" si="80"/>
        <v>21.72</v>
      </c>
      <c r="H180" s="236">
        <f t="shared" si="80"/>
        <v>22.27</v>
      </c>
      <c r="I180" s="236">
        <f t="shared" si="80"/>
        <v>22.7</v>
      </c>
      <c r="J180" s="236">
        <f t="shared" si="80"/>
        <v>23.17</v>
      </c>
      <c r="K180" s="236">
        <f t="shared" si="80"/>
        <v>23.62</v>
      </c>
    </row>
    <row r="181" spans="1:12" x14ac:dyDescent="0.2">
      <c r="A181" s="288" t="s">
        <v>1915</v>
      </c>
      <c r="B181" s="236">
        <f t="shared" si="80"/>
        <v>20.72</v>
      </c>
      <c r="C181" s="236">
        <f t="shared" si="80"/>
        <v>21.24</v>
      </c>
      <c r="D181" s="236">
        <f t="shared" si="80"/>
        <v>21.77</v>
      </c>
      <c r="E181" s="236">
        <f t="shared" si="80"/>
        <v>22.32</v>
      </c>
      <c r="F181" s="236">
        <f t="shared" si="80"/>
        <v>22.87</v>
      </c>
      <c r="G181" s="236">
        <f t="shared" si="80"/>
        <v>23.44</v>
      </c>
      <c r="H181" s="236">
        <f t="shared" si="80"/>
        <v>24.04</v>
      </c>
      <c r="I181" s="236">
        <f t="shared" si="80"/>
        <v>24.51</v>
      </c>
      <c r="J181" s="236">
        <f t="shared" si="80"/>
        <v>25.01</v>
      </c>
      <c r="K181" s="236">
        <f t="shared" si="80"/>
        <v>25.5</v>
      </c>
    </row>
    <row r="182" spans="1:12" x14ac:dyDescent="0.2">
      <c r="A182" s="288" t="s">
        <v>1916</v>
      </c>
      <c r="B182" s="237">
        <f>ROUND((+B201*1.01),0)</f>
        <v>52461</v>
      </c>
      <c r="C182" s="237">
        <f t="shared" ref="C182:K182" si="81">ROUND((+C201*1.01),0)</f>
        <v>53773</v>
      </c>
      <c r="D182" s="237">
        <f t="shared" si="81"/>
        <v>55117</v>
      </c>
      <c r="E182" s="237">
        <f t="shared" si="81"/>
        <v>56495</v>
      </c>
      <c r="F182" s="237">
        <f t="shared" si="81"/>
        <v>57908</v>
      </c>
      <c r="G182" s="237">
        <f t="shared" si="81"/>
        <v>59356</v>
      </c>
      <c r="H182" s="237">
        <f t="shared" si="81"/>
        <v>60543</v>
      </c>
      <c r="I182" s="237">
        <f t="shared" si="81"/>
        <v>61753</v>
      </c>
      <c r="J182" s="237">
        <f t="shared" si="81"/>
        <v>62988</v>
      </c>
      <c r="K182" s="237">
        <f t="shared" si="81"/>
        <v>64248</v>
      </c>
    </row>
    <row r="183" spans="1:12" x14ac:dyDescent="0.2">
      <c r="A183" s="288" t="s">
        <v>1917</v>
      </c>
      <c r="B183" s="237">
        <f t="shared" ref="B183:K186" si="82">ROUND((+B202*1.01),0)</f>
        <v>55746</v>
      </c>
      <c r="C183" s="237">
        <f t="shared" si="82"/>
        <v>57140</v>
      </c>
      <c r="D183" s="237">
        <f t="shared" si="82"/>
        <v>58569</v>
      </c>
      <c r="E183" s="237">
        <f t="shared" si="82"/>
        <v>60033</v>
      </c>
      <c r="F183" s="237">
        <f t="shared" si="82"/>
        <v>61533</v>
      </c>
      <c r="G183" s="237">
        <f t="shared" si="82"/>
        <v>63071</v>
      </c>
      <c r="H183" s="237">
        <f t="shared" si="82"/>
        <v>64334</v>
      </c>
      <c r="I183" s="237">
        <f t="shared" si="82"/>
        <v>65620</v>
      </c>
      <c r="J183" s="237">
        <f t="shared" si="82"/>
        <v>66933</v>
      </c>
      <c r="K183" s="237">
        <f t="shared" si="82"/>
        <v>68271</v>
      </c>
    </row>
    <row r="184" spans="1:12" x14ac:dyDescent="0.2">
      <c r="A184" s="288" t="s">
        <v>1919</v>
      </c>
      <c r="B184" s="237">
        <f t="shared" si="82"/>
        <v>70858</v>
      </c>
      <c r="C184" s="237">
        <f t="shared" si="82"/>
        <v>72629</v>
      </c>
      <c r="D184" s="237">
        <f t="shared" si="82"/>
        <v>74444</v>
      </c>
      <c r="E184" s="237">
        <f t="shared" si="82"/>
        <v>76306</v>
      </c>
      <c r="F184" s="237">
        <f t="shared" si="82"/>
        <v>78213</v>
      </c>
      <c r="G184" s="237">
        <f t="shared" si="82"/>
        <v>80169</v>
      </c>
      <c r="H184" s="237">
        <f t="shared" si="82"/>
        <v>82173</v>
      </c>
      <c r="I184" s="237">
        <f t="shared" si="82"/>
        <v>83817</v>
      </c>
      <c r="J184" s="237">
        <f t="shared" si="82"/>
        <v>85492</v>
      </c>
      <c r="K184" s="237">
        <f t="shared" si="82"/>
        <v>87202</v>
      </c>
    </row>
    <row r="185" spans="1:12" x14ac:dyDescent="0.2">
      <c r="A185" s="288" t="s">
        <v>1920</v>
      </c>
      <c r="B185" s="237">
        <f t="shared" si="82"/>
        <v>77943</v>
      </c>
      <c r="C185" s="237">
        <f t="shared" si="82"/>
        <v>79891</v>
      </c>
      <c r="D185" s="237">
        <f t="shared" si="82"/>
        <v>81889</v>
      </c>
      <c r="E185" s="237">
        <f t="shared" si="82"/>
        <v>83936</v>
      </c>
      <c r="F185" s="237">
        <f t="shared" si="82"/>
        <v>86034</v>
      </c>
      <c r="G185" s="237">
        <f t="shared" si="82"/>
        <v>88184</v>
      </c>
      <c r="H185" s="237">
        <f t="shared" si="82"/>
        <v>90389</v>
      </c>
      <c r="I185" s="237">
        <f t="shared" si="82"/>
        <v>92198</v>
      </c>
      <c r="J185" s="237">
        <f t="shared" si="82"/>
        <v>94041</v>
      </c>
      <c r="K185" s="237">
        <f t="shared" si="82"/>
        <v>95922</v>
      </c>
    </row>
    <row r="186" spans="1:12" x14ac:dyDescent="0.2">
      <c r="A186" s="288" t="s">
        <v>1921</v>
      </c>
      <c r="B186" s="237">
        <f t="shared" si="82"/>
        <v>85737</v>
      </c>
      <c r="C186" s="237">
        <f t="shared" si="82"/>
        <v>87880</v>
      </c>
      <c r="D186" s="237">
        <f t="shared" si="82"/>
        <v>90078</v>
      </c>
      <c r="E186" s="237">
        <f t="shared" si="82"/>
        <v>92330</v>
      </c>
      <c r="F186" s="237">
        <f t="shared" si="82"/>
        <v>94638</v>
      </c>
      <c r="G186" s="237">
        <f t="shared" si="82"/>
        <v>97004</v>
      </c>
      <c r="H186" s="237">
        <f t="shared" si="82"/>
        <v>99429</v>
      </c>
      <c r="I186" s="237">
        <f t="shared" si="82"/>
        <v>101417</v>
      </c>
      <c r="J186" s="237">
        <f t="shared" si="82"/>
        <v>103446</v>
      </c>
      <c r="K186" s="237">
        <f t="shared" si="82"/>
        <v>105515</v>
      </c>
    </row>
    <row r="188" spans="1:12" x14ac:dyDescent="0.2">
      <c r="A188" s="288" t="s">
        <v>874</v>
      </c>
      <c r="B188" s="220" t="s">
        <v>1940</v>
      </c>
    </row>
    <row r="189" spans="1:12" x14ac:dyDescent="0.2">
      <c r="A189" s="288" t="s">
        <v>1914</v>
      </c>
      <c r="B189" s="828">
        <v>1</v>
      </c>
      <c r="C189" s="828">
        <v>2</v>
      </c>
      <c r="D189" s="828">
        <v>3</v>
      </c>
      <c r="E189" s="828">
        <v>4</v>
      </c>
      <c r="F189" s="828">
        <v>5</v>
      </c>
      <c r="G189" s="828">
        <v>6</v>
      </c>
      <c r="H189" s="828">
        <v>7</v>
      </c>
      <c r="I189" s="828">
        <v>8</v>
      </c>
      <c r="J189" s="828">
        <v>9</v>
      </c>
      <c r="K189" s="828">
        <v>10</v>
      </c>
      <c r="L189" s="828">
        <v>11</v>
      </c>
    </row>
    <row r="190" spans="1:12" x14ac:dyDescent="0.2">
      <c r="A190" s="288" t="s">
        <v>1916</v>
      </c>
      <c r="B190" s="1">
        <f>ROUND((+B182/1834),2)</f>
        <v>28.6</v>
      </c>
      <c r="C190" s="1">
        <f t="shared" ref="C190:K190" si="83">ROUND((+C182/1827),2)</f>
        <v>29.43</v>
      </c>
      <c r="D190" s="1">
        <f t="shared" si="83"/>
        <v>30.17</v>
      </c>
      <c r="E190" s="1">
        <f t="shared" si="83"/>
        <v>30.92</v>
      </c>
      <c r="F190" s="1">
        <f t="shared" si="83"/>
        <v>31.7</v>
      </c>
      <c r="G190" s="1">
        <f t="shared" si="83"/>
        <v>32.49</v>
      </c>
      <c r="H190" s="1">
        <f t="shared" si="83"/>
        <v>33.14</v>
      </c>
      <c r="I190" s="1">
        <f t="shared" si="83"/>
        <v>33.799999999999997</v>
      </c>
      <c r="J190" s="1">
        <f t="shared" si="83"/>
        <v>34.479999999999997</v>
      </c>
      <c r="K190" s="1">
        <f t="shared" si="83"/>
        <v>35.17</v>
      </c>
    </row>
    <row r="191" spans="1:12" x14ac:dyDescent="0.2">
      <c r="A191" s="288" t="s">
        <v>213</v>
      </c>
      <c r="B191" s="1">
        <f>ROUND((+B182/2100),2)</f>
        <v>24.98</v>
      </c>
      <c r="C191" s="1">
        <f t="shared" ref="C191:K191" si="84">ROUND((+C182/2100),2)</f>
        <v>25.61</v>
      </c>
      <c r="D191" s="1">
        <f t="shared" si="84"/>
        <v>26.25</v>
      </c>
      <c r="E191" s="1">
        <f t="shared" si="84"/>
        <v>26.9</v>
      </c>
      <c r="F191" s="1">
        <f t="shared" si="84"/>
        <v>27.58</v>
      </c>
      <c r="G191" s="1">
        <f t="shared" si="84"/>
        <v>28.26</v>
      </c>
      <c r="H191" s="1">
        <f t="shared" si="84"/>
        <v>28.83</v>
      </c>
      <c r="I191" s="1">
        <f t="shared" si="84"/>
        <v>29.41</v>
      </c>
      <c r="J191" s="1">
        <f t="shared" si="84"/>
        <v>29.99</v>
      </c>
      <c r="K191" s="1">
        <f t="shared" si="84"/>
        <v>30.59</v>
      </c>
    </row>
    <row r="192" spans="1:12" x14ac:dyDescent="0.2">
      <c r="A192" s="125" t="s">
        <v>1927</v>
      </c>
      <c r="G192" s="64">
        <f>ROUND(((+G183*1.085)/52.2/37.69),2)</f>
        <v>34.78</v>
      </c>
      <c r="H192" s="64">
        <f>ROUND(((+H183*1.085)/52.2/37.69),2)</f>
        <v>35.479999999999997</v>
      </c>
      <c r="I192" s="64">
        <f>ROUND(((+I183*1.085)/52.2/37.69),2)</f>
        <v>36.19</v>
      </c>
      <c r="J192" s="64">
        <f>ROUND(((+J183*1.085)/52.2/37.69),2)</f>
        <v>36.909999999999997</v>
      </c>
      <c r="K192" s="64">
        <f>ROUND(((+K183*1.085)/52.2/37.69),2)</f>
        <v>37.65</v>
      </c>
    </row>
    <row r="193" spans="1:12" ht="27.75" customHeight="1" x14ac:dyDescent="0.2">
      <c r="A193" s="299" t="s">
        <v>1941</v>
      </c>
    </row>
    <row r="194" spans="1:12" x14ac:dyDescent="0.2">
      <c r="B194" s="220" t="s">
        <v>1887</v>
      </c>
    </row>
    <row r="195" spans="1:12" x14ac:dyDescent="0.2">
      <c r="A195" s="288" t="s">
        <v>1914</v>
      </c>
      <c r="B195" s="828">
        <v>1</v>
      </c>
      <c r="C195" s="828">
        <v>2</v>
      </c>
      <c r="D195" s="828">
        <v>3</v>
      </c>
      <c r="E195" s="828">
        <v>4</v>
      </c>
      <c r="F195" s="828">
        <v>5</v>
      </c>
      <c r="G195" s="828">
        <v>6</v>
      </c>
      <c r="H195" s="828">
        <v>7</v>
      </c>
      <c r="I195" s="828">
        <v>8</v>
      </c>
      <c r="J195" s="828">
        <v>9</v>
      </c>
      <c r="K195" s="828">
        <v>10</v>
      </c>
      <c r="L195" s="828">
        <v>11</v>
      </c>
    </row>
    <row r="196" spans="1:12" x14ac:dyDescent="0.2">
      <c r="A196" s="288" t="s">
        <v>1804</v>
      </c>
      <c r="B196" s="236">
        <f>ROUND((+B223*1.01),2)</f>
        <v>13.75</v>
      </c>
      <c r="C196" s="236">
        <f t="shared" ref="C196:K196" si="85">ROUND((+C223*1.01),2)</f>
        <v>14.09</v>
      </c>
      <c r="D196" s="236">
        <f t="shared" si="85"/>
        <v>14.44</v>
      </c>
      <c r="E196" s="236">
        <f t="shared" si="85"/>
        <v>14.81</v>
      </c>
      <c r="F196" s="236">
        <f t="shared" si="85"/>
        <v>15.17</v>
      </c>
      <c r="G196" s="236">
        <f t="shared" si="85"/>
        <v>15.55</v>
      </c>
      <c r="H196" s="236">
        <f t="shared" si="85"/>
        <v>15.91</v>
      </c>
      <c r="I196" s="236">
        <f t="shared" si="85"/>
        <v>16.260000000000002</v>
      </c>
      <c r="J196" s="236">
        <f t="shared" si="85"/>
        <v>16.579999999999998</v>
      </c>
      <c r="K196" s="236">
        <f t="shared" si="85"/>
        <v>16.920000000000002</v>
      </c>
    </row>
    <row r="197" spans="1:12" x14ac:dyDescent="0.2">
      <c r="A197" s="288" t="s">
        <v>1808</v>
      </c>
      <c r="B197" s="236">
        <f>ROUND((+B222*1.01),2)</f>
        <v>16.21</v>
      </c>
      <c r="C197" s="236">
        <f t="shared" ref="C197:K197" si="86">ROUND((+C222*1.01),2)</f>
        <v>16.61</v>
      </c>
      <c r="D197" s="236">
        <f t="shared" si="86"/>
        <v>17.03</v>
      </c>
      <c r="E197" s="236">
        <f t="shared" si="86"/>
        <v>17.45</v>
      </c>
      <c r="F197" s="236">
        <f t="shared" si="86"/>
        <v>17.89</v>
      </c>
      <c r="G197" s="236">
        <f t="shared" si="86"/>
        <v>18.34</v>
      </c>
      <c r="H197" s="236">
        <f t="shared" si="86"/>
        <v>18.8</v>
      </c>
      <c r="I197" s="236">
        <f t="shared" si="86"/>
        <v>19.170000000000002</v>
      </c>
      <c r="J197" s="236">
        <f t="shared" si="86"/>
        <v>19.55</v>
      </c>
      <c r="K197" s="236">
        <f t="shared" si="86"/>
        <v>19.95</v>
      </c>
    </row>
    <row r="198" spans="1:12" x14ac:dyDescent="0.2">
      <c r="A198" s="288" t="s">
        <v>1814</v>
      </c>
      <c r="B198" s="236">
        <f>ROUND((+B221*1.01),2)</f>
        <v>17.440000000000001</v>
      </c>
      <c r="C198" s="236">
        <f t="shared" ref="C198:K198" si="87">ROUND((+C221*1.01),2)</f>
        <v>17.88</v>
      </c>
      <c r="D198" s="236">
        <f t="shared" si="87"/>
        <v>18.32</v>
      </c>
      <c r="E198" s="236">
        <f t="shared" si="87"/>
        <v>18.78</v>
      </c>
      <c r="F198" s="236">
        <f t="shared" si="87"/>
        <v>19.25</v>
      </c>
      <c r="G198" s="236">
        <f t="shared" si="87"/>
        <v>19.739999999999998</v>
      </c>
      <c r="H198" s="236">
        <f t="shared" si="87"/>
        <v>20.22</v>
      </c>
      <c r="I198" s="236">
        <f t="shared" si="87"/>
        <v>20.62</v>
      </c>
      <c r="J198" s="236">
        <f t="shared" si="87"/>
        <v>21.04</v>
      </c>
      <c r="K198" s="236">
        <f t="shared" si="87"/>
        <v>21.46</v>
      </c>
    </row>
    <row r="199" spans="1:12" x14ac:dyDescent="0.2">
      <c r="A199" s="288" t="s">
        <v>1817</v>
      </c>
      <c r="B199" s="236">
        <f>ROUND((+B220*1.01),2)</f>
        <v>19.010000000000002</v>
      </c>
      <c r="C199" s="236">
        <f t="shared" ref="C199:K199" si="88">ROUND((+C220*1.01),2)</f>
        <v>19.48</v>
      </c>
      <c r="D199" s="236">
        <f t="shared" si="88"/>
        <v>19.97</v>
      </c>
      <c r="E199" s="236">
        <f t="shared" si="88"/>
        <v>20.47</v>
      </c>
      <c r="F199" s="236">
        <f t="shared" si="88"/>
        <v>20.98</v>
      </c>
      <c r="G199" s="236">
        <f t="shared" si="88"/>
        <v>21.5</v>
      </c>
      <c r="H199" s="236">
        <f t="shared" si="88"/>
        <v>22.05</v>
      </c>
      <c r="I199" s="236">
        <f t="shared" si="88"/>
        <v>22.48</v>
      </c>
      <c r="J199" s="236">
        <f t="shared" si="88"/>
        <v>22.94</v>
      </c>
      <c r="K199" s="236">
        <f t="shared" si="88"/>
        <v>23.39</v>
      </c>
    </row>
    <row r="200" spans="1:12" x14ac:dyDescent="0.2">
      <c r="A200" s="288" t="s">
        <v>1915</v>
      </c>
      <c r="B200" s="236">
        <f>ROUND((+B219*1.01),2)</f>
        <v>20.51</v>
      </c>
      <c r="C200" s="236">
        <f t="shared" ref="C200:K200" si="89">ROUND((+C219*1.01),2)</f>
        <v>21.03</v>
      </c>
      <c r="D200" s="236">
        <f t="shared" si="89"/>
        <v>21.55</v>
      </c>
      <c r="E200" s="236">
        <f t="shared" si="89"/>
        <v>22.1</v>
      </c>
      <c r="F200" s="236">
        <f t="shared" si="89"/>
        <v>22.64</v>
      </c>
      <c r="G200" s="236">
        <f t="shared" si="89"/>
        <v>23.21</v>
      </c>
      <c r="H200" s="236">
        <f t="shared" si="89"/>
        <v>23.8</v>
      </c>
      <c r="I200" s="236">
        <f t="shared" si="89"/>
        <v>24.27</v>
      </c>
      <c r="J200" s="236">
        <f t="shared" si="89"/>
        <v>24.76</v>
      </c>
      <c r="K200" s="236">
        <f t="shared" si="89"/>
        <v>25.25</v>
      </c>
    </row>
    <row r="201" spans="1:12" x14ac:dyDescent="0.2">
      <c r="A201" s="288" t="s">
        <v>1916</v>
      </c>
      <c r="B201" s="237">
        <f>ROUND((+B218*1.01),0)</f>
        <v>51942</v>
      </c>
      <c r="C201" s="237">
        <f t="shared" ref="C201:K201" si="90">ROUND((+C218*1.01),0)</f>
        <v>53241</v>
      </c>
      <c r="D201" s="237">
        <f t="shared" si="90"/>
        <v>54571</v>
      </c>
      <c r="E201" s="237">
        <f t="shared" si="90"/>
        <v>55936</v>
      </c>
      <c r="F201" s="237">
        <f t="shared" si="90"/>
        <v>57335</v>
      </c>
      <c r="G201" s="237">
        <f t="shared" si="90"/>
        <v>58768</v>
      </c>
      <c r="H201" s="237">
        <f t="shared" si="90"/>
        <v>59944</v>
      </c>
      <c r="I201" s="237">
        <f t="shared" si="90"/>
        <v>61142</v>
      </c>
      <c r="J201" s="237">
        <f t="shared" si="90"/>
        <v>62364</v>
      </c>
      <c r="K201" s="237">
        <f t="shared" si="90"/>
        <v>63612</v>
      </c>
    </row>
    <row r="202" spans="1:12" x14ac:dyDescent="0.2">
      <c r="A202" s="288" t="s">
        <v>1917</v>
      </c>
      <c r="B202" s="237">
        <f>ROUND((+B217*1.01),0)</f>
        <v>55194</v>
      </c>
      <c r="C202" s="237">
        <f t="shared" ref="C202:K202" si="91">ROUND((+C217*1.01),0)</f>
        <v>56574</v>
      </c>
      <c r="D202" s="237">
        <f t="shared" si="91"/>
        <v>57989</v>
      </c>
      <c r="E202" s="237">
        <f t="shared" si="91"/>
        <v>59439</v>
      </c>
      <c r="F202" s="237">
        <f t="shared" si="91"/>
        <v>60924</v>
      </c>
      <c r="G202" s="237">
        <f t="shared" si="91"/>
        <v>62447</v>
      </c>
      <c r="H202" s="237">
        <f t="shared" si="91"/>
        <v>63697</v>
      </c>
      <c r="I202" s="237">
        <f t="shared" si="91"/>
        <v>64970</v>
      </c>
      <c r="J202" s="237">
        <f t="shared" si="91"/>
        <v>66270</v>
      </c>
      <c r="K202" s="237">
        <f t="shared" si="91"/>
        <v>67595</v>
      </c>
    </row>
    <row r="203" spans="1:12" x14ac:dyDescent="0.2">
      <c r="A203" s="288" t="s">
        <v>1919</v>
      </c>
      <c r="B203" s="237">
        <f>ROUND((+B216*1.01),0)</f>
        <v>70156</v>
      </c>
      <c r="C203" s="237">
        <f t="shared" ref="C203:K203" si="92">ROUND((+C216*1.01),0)</f>
        <v>71910</v>
      </c>
      <c r="D203" s="237">
        <f t="shared" si="92"/>
        <v>73707</v>
      </c>
      <c r="E203" s="237">
        <f t="shared" si="92"/>
        <v>75550</v>
      </c>
      <c r="F203" s="237">
        <f t="shared" si="92"/>
        <v>77439</v>
      </c>
      <c r="G203" s="237">
        <f t="shared" si="92"/>
        <v>79375</v>
      </c>
      <c r="H203" s="237">
        <f t="shared" si="92"/>
        <v>81359</v>
      </c>
      <c r="I203" s="237">
        <f t="shared" si="92"/>
        <v>82987</v>
      </c>
      <c r="J203" s="237">
        <f t="shared" si="92"/>
        <v>84646</v>
      </c>
      <c r="K203" s="237">
        <f t="shared" si="92"/>
        <v>86339</v>
      </c>
    </row>
    <row r="204" spans="1:12" x14ac:dyDescent="0.2">
      <c r="A204" s="288" t="s">
        <v>1920</v>
      </c>
      <c r="B204" s="237">
        <f>ROUND((+B215*1.01),0)</f>
        <v>77171</v>
      </c>
      <c r="C204" s="237">
        <f t="shared" ref="C204:K204" si="93">ROUND((+C215*1.01),0)</f>
        <v>79100</v>
      </c>
      <c r="D204" s="237">
        <f t="shared" si="93"/>
        <v>81078</v>
      </c>
      <c r="E204" s="237">
        <f t="shared" si="93"/>
        <v>83105</v>
      </c>
      <c r="F204" s="237">
        <f t="shared" si="93"/>
        <v>85182</v>
      </c>
      <c r="G204" s="237">
        <f t="shared" si="93"/>
        <v>87311</v>
      </c>
      <c r="H204" s="237">
        <f t="shared" si="93"/>
        <v>89494</v>
      </c>
      <c r="I204" s="237">
        <f t="shared" si="93"/>
        <v>91285</v>
      </c>
      <c r="J204" s="237">
        <f t="shared" si="93"/>
        <v>93110</v>
      </c>
      <c r="K204" s="237">
        <f t="shared" si="93"/>
        <v>94972</v>
      </c>
    </row>
    <row r="205" spans="1:12" x14ac:dyDescent="0.2">
      <c r="A205" s="288" t="s">
        <v>1921</v>
      </c>
      <c r="B205" s="237">
        <f>ROUND((+B214*1.01),0)</f>
        <v>84888</v>
      </c>
      <c r="C205" s="237">
        <f t="shared" ref="C205:K205" si="94">ROUND((+C214*1.01),0)</f>
        <v>87010</v>
      </c>
      <c r="D205" s="237">
        <f t="shared" si="94"/>
        <v>89186</v>
      </c>
      <c r="E205" s="237">
        <f t="shared" si="94"/>
        <v>91416</v>
      </c>
      <c r="F205" s="237">
        <f t="shared" si="94"/>
        <v>93701</v>
      </c>
      <c r="G205" s="237">
        <f t="shared" si="94"/>
        <v>96044</v>
      </c>
      <c r="H205" s="237">
        <f t="shared" si="94"/>
        <v>98445</v>
      </c>
      <c r="I205" s="237">
        <f t="shared" si="94"/>
        <v>100413</v>
      </c>
      <c r="J205" s="237">
        <f t="shared" si="94"/>
        <v>102422</v>
      </c>
      <c r="K205" s="237">
        <f t="shared" si="94"/>
        <v>104470</v>
      </c>
    </row>
    <row r="207" spans="1:12" x14ac:dyDescent="0.2">
      <c r="A207" s="288" t="s">
        <v>874</v>
      </c>
      <c r="B207" s="220" t="s">
        <v>1940</v>
      </c>
    </row>
    <row r="208" spans="1:12" x14ac:dyDescent="0.2">
      <c r="A208" s="288" t="s">
        <v>1914</v>
      </c>
      <c r="B208" s="828">
        <v>1</v>
      </c>
      <c r="C208" s="828">
        <v>2</v>
      </c>
      <c r="D208" s="828">
        <v>3</v>
      </c>
      <c r="E208" s="828">
        <v>4</v>
      </c>
      <c r="F208" s="828">
        <v>5</v>
      </c>
      <c r="G208" s="828">
        <v>6</v>
      </c>
      <c r="H208" s="828">
        <v>7</v>
      </c>
      <c r="I208" s="828">
        <v>8</v>
      </c>
      <c r="J208" s="828">
        <v>9</v>
      </c>
      <c r="K208" s="828">
        <v>10</v>
      </c>
      <c r="L208" s="828">
        <v>11</v>
      </c>
    </row>
    <row r="209" spans="1:12" x14ac:dyDescent="0.2">
      <c r="A209" s="288" t="s">
        <v>1916</v>
      </c>
      <c r="B209" s="1">
        <f>ROUND((+B201/1827),2)</f>
        <v>28.43</v>
      </c>
      <c r="C209" s="1">
        <f t="shared" ref="C209:K209" si="95">ROUND((+C201/1827),2)</f>
        <v>29.14</v>
      </c>
      <c r="D209" s="1">
        <f t="shared" si="95"/>
        <v>29.87</v>
      </c>
      <c r="E209" s="1">
        <f t="shared" si="95"/>
        <v>30.62</v>
      </c>
      <c r="F209" s="1">
        <f t="shared" si="95"/>
        <v>31.38</v>
      </c>
      <c r="G209" s="1">
        <f t="shared" si="95"/>
        <v>32.17</v>
      </c>
      <c r="H209" s="1">
        <f t="shared" si="95"/>
        <v>32.81</v>
      </c>
      <c r="I209" s="1">
        <f t="shared" si="95"/>
        <v>33.47</v>
      </c>
      <c r="J209" s="1">
        <f t="shared" si="95"/>
        <v>34.130000000000003</v>
      </c>
      <c r="K209" s="1">
        <f t="shared" si="95"/>
        <v>34.82</v>
      </c>
    </row>
    <row r="210" spans="1:12" x14ac:dyDescent="0.2">
      <c r="A210" s="288" t="s">
        <v>213</v>
      </c>
      <c r="B210" s="1">
        <f>ROUND((+B201/2090),2)</f>
        <v>24.85</v>
      </c>
      <c r="C210" s="1">
        <f t="shared" ref="C210:K210" si="96">ROUND((+C201/2090),2)</f>
        <v>25.47</v>
      </c>
      <c r="D210" s="1">
        <f t="shared" si="96"/>
        <v>26.11</v>
      </c>
      <c r="E210" s="1">
        <f t="shared" si="96"/>
        <v>26.76</v>
      </c>
      <c r="F210" s="1">
        <f t="shared" si="96"/>
        <v>27.43</v>
      </c>
      <c r="G210" s="1">
        <f t="shared" si="96"/>
        <v>28.12</v>
      </c>
      <c r="H210" s="1">
        <f t="shared" si="96"/>
        <v>28.68</v>
      </c>
      <c r="I210" s="1">
        <f t="shared" si="96"/>
        <v>29.25</v>
      </c>
      <c r="J210" s="1">
        <f t="shared" si="96"/>
        <v>29.84</v>
      </c>
      <c r="K210" s="1">
        <f t="shared" si="96"/>
        <v>30.44</v>
      </c>
    </row>
    <row r="212" spans="1:12" x14ac:dyDescent="0.2">
      <c r="A212" s="1102" t="s">
        <v>564</v>
      </c>
      <c r="B212" s="238"/>
      <c r="C212" s="238"/>
      <c r="D212" s="238"/>
      <c r="E212" s="238"/>
      <c r="F212" s="238"/>
      <c r="G212" s="238"/>
      <c r="H212" s="238"/>
      <c r="I212" s="238"/>
      <c r="J212" s="238"/>
      <c r="K212" s="238"/>
    </row>
    <row r="213" spans="1:12" x14ac:dyDescent="0.2">
      <c r="A213" s="1102" t="s">
        <v>1914</v>
      </c>
      <c r="B213" s="828">
        <v>1</v>
      </c>
      <c r="C213" s="828">
        <v>2</v>
      </c>
      <c r="D213" s="828">
        <v>3</v>
      </c>
      <c r="E213" s="828">
        <v>4</v>
      </c>
      <c r="F213" s="828">
        <v>5</v>
      </c>
      <c r="G213" s="828">
        <v>6</v>
      </c>
      <c r="H213" s="828">
        <v>7</v>
      </c>
      <c r="I213" s="828">
        <v>8</v>
      </c>
      <c r="J213" s="828">
        <v>9</v>
      </c>
      <c r="K213" s="828">
        <v>10</v>
      </c>
      <c r="L213" s="828">
        <v>11</v>
      </c>
    </row>
    <row r="214" spans="1:12" x14ac:dyDescent="0.2">
      <c r="A214" s="1102" t="s">
        <v>1921</v>
      </c>
      <c r="B214" s="1103">
        <v>84048</v>
      </c>
      <c r="C214" s="1103">
        <v>86149</v>
      </c>
      <c r="D214" s="1103">
        <v>88303</v>
      </c>
      <c r="E214" s="1103">
        <v>90511</v>
      </c>
      <c r="F214" s="1103">
        <v>92773</v>
      </c>
      <c r="G214" s="1103">
        <v>95093</v>
      </c>
      <c r="H214" s="1103">
        <v>97470</v>
      </c>
      <c r="I214" s="1103">
        <v>99419</v>
      </c>
      <c r="J214" s="1103">
        <v>101408</v>
      </c>
      <c r="K214" s="1103">
        <v>103436</v>
      </c>
    </row>
    <row r="215" spans="1:12" x14ac:dyDescent="0.2">
      <c r="A215" s="1102" t="s">
        <v>1920</v>
      </c>
      <c r="B215" s="1103">
        <v>76407</v>
      </c>
      <c r="C215" s="1103">
        <v>78317</v>
      </c>
      <c r="D215" s="1103">
        <v>80275</v>
      </c>
      <c r="E215" s="1103">
        <v>82282</v>
      </c>
      <c r="F215" s="1103">
        <v>84339</v>
      </c>
      <c r="G215" s="1103">
        <v>86447</v>
      </c>
      <c r="H215" s="1103">
        <v>88608</v>
      </c>
      <c r="I215" s="1103">
        <v>90381</v>
      </c>
      <c r="J215" s="1103">
        <v>92188</v>
      </c>
      <c r="K215" s="1103">
        <v>94032</v>
      </c>
    </row>
    <row r="216" spans="1:12" x14ac:dyDescent="0.2">
      <c r="A216" s="1102" t="s">
        <v>1919</v>
      </c>
      <c r="B216" s="1103">
        <v>69461</v>
      </c>
      <c r="C216" s="1103">
        <v>71198</v>
      </c>
      <c r="D216" s="1103">
        <v>72977</v>
      </c>
      <c r="E216" s="1103">
        <v>74802</v>
      </c>
      <c r="F216" s="1103">
        <v>76672</v>
      </c>
      <c r="G216" s="1103">
        <v>78589</v>
      </c>
      <c r="H216" s="1103">
        <v>80553</v>
      </c>
      <c r="I216" s="1103">
        <v>82165</v>
      </c>
      <c r="J216" s="1103">
        <v>83808</v>
      </c>
      <c r="K216" s="1103">
        <v>85484</v>
      </c>
    </row>
    <row r="217" spans="1:12" x14ac:dyDescent="0.2">
      <c r="A217" s="1102" t="s">
        <v>1917</v>
      </c>
      <c r="B217" s="1103">
        <v>54648</v>
      </c>
      <c r="C217" s="1103">
        <v>56014</v>
      </c>
      <c r="D217" s="1103">
        <v>57415</v>
      </c>
      <c r="E217" s="1103">
        <v>58850</v>
      </c>
      <c r="F217" s="1103">
        <v>60321</v>
      </c>
      <c r="G217" s="1103">
        <v>61829</v>
      </c>
      <c r="H217" s="1103">
        <v>63066</v>
      </c>
      <c r="I217" s="1103">
        <v>64327</v>
      </c>
      <c r="J217" s="1103">
        <v>65614</v>
      </c>
      <c r="K217" s="1103">
        <v>66926</v>
      </c>
    </row>
    <row r="218" spans="1:12" x14ac:dyDescent="0.2">
      <c r="A218" s="1102" t="s">
        <v>1916</v>
      </c>
      <c r="B218" s="1103">
        <v>51428</v>
      </c>
      <c r="C218" s="1103">
        <v>52714</v>
      </c>
      <c r="D218" s="1103">
        <v>54031</v>
      </c>
      <c r="E218" s="1103">
        <v>55382</v>
      </c>
      <c r="F218" s="1103">
        <v>56767</v>
      </c>
      <c r="G218" s="1103">
        <v>58186</v>
      </c>
      <c r="H218" s="1103">
        <v>59350</v>
      </c>
      <c r="I218" s="1103">
        <v>60537</v>
      </c>
      <c r="J218" s="1103">
        <v>61747</v>
      </c>
      <c r="K218" s="1103">
        <v>62982</v>
      </c>
    </row>
    <row r="219" spans="1:12" x14ac:dyDescent="0.2">
      <c r="A219" s="1102" t="s">
        <v>1915</v>
      </c>
      <c r="B219" s="239">
        <v>20.309999999999999</v>
      </c>
      <c r="C219" s="239">
        <v>20.82</v>
      </c>
      <c r="D219" s="239">
        <v>21.34</v>
      </c>
      <c r="E219" s="239">
        <v>21.88</v>
      </c>
      <c r="F219" s="239">
        <v>22.42</v>
      </c>
      <c r="G219" s="239">
        <v>22.98</v>
      </c>
      <c r="H219" s="239">
        <v>23.56</v>
      </c>
      <c r="I219" s="239">
        <v>24.03</v>
      </c>
      <c r="J219" s="239">
        <v>24.51</v>
      </c>
      <c r="K219" s="239">
        <v>25</v>
      </c>
    </row>
    <row r="220" spans="1:12" x14ac:dyDescent="0.2">
      <c r="A220" s="1102" t="s">
        <v>1817</v>
      </c>
      <c r="B220" s="239">
        <v>18.82</v>
      </c>
      <c r="C220" s="239">
        <v>19.29</v>
      </c>
      <c r="D220" s="239">
        <v>19.77</v>
      </c>
      <c r="E220" s="239">
        <v>20.27</v>
      </c>
      <c r="F220" s="239">
        <v>20.77</v>
      </c>
      <c r="G220" s="239">
        <v>21.29</v>
      </c>
      <c r="H220" s="239">
        <v>21.83</v>
      </c>
      <c r="I220" s="239">
        <v>22.26</v>
      </c>
      <c r="J220" s="239">
        <v>22.71</v>
      </c>
      <c r="K220" s="239">
        <v>23.16</v>
      </c>
    </row>
    <row r="221" spans="1:12" x14ac:dyDescent="0.2">
      <c r="A221" s="1102" t="s">
        <v>1814</v>
      </c>
      <c r="B221" s="239">
        <v>17.27</v>
      </c>
      <c r="C221" s="239">
        <v>17.7</v>
      </c>
      <c r="D221" s="239">
        <v>18.14</v>
      </c>
      <c r="E221" s="239">
        <v>18.59</v>
      </c>
      <c r="F221" s="239">
        <v>19.059999999999999</v>
      </c>
      <c r="G221" s="239">
        <v>19.54</v>
      </c>
      <c r="H221" s="239">
        <v>20.02</v>
      </c>
      <c r="I221" s="239">
        <v>20.420000000000002</v>
      </c>
      <c r="J221" s="239">
        <v>20.83</v>
      </c>
      <c r="K221" s="239">
        <v>21.25</v>
      </c>
    </row>
    <row r="222" spans="1:12" x14ac:dyDescent="0.2">
      <c r="A222" s="1102" t="s">
        <v>1808</v>
      </c>
      <c r="B222" s="239">
        <v>16.05</v>
      </c>
      <c r="C222" s="239">
        <v>16.45</v>
      </c>
      <c r="D222" s="239">
        <v>16.86</v>
      </c>
      <c r="E222" s="239">
        <v>17.28</v>
      </c>
      <c r="F222" s="239">
        <v>17.71</v>
      </c>
      <c r="G222" s="239">
        <v>18.16</v>
      </c>
      <c r="H222" s="239">
        <v>18.61</v>
      </c>
      <c r="I222" s="239">
        <v>18.98</v>
      </c>
      <c r="J222" s="239">
        <v>19.36</v>
      </c>
      <c r="K222" s="239">
        <v>19.75</v>
      </c>
    </row>
    <row r="223" spans="1:12" x14ac:dyDescent="0.2">
      <c r="A223" s="1102" t="s">
        <v>1804</v>
      </c>
      <c r="B223" s="239">
        <v>13.61</v>
      </c>
      <c r="C223" s="239">
        <v>13.95</v>
      </c>
      <c r="D223" s="239">
        <v>14.3</v>
      </c>
      <c r="E223" s="239">
        <v>14.66</v>
      </c>
      <c r="F223" s="239">
        <v>15.02</v>
      </c>
      <c r="G223" s="239">
        <v>15.4</v>
      </c>
      <c r="H223" s="239">
        <v>15.75</v>
      </c>
      <c r="I223" s="239">
        <v>16.100000000000001</v>
      </c>
      <c r="J223" s="239">
        <v>16.420000000000002</v>
      </c>
      <c r="K223" s="239">
        <v>16.75</v>
      </c>
    </row>
    <row r="224" spans="1:12" x14ac:dyDescent="0.2">
      <c r="A224" s="288"/>
      <c r="B224" s="220"/>
      <c r="C224" s="220"/>
      <c r="D224" s="220"/>
      <c r="E224" s="220"/>
      <c r="F224" s="220"/>
      <c r="G224" s="220"/>
      <c r="H224" s="220"/>
      <c r="I224" s="220"/>
      <c r="J224" s="220"/>
      <c r="K224" s="220"/>
    </row>
    <row r="225" spans="1:11" x14ac:dyDescent="0.2">
      <c r="A225" s="288" t="s">
        <v>213</v>
      </c>
      <c r="B225" s="1">
        <f>ROUND((+B218/2090),2)</f>
        <v>24.61</v>
      </c>
      <c r="C225" s="1">
        <f t="shared" ref="C225:K225" si="97">ROUND((+C218/2090),2)</f>
        <v>25.22</v>
      </c>
      <c r="D225" s="1">
        <f t="shared" si="97"/>
        <v>25.85</v>
      </c>
      <c r="E225" s="1">
        <f t="shared" si="97"/>
        <v>26.5</v>
      </c>
      <c r="F225" s="1">
        <f t="shared" si="97"/>
        <v>27.16</v>
      </c>
      <c r="G225" s="1">
        <f t="shared" si="97"/>
        <v>27.84</v>
      </c>
      <c r="H225" s="1">
        <f t="shared" si="97"/>
        <v>28.4</v>
      </c>
      <c r="I225" s="1">
        <f t="shared" si="97"/>
        <v>28.97</v>
      </c>
      <c r="J225" s="1">
        <f t="shared" si="97"/>
        <v>29.54</v>
      </c>
      <c r="K225" s="1">
        <f t="shared" si="97"/>
        <v>30.13</v>
      </c>
    </row>
  </sheetData>
  <hyperlinks>
    <hyperlink ref="G23" location="'Table of Contents'!A1" display="TOC" xr:uid="{00000000-0004-0000-4200-000000000000}"/>
    <hyperlink ref="G1" location="'Table of Contents'!A1" display="TOC" xr:uid="{B747CB14-B504-4E67-B7FD-D03D15C84737}"/>
  </hyperlinks>
  <pageMargins left="0.7" right="0.7" top="0.75" bottom="0.75" header="0.3" footer="0.3"/>
  <pageSetup scale="80" orientation="portrait" r:id="rId1"/>
  <headerFooter>
    <oddFooter>&amp;L&amp;D &amp;T&amp;C&amp;F&amp;R&amp;A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2:AT114"/>
  <sheetViews>
    <sheetView workbookViewId="0">
      <pane xSplit="2" ySplit="9" topLeftCell="L36" activePane="bottomRight" state="frozen"/>
      <selection pane="topRight" activeCell="C1" sqref="C1"/>
      <selection pane="bottomLeft" activeCell="A10" sqref="A10"/>
      <selection pane="bottomRight" activeCell="N20" sqref="N20"/>
    </sheetView>
  </sheetViews>
  <sheetFormatPr defaultRowHeight="12.75" x14ac:dyDescent="0.2"/>
  <cols>
    <col min="1" max="1" width="48.1640625" style="619" customWidth="1"/>
    <col min="2" max="2" width="13.5" style="619" customWidth="1"/>
    <col min="3" max="14" width="13.33203125" style="619" customWidth="1"/>
    <col min="15" max="15" width="13.83203125" style="619" customWidth="1"/>
    <col min="16" max="16" width="13.1640625" style="619" bestFit="1" customWidth="1"/>
    <col min="17" max="17" width="8.83203125" style="957"/>
    <col min="18" max="46" width="8.83203125" style="619"/>
  </cols>
  <sheetData>
    <row r="2" spans="1:19" x14ac:dyDescent="0.2">
      <c r="A2" s="619" t="s">
        <v>319</v>
      </c>
    </row>
    <row r="3" spans="1:19" x14ac:dyDescent="0.2">
      <c r="A3" s="619" t="s">
        <v>320</v>
      </c>
    </row>
    <row r="4" spans="1:19" x14ac:dyDescent="0.2">
      <c r="A4" s="619" t="s">
        <v>321</v>
      </c>
    </row>
    <row r="7" spans="1:19" x14ac:dyDescent="0.2">
      <c r="A7" s="619" t="s">
        <v>322</v>
      </c>
      <c r="B7" s="619" t="s">
        <v>323</v>
      </c>
      <c r="C7" s="683" t="s">
        <v>267</v>
      </c>
      <c r="D7" s="683" t="s">
        <v>268</v>
      </c>
      <c r="E7" s="683" t="s">
        <v>269</v>
      </c>
      <c r="F7" s="683" t="s">
        <v>270</v>
      </c>
      <c r="G7" s="683" t="s">
        <v>271</v>
      </c>
      <c r="H7" s="683" t="s">
        <v>272</v>
      </c>
      <c r="I7" s="683" t="s">
        <v>273</v>
      </c>
      <c r="J7" s="683" t="s">
        <v>274</v>
      </c>
      <c r="K7" s="683" t="s">
        <v>324</v>
      </c>
      <c r="L7" s="683" t="s">
        <v>325</v>
      </c>
      <c r="M7" s="704" t="s">
        <v>326</v>
      </c>
      <c r="N7" s="714" t="s">
        <v>326</v>
      </c>
      <c r="O7" s="619" t="s">
        <v>327</v>
      </c>
      <c r="Q7" s="957" t="s">
        <v>328</v>
      </c>
    </row>
    <row r="8" spans="1:19" x14ac:dyDescent="0.2">
      <c r="A8" s="684" t="s">
        <v>197</v>
      </c>
      <c r="B8" s="684"/>
      <c r="C8" s="623"/>
      <c r="D8" s="623"/>
      <c r="E8" s="683"/>
      <c r="F8" s="683"/>
      <c r="G8" s="683"/>
      <c r="H8" s="683"/>
      <c r="I8" s="683"/>
      <c r="J8" s="683"/>
      <c r="K8" s="683"/>
      <c r="L8" s="683" t="s">
        <v>329</v>
      </c>
      <c r="M8" s="704" t="s">
        <v>330</v>
      </c>
      <c r="N8" s="714" t="s">
        <v>331</v>
      </c>
      <c r="O8" s="619" t="s">
        <v>193</v>
      </c>
      <c r="P8" s="619" t="s">
        <v>332</v>
      </c>
      <c r="Q8" s="957" t="s">
        <v>333</v>
      </c>
      <c r="S8" s="619" t="s">
        <v>334</v>
      </c>
    </row>
    <row r="9" spans="1:19" x14ac:dyDescent="0.2">
      <c r="C9" s="683"/>
      <c r="D9" s="683"/>
      <c r="E9" s="683"/>
      <c r="F9" s="683"/>
      <c r="G9" s="683"/>
      <c r="H9" s="683"/>
      <c r="I9" s="683"/>
      <c r="J9" s="683"/>
      <c r="K9" s="683"/>
      <c r="L9" s="683"/>
      <c r="M9" s="705" t="s">
        <v>335</v>
      </c>
      <c r="N9" s="715" t="s">
        <v>336</v>
      </c>
    </row>
    <row r="10" spans="1:19" x14ac:dyDescent="0.2">
      <c r="C10" s="683"/>
      <c r="D10" s="683"/>
      <c r="E10" s="683"/>
      <c r="F10" s="683"/>
      <c r="G10" s="683"/>
      <c r="H10" s="683"/>
      <c r="I10" s="683"/>
      <c r="J10" s="683"/>
      <c r="K10" s="683"/>
      <c r="L10" s="683"/>
      <c r="M10" s="705"/>
      <c r="N10" s="715"/>
    </row>
    <row r="11" spans="1:19" x14ac:dyDescent="0.2">
      <c r="A11" s="619" t="s">
        <v>337</v>
      </c>
      <c r="C11" s="683"/>
      <c r="D11" s="683"/>
      <c r="E11" s="683"/>
      <c r="F11" s="683"/>
      <c r="G11" s="683"/>
      <c r="H11" s="683"/>
      <c r="I11" s="683"/>
      <c r="J11" s="683"/>
      <c r="K11" s="683"/>
      <c r="L11" s="683"/>
      <c r="M11" s="705"/>
      <c r="N11" s="715"/>
    </row>
    <row r="12" spans="1:19" x14ac:dyDescent="0.2">
      <c r="A12" s="619" t="s">
        <v>338</v>
      </c>
      <c r="B12" s="683">
        <v>1395900</v>
      </c>
      <c r="C12" s="683">
        <v>1180500</v>
      </c>
      <c r="D12" s="683">
        <v>1210203</v>
      </c>
      <c r="E12" s="683">
        <v>1403190</v>
      </c>
      <c r="F12" s="683">
        <v>1972360</v>
      </c>
      <c r="G12" s="683">
        <v>4666000</v>
      </c>
      <c r="H12" s="683">
        <v>4498647</v>
      </c>
      <c r="I12" s="683">
        <v>4118400</v>
      </c>
      <c r="J12" s="683">
        <v>2905600</v>
      </c>
      <c r="K12" s="683">
        <v>2269100</v>
      </c>
      <c r="L12" s="683">
        <v>2094900</v>
      </c>
      <c r="M12" s="706">
        <f>ROUND(((+P12/1000)*Q12),0)</f>
        <v>44110</v>
      </c>
      <c r="N12" s="716"/>
      <c r="O12" s="623">
        <f>SUM(C12:L12)</f>
        <v>26318900</v>
      </c>
      <c r="P12" s="626">
        <f>ROUND((+O12/10),0)</f>
        <v>2631890</v>
      </c>
      <c r="Q12" s="957">
        <v>16.760000000000002</v>
      </c>
      <c r="R12" s="619" t="s">
        <v>276</v>
      </c>
    </row>
    <row r="13" spans="1:19" x14ac:dyDescent="0.2">
      <c r="A13" s="619" t="s">
        <v>339</v>
      </c>
      <c r="B13" s="700">
        <f>1423445+4093530</f>
        <v>5516975</v>
      </c>
      <c r="C13" s="700">
        <f>1253864+3955250</f>
        <v>5209114</v>
      </c>
      <c r="D13" s="700">
        <f>302335+16749360</f>
        <v>17051695</v>
      </c>
      <c r="E13" s="625">
        <f>169600+3134830</f>
        <v>3304430</v>
      </c>
      <c r="F13" s="625">
        <f>915374+3406989</f>
        <v>4322363</v>
      </c>
      <c r="G13" s="625">
        <f>60170+6365255</f>
        <v>6425425</v>
      </c>
      <c r="H13" s="625">
        <f>1292270+20086697</f>
        <v>21378967</v>
      </c>
      <c r="I13" s="625">
        <f>2495200+14853937</f>
        <v>17349137</v>
      </c>
      <c r="J13" s="625">
        <f>4015561+15644231</f>
        <v>19659792</v>
      </c>
      <c r="K13" s="625">
        <f>1844450+583500+11093779</f>
        <v>13521729</v>
      </c>
      <c r="L13" s="625">
        <v>4937262</v>
      </c>
      <c r="M13" s="707">
        <f>ROUND(((+P13/1000)*Q12),0)</f>
        <v>189656</v>
      </c>
      <c r="N13" s="717"/>
      <c r="O13" s="625">
        <f>SUM(C13:L13)</f>
        <v>113159914</v>
      </c>
      <c r="P13" s="702">
        <f>ROUND((+O13/10),0)</f>
        <v>11315991</v>
      </c>
      <c r="Q13" s="957">
        <v>25.83</v>
      </c>
      <c r="R13" s="619" t="s">
        <v>276</v>
      </c>
    </row>
    <row r="14" spans="1:19" x14ac:dyDescent="0.2">
      <c r="A14" s="619" t="s">
        <v>193</v>
      </c>
      <c r="B14" s="623">
        <f t="shared" ref="B14:K14" si="0">SUM(B12:B13)</f>
        <v>6912875</v>
      </c>
      <c r="C14" s="623">
        <f t="shared" si="0"/>
        <v>6389614</v>
      </c>
      <c r="D14" s="623">
        <f t="shared" si="0"/>
        <v>18261898</v>
      </c>
      <c r="E14" s="623">
        <f t="shared" si="0"/>
        <v>4707620</v>
      </c>
      <c r="F14" s="623">
        <f t="shared" si="0"/>
        <v>6294723</v>
      </c>
      <c r="G14" s="623">
        <f t="shared" si="0"/>
        <v>11091425</v>
      </c>
      <c r="H14" s="623">
        <f t="shared" si="0"/>
        <v>25877614</v>
      </c>
      <c r="I14" s="623">
        <f t="shared" si="0"/>
        <v>21467537</v>
      </c>
      <c r="J14" s="623">
        <f t="shared" si="0"/>
        <v>22565392</v>
      </c>
      <c r="K14" s="623">
        <f t="shared" si="0"/>
        <v>15790829</v>
      </c>
      <c r="L14" s="623">
        <f>SUM(L12:L13)</f>
        <v>7032162</v>
      </c>
      <c r="M14" s="708">
        <f>SUM(M12:M13)</f>
        <v>233766</v>
      </c>
      <c r="N14" s="718"/>
      <c r="O14" s="623">
        <f>SUM(O12:O13)</f>
        <v>139478814</v>
      </c>
      <c r="P14" s="623">
        <f>SUM(P12:P13)</f>
        <v>13947881</v>
      </c>
    </row>
    <row r="15" spans="1:19" x14ac:dyDescent="0.2">
      <c r="C15" s="683"/>
      <c r="D15" s="683"/>
      <c r="E15" s="623"/>
      <c r="F15" s="623"/>
      <c r="G15" s="623"/>
      <c r="H15" s="683"/>
      <c r="I15" s="623"/>
      <c r="J15" s="623"/>
      <c r="K15" s="623"/>
      <c r="L15" s="623"/>
      <c r="M15" s="708"/>
      <c r="N15" s="718"/>
    </row>
    <row r="16" spans="1:19" x14ac:dyDescent="0.2">
      <c r="A16" s="685" t="s">
        <v>340</v>
      </c>
      <c r="B16" s="685"/>
      <c r="C16" s="623"/>
      <c r="D16" s="623"/>
      <c r="E16" s="623"/>
      <c r="F16" s="623"/>
      <c r="G16" s="623"/>
      <c r="H16" s="683"/>
      <c r="I16" s="623"/>
      <c r="J16" s="623"/>
      <c r="K16" s="623"/>
      <c r="L16" s="623"/>
      <c r="M16" s="708"/>
      <c r="N16" s="718"/>
    </row>
    <row r="17" spans="1:19" x14ac:dyDescent="0.2">
      <c r="A17" s="619" t="s">
        <v>341</v>
      </c>
      <c r="C17" s="623">
        <v>12456970</v>
      </c>
      <c r="D17" s="623">
        <f t="shared" ref="D17:G17" si="1">+C17+C18+C19</f>
        <v>12911745</v>
      </c>
      <c r="E17" s="623">
        <f t="shared" si="1"/>
        <v>13690149</v>
      </c>
      <c r="F17" s="623">
        <f t="shared" si="1"/>
        <v>14144902</v>
      </c>
      <c r="G17" s="623">
        <f t="shared" si="1"/>
        <v>14642844</v>
      </c>
      <c r="H17" s="623">
        <v>15274313</v>
      </c>
      <c r="I17" s="623">
        <f>+H17+H18+H19</f>
        <v>16267561</v>
      </c>
      <c r="J17" s="623">
        <f>+I17+I18+I19</f>
        <v>17194323</v>
      </c>
      <c r="K17" s="623">
        <f t="shared" ref="K17" si="2">+J17+J18+J19</f>
        <v>18178839</v>
      </c>
      <c r="L17" s="623">
        <f>+K17+K18+K19</f>
        <v>19037452</v>
      </c>
      <c r="M17" s="708">
        <f>+L17+L18+L19</f>
        <v>19683180</v>
      </c>
      <c r="N17" s="718">
        <f>+M17</f>
        <v>19683180</v>
      </c>
    </row>
    <row r="18" spans="1:19" x14ac:dyDescent="0.2">
      <c r="A18" s="686">
        <v>2.5000000000000001E-2</v>
      </c>
      <c r="B18" s="686"/>
      <c r="C18" s="623">
        <v>311424</v>
      </c>
      <c r="D18" s="623">
        <f t="shared" ref="D18:K18" si="3">ROUND((+D17*0.025),0)</f>
        <v>322794</v>
      </c>
      <c r="E18" s="623">
        <f t="shared" si="3"/>
        <v>342254</v>
      </c>
      <c r="F18" s="623">
        <f t="shared" si="3"/>
        <v>353623</v>
      </c>
      <c r="G18" s="623">
        <f t="shared" si="3"/>
        <v>366071</v>
      </c>
      <c r="H18" s="623">
        <f t="shared" si="3"/>
        <v>381858</v>
      </c>
      <c r="I18" s="623">
        <f t="shared" si="3"/>
        <v>406689</v>
      </c>
      <c r="J18" s="623">
        <f>429614-9761</f>
        <v>419853</v>
      </c>
      <c r="K18" s="623">
        <f t="shared" si="3"/>
        <v>454471</v>
      </c>
      <c r="L18" s="623">
        <f>ROUND((+L17*0.025),0)</f>
        <v>475936</v>
      </c>
      <c r="M18" s="708">
        <f>ROUND((+M17*0.025),0)</f>
        <v>492080</v>
      </c>
      <c r="N18" s="718">
        <f>+M18</f>
        <v>492080</v>
      </c>
    </row>
    <row r="19" spans="1:19" x14ac:dyDescent="0.2">
      <c r="A19" s="619" t="s">
        <v>342</v>
      </c>
      <c r="C19" s="623">
        <v>143351</v>
      </c>
      <c r="D19" s="623">
        <v>455610</v>
      </c>
      <c r="E19" s="623">
        <v>112499</v>
      </c>
      <c r="F19" s="623">
        <v>144319</v>
      </c>
      <c r="G19" s="623">
        <v>264355</v>
      </c>
      <c r="H19" s="623">
        <v>611390</v>
      </c>
      <c r="I19" s="623">
        <v>520073</v>
      </c>
      <c r="J19" s="623">
        <v>564663</v>
      </c>
      <c r="K19" s="623">
        <v>404142</v>
      </c>
      <c r="L19" s="623">
        <v>169792</v>
      </c>
      <c r="M19" s="708">
        <f>+M14</f>
        <v>233766</v>
      </c>
      <c r="N19" s="718">
        <v>120000</v>
      </c>
    </row>
    <row r="20" spans="1:19" x14ac:dyDescent="0.2">
      <c r="A20" s="619" t="s">
        <v>148</v>
      </c>
      <c r="C20" s="623">
        <v>713128</v>
      </c>
      <c r="D20" s="623">
        <v>674566</v>
      </c>
      <c r="E20" s="623">
        <v>679626</v>
      </c>
      <c r="F20" s="623">
        <v>677179</v>
      </c>
      <c r="G20" s="623">
        <v>675388</v>
      </c>
      <c r="H20" s="623">
        <v>747324</v>
      </c>
      <c r="I20" s="623">
        <v>742178</v>
      </c>
      <c r="J20" s="623">
        <v>925371</v>
      </c>
      <c r="K20" s="623">
        <v>1165193</v>
      </c>
      <c r="L20" s="623">
        <v>1157271</v>
      </c>
      <c r="M20" s="708">
        <f>+'Debt Exclusion Calc.'!I25</f>
        <v>1179061</v>
      </c>
      <c r="N20" s="718">
        <f>+M20</f>
        <v>1179061</v>
      </c>
    </row>
    <row r="21" spans="1:19" x14ac:dyDescent="0.2">
      <c r="A21" s="619" t="s">
        <v>343</v>
      </c>
      <c r="C21" s="623"/>
      <c r="D21" s="623"/>
      <c r="E21" s="623"/>
      <c r="F21" s="623"/>
      <c r="G21" s="623"/>
      <c r="H21" s="623"/>
      <c r="I21" s="623"/>
      <c r="J21" s="623">
        <v>-300815</v>
      </c>
      <c r="K21" s="623">
        <f>-500815</f>
        <v>-500815</v>
      </c>
      <c r="L21" s="687">
        <v>-632589</v>
      </c>
      <c r="M21" s="687">
        <v>-500000</v>
      </c>
      <c r="N21" s="703">
        <f>+M21</f>
        <v>-500000</v>
      </c>
      <c r="S21" s="619" t="s">
        <v>344</v>
      </c>
    </row>
    <row r="22" spans="1:19" x14ac:dyDescent="0.2">
      <c r="A22" s="619" t="s">
        <v>345</v>
      </c>
      <c r="C22" s="620">
        <f t="shared" ref="C22:I22" si="4">SUM(C17:C20)</f>
        <v>13624873</v>
      </c>
      <c r="D22" s="620">
        <f t="shared" si="4"/>
        <v>14364715</v>
      </c>
      <c r="E22" s="620">
        <f t="shared" si="4"/>
        <v>14824528</v>
      </c>
      <c r="F22" s="620">
        <f t="shared" si="4"/>
        <v>15320023</v>
      </c>
      <c r="G22" s="620">
        <f t="shared" si="4"/>
        <v>15948658</v>
      </c>
      <c r="H22" s="620">
        <f>SUM(H17:H20)</f>
        <v>17014885</v>
      </c>
      <c r="I22" s="620">
        <f t="shared" si="4"/>
        <v>17936501</v>
      </c>
      <c r="J22" s="620">
        <f>SUM(J17:J21)</f>
        <v>18803395</v>
      </c>
      <c r="K22" s="620">
        <f>SUM(K17:K21)</f>
        <v>19701830</v>
      </c>
      <c r="L22" s="620">
        <f>SUM(L17:L21)</f>
        <v>20207862</v>
      </c>
      <c r="M22" s="709">
        <f>SUM(M17:M21)</f>
        <v>21088087</v>
      </c>
      <c r="N22" s="720">
        <f>SUM(N17:N21)</f>
        <v>20974321</v>
      </c>
    </row>
    <row r="23" spans="1:19" x14ac:dyDescent="0.2">
      <c r="C23" s="623"/>
      <c r="D23" s="623"/>
      <c r="E23" s="623"/>
      <c r="F23" s="623"/>
      <c r="G23" s="623"/>
      <c r="H23" s="623"/>
      <c r="I23" s="623"/>
      <c r="J23" s="623"/>
      <c r="K23" s="623"/>
      <c r="L23" s="623"/>
      <c r="M23" s="708"/>
      <c r="N23" s="718"/>
    </row>
    <row r="24" spans="1:19" x14ac:dyDescent="0.2">
      <c r="A24" s="619" t="s">
        <v>346</v>
      </c>
      <c r="C24" s="623">
        <v>-123306</v>
      </c>
      <c r="D24" s="623">
        <v>-357654</v>
      </c>
      <c r="E24" s="623">
        <v>-400065</v>
      </c>
      <c r="F24" s="623">
        <v>-406881</v>
      </c>
      <c r="G24" s="623">
        <v>-450000</v>
      </c>
      <c r="H24" s="623">
        <v>-487971.03</v>
      </c>
      <c r="I24" s="623">
        <v>-424470</v>
      </c>
      <c r="J24" s="623">
        <v>-133913</v>
      </c>
      <c r="K24" s="623">
        <v>-146208.04999999999</v>
      </c>
      <c r="L24" s="623">
        <v>-69425</v>
      </c>
      <c r="M24" s="708">
        <v>-100000</v>
      </c>
      <c r="N24" s="718">
        <v>-100000</v>
      </c>
      <c r="S24" s="619" t="s">
        <v>347</v>
      </c>
    </row>
    <row r="25" spans="1:19" x14ac:dyDescent="0.2">
      <c r="A25" s="619" t="s">
        <v>348</v>
      </c>
      <c r="C25" s="620">
        <f t="shared" ref="C25:J25" si="5">SUM(C22:C24)</f>
        <v>13501567</v>
      </c>
      <c r="D25" s="620">
        <f t="shared" si="5"/>
        <v>14007061</v>
      </c>
      <c r="E25" s="620">
        <f t="shared" si="5"/>
        <v>14424463</v>
      </c>
      <c r="F25" s="620">
        <f t="shared" si="5"/>
        <v>14913142</v>
      </c>
      <c r="G25" s="620">
        <f t="shared" si="5"/>
        <v>15498658</v>
      </c>
      <c r="H25" s="620">
        <f>SUM(H22:H24)</f>
        <v>16526913.970000001</v>
      </c>
      <c r="I25" s="620">
        <f t="shared" si="5"/>
        <v>17512031</v>
      </c>
      <c r="J25" s="620">
        <f t="shared" si="5"/>
        <v>18669482</v>
      </c>
      <c r="K25" s="620">
        <f t="shared" ref="K25" si="6">SUM(K22:K24)</f>
        <v>19555621.949999999</v>
      </c>
      <c r="L25" s="620">
        <f>SUM(L22:L24)</f>
        <v>20138437</v>
      </c>
      <c r="M25" s="709">
        <f>SUM(M22:M24)</f>
        <v>20988087</v>
      </c>
      <c r="N25" s="720">
        <f>SUM(N22:N24)</f>
        <v>20874321</v>
      </c>
    </row>
    <row r="26" spans="1:19" x14ac:dyDescent="0.2">
      <c r="C26" s="623"/>
      <c r="D26" s="623"/>
      <c r="E26" s="623"/>
      <c r="F26" s="623"/>
      <c r="G26" s="623"/>
      <c r="H26" s="623"/>
      <c r="I26" s="623"/>
      <c r="J26" s="623"/>
      <c r="K26" s="623"/>
      <c r="L26" s="623"/>
      <c r="M26" s="708"/>
      <c r="N26" s="718"/>
    </row>
    <row r="27" spans="1:19" x14ac:dyDescent="0.2">
      <c r="A27" s="685" t="s">
        <v>349</v>
      </c>
      <c r="B27" s="685"/>
      <c r="C27" s="683"/>
      <c r="D27" s="683"/>
      <c r="E27" s="683"/>
      <c r="F27" s="683"/>
      <c r="G27" s="683"/>
      <c r="H27" s="683"/>
      <c r="I27" s="683"/>
      <c r="J27" s="683"/>
      <c r="K27" s="683" t="s">
        <v>350</v>
      </c>
      <c r="M27" s="704"/>
      <c r="N27" s="714"/>
    </row>
    <row r="28" spans="1:19" x14ac:dyDescent="0.2">
      <c r="A28" s="619" t="s">
        <v>351</v>
      </c>
      <c r="C28" s="725">
        <v>1212188</v>
      </c>
      <c r="D28" s="725">
        <v>1240842</v>
      </c>
      <c r="E28" s="725">
        <v>1275253</v>
      </c>
      <c r="F28" s="725">
        <v>1321162</v>
      </c>
      <c r="G28" s="623">
        <v>1377972</v>
      </c>
      <c r="H28" s="623">
        <v>1431713</v>
      </c>
      <c r="I28" s="688">
        <v>1481823</v>
      </c>
      <c r="J28" s="688">
        <v>1521832</v>
      </c>
      <c r="K28" s="688">
        <v>1521832</v>
      </c>
      <c r="L28" s="688">
        <v>1575906</v>
      </c>
      <c r="M28" s="710">
        <f>ROUND((+SUM(H28:L28)/5),0)</f>
        <v>1506621</v>
      </c>
      <c r="N28" s="721">
        <f>+'Revenue Projections Detail'!M19</f>
        <v>1649976</v>
      </c>
      <c r="O28" s="711" t="s">
        <v>352</v>
      </c>
      <c r="P28" s="711"/>
      <c r="Q28" s="958"/>
      <c r="R28" s="711"/>
      <c r="S28" s="619" t="s">
        <v>353</v>
      </c>
    </row>
    <row r="29" spans="1:19" x14ac:dyDescent="0.2">
      <c r="A29" s="619" t="s">
        <v>354</v>
      </c>
      <c r="C29" s="725">
        <v>86490</v>
      </c>
      <c r="D29" s="725">
        <v>91061</v>
      </c>
      <c r="E29" s="725">
        <v>146453</v>
      </c>
      <c r="F29" s="725">
        <v>117247</v>
      </c>
      <c r="G29" s="623">
        <v>118213</v>
      </c>
      <c r="H29" s="623">
        <v>97743</v>
      </c>
      <c r="I29" s="688">
        <v>60443</v>
      </c>
      <c r="J29" s="688">
        <v>104740</v>
      </c>
      <c r="K29" s="688">
        <v>57632</v>
      </c>
      <c r="L29" s="688">
        <v>51118</v>
      </c>
      <c r="M29" s="710">
        <f t="shared" ref="M29:M33" si="7">ROUND((+SUM(H29:L29)/5),0)</f>
        <v>74335</v>
      </c>
      <c r="N29" s="721">
        <f>+'Revenue Projections Detail'!M20</f>
        <v>66176</v>
      </c>
      <c r="O29" s="711" t="s">
        <v>352</v>
      </c>
      <c r="P29" s="711"/>
      <c r="Q29" s="958"/>
      <c r="R29" s="711"/>
      <c r="S29" s="619" t="s">
        <v>355</v>
      </c>
    </row>
    <row r="30" spans="1:19" x14ac:dyDescent="0.2">
      <c r="A30" s="619" t="s">
        <v>356</v>
      </c>
      <c r="C30" s="725">
        <v>38679</v>
      </c>
      <c r="D30" s="725">
        <v>38857</v>
      </c>
      <c r="E30" s="725">
        <v>37727</v>
      </c>
      <c r="F30" s="725">
        <v>37727</v>
      </c>
      <c r="G30" s="623">
        <v>38973</v>
      </c>
      <c r="H30" s="623">
        <v>37382</v>
      </c>
      <c r="I30" s="688">
        <v>38594</v>
      </c>
      <c r="J30" s="688">
        <v>35811</v>
      </c>
      <c r="K30" s="688">
        <v>48208</v>
      </c>
      <c r="L30" s="688">
        <v>36914</v>
      </c>
      <c r="M30" s="710">
        <f>ROUND(((+SUM(H30:L30)-K30)/4),0)</f>
        <v>37175</v>
      </c>
      <c r="N30" s="721">
        <f>+'Revenue Projections Detail'!M21</f>
        <v>36734</v>
      </c>
      <c r="O30" s="711" t="s">
        <v>352</v>
      </c>
      <c r="P30" s="711"/>
      <c r="Q30" s="958"/>
      <c r="R30" s="711"/>
      <c r="S30" s="619" t="s">
        <v>357</v>
      </c>
    </row>
    <row r="31" spans="1:19" x14ac:dyDescent="0.2">
      <c r="A31" s="619" t="s">
        <v>358</v>
      </c>
      <c r="C31" s="725">
        <v>120375</v>
      </c>
      <c r="D31" s="725">
        <v>122756</v>
      </c>
      <c r="E31" s="725">
        <v>142331</v>
      </c>
      <c r="F31" s="725">
        <v>142331</v>
      </c>
      <c r="G31" s="623">
        <v>147574</v>
      </c>
      <c r="H31" s="623">
        <v>147574</v>
      </c>
      <c r="I31" s="688">
        <v>192222</v>
      </c>
      <c r="J31" s="688">
        <v>221320</v>
      </c>
      <c r="K31" s="688">
        <v>229400</v>
      </c>
      <c r="L31" s="688">
        <v>252976</v>
      </c>
      <c r="M31" s="710">
        <f t="shared" si="7"/>
        <v>208698</v>
      </c>
      <c r="N31" s="721">
        <f>+'Revenue Projections Detail'!M22</f>
        <v>257893</v>
      </c>
      <c r="O31" s="711" t="s">
        <v>352</v>
      </c>
      <c r="P31" s="711"/>
      <c r="Q31" s="958"/>
      <c r="R31" s="711"/>
      <c r="S31" s="619" t="s">
        <v>353</v>
      </c>
    </row>
    <row r="32" spans="1:19" x14ac:dyDescent="0.2">
      <c r="A32" s="619" t="s">
        <v>359</v>
      </c>
      <c r="C32" s="725">
        <v>11227</v>
      </c>
      <c r="D32" s="725">
        <v>11276</v>
      </c>
      <c r="E32" s="725">
        <v>13751</v>
      </c>
      <c r="F32" s="725">
        <v>12843</v>
      </c>
      <c r="G32" s="623">
        <v>12893</v>
      </c>
      <c r="H32" s="623">
        <v>13611</v>
      </c>
      <c r="I32" s="688">
        <v>14094</v>
      </c>
      <c r="J32" s="688">
        <v>14470</v>
      </c>
      <c r="K32" s="688">
        <v>16993</v>
      </c>
      <c r="L32" s="688">
        <v>18651</v>
      </c>
      <c r="M32" s="710">
        <f t="shared" si="7"/>
        <v>15564</v>
      </c>
      <c r="N32" s="721">
        <f>+'Revenue Projections Detail'!M24</f>
        <v>18651</v>
      </c>
      <c r="O32" s="711" t="s">
        <v>352</v>
      </c>
      <c r="P32" s="711"/>
      <c r="Q32" s="958"/>
      <c r="R32" s="711"/>
      <c r="S32" s="619" t="s">
        <v>360</v>
      </c>
    </row>
    <row r="33" spans="1:19" x14ac:dyDescent="0.2">
      <c r="A33" s="619" t="s">
        <v>361</v>
      </c>
      <c r="C33" s="726">
        <f t="shared" ref="C33:H33" si="8">-C32</f>
        <v>-11227</v>
      </c>
      <c r="D33" s="726">
        <f t="shared" si="8"/>
        <v>-11276</v>
      </c>
      <c r="E33" s="726">
        <f t="shared" si="8"/>
        <v>-13751</v>
      </c>
      <c r="F33" s="726">
        <f t="shared" si="8"/>
        <v>-12843</v>
      </c>
      <c r="G33" s="625">
        <f t="shared" si="8"/>
        <v>-12893</v>
      </c>
      <c r="H33" s="625">
        <f t="shared" si="8"/>
        <v>-13611</v>
      </c>
      <c r="I33" s="688">
        <v>-14094</v>
      </c>
      <c r="J33" s="688">
        <f>-J32</f>
        <v>-14470</v>
      </c>
      <c r="K33" s="688">
        <f>-K32</f>
        <v>-16993</v>
      </c>
      <c r="L33" s="688">
        <f>-L32</f>
        <v>-18651</v>
      </c>
      <c r="M33" s="710">
        <f t="shared" si="7"/>
        <v>-15564</v>
      </c>
      <c r="N33" s="722">
        <f>-N32</f>
        <v>-18651</v>
      </c>
      <c r="O33" s="711" t="s">
        <v>352</v>
      </c>
      <c r="P33" s="711"/>
      <c r="Q33" s="958"/>
      <c r="R33" s="711"/>
      <c r="S33" s="619" t="s">
        <v>360</v>
      </c>
    </row>
    <row r="34" spans="1:19" x14ac:dyDescent="0.2">
      <c r="A34" s="619" t="s">
        <v>362</v>
      </c>
      <c r="C34" s="727">
        <f t="shared" ref="C34:G34" si="9">SUM(C28:C33)</f>
        <v>1457732</v>
      </c>
      <c r="D34" s="727">
        <f t="shared" si="9"/>
        <v>1493516</v>
      </c>
      <c r="E34" s="727">
        <f t="shared" si="9"/>
        <v>1601764</v>
      </c>
      <c r="F34" s="727">
        <f t="shared" si="9"/>
        <v>1618467</v>
      </c>
      <c r="G34" s="620">
        <f t="shared" si="9"/>
        <v>1682732</v>
      </c>
      <c r="H34" s="620">
        <f t="shared" ref="H34:N34" si="10">SUM(H28:H33)</f>
        <v>1714412</v>
      </c>
      <c r="I34" s="620">
        <f t="shared" si="10"/>
        <v>1773082</v>
      </c>
      <c r="J34" s="620">
        <f t="shared" si="10"/>
        <v>1883703</v>
      </c>
      <c r="K34" s="620">
        <f t="shared" ref="K34" si="11">SUM(K28:K33)</f>
        <v>1857072</v>
      </c>
      <c r="L34" s="620">
        <f t="shared" si="10"/>
        <v>1916914</v>
      </c>
      <c r="M34" s="709">
        <f t="shared" si="10"/>
        <v>1826829</v>
      </c>
      <c r="N34" s="720">
        <f t="shared" si="10"/>
        <v>2010779</v>
      </c>
    </row>
    <row r="35" spans="1:19" x14ac:dyDescent="0.2">
      <c r="C35" s="725"/>
      <c r="D35" s="725"/>
      <c r="E35" s="725"/>
      <c r="F35" s="725"/>
      <c r="G35" s="623"/>
      <c r="H35" s="623"/>
      <c r="M35" s="711"/>
      <c r="N35" s="723"/>
    </row>
    <row r="36" spans="1:19" x14ac:dyDescent="0.2">
      <c r="A36" s="619" t="s">
        <v>363</v>
      </c>
      <c r="C36" s="725">
        <v>-85115</v>
      </c>
      <c r="D36" s="725">
        <v>-75855</v>
      </c>
      <c r="E36" s="725">
        <v>-74473</v>
      </c>
      <c r="F36" s="725">
        <v>-75976</v>
      </c>
      <c r="G36" s="625">
        <v>-98020</v>
      </c>
      <c r="H36" s="625">
        <v>-100906</v>
      </c>
      <c r="I36" s="623">
        <v>-97873</v>
      </c>
      <c r="J36" s="623">
        <v>-91871</v>
      </c>
      <c r="K36" s="623">
        <v>-94593</v>
      </c>
      <c r="L36" s="623">
        <v>-91919</v>
      </c>
      <c r="M36" s="710">
        <f>ROUND((+SUM(H36:L36)/5),0)</f>
        <v>-95432</v>
      </c>
      <c r="N36" s="718">
        <f>+'Revenue Projections Detail'!M28</f>
        <v>-95793</v>
      </c>
      <c r="O36" s="711" t="s">
        <v>352</v>
      </c>
      <c r="P36" s="711"/>
      <c r="Q36" s="958"/>
      <c r="R36" s="711"/>
    </row>
    <row r="37" spans="1:19" x14ac:dyDescent="0.2">
      <c r="A37" s="619" t="s">
        <v>364</v>
      </c>
      <c r="C37" s="727">
        <f t="shared" ref="C37:G37" si="12">+C34+C36</f>
        <v>1372617</v>
      </c>
      <c r="D37" s="727">
        <f t="shared" si="12"/>
        <v>1417661</v>
      </c>
      <c r="E37" s="727">
        <f t="shared" si="12"/>
        <v>1527291</v>
      </c>
      <c r="F37" s="727">
        <f t="shared" si="12"/>
        <v>1542491</v>
      </c>
      <c r="G37" s="620">
        <f t="shared" si="12"/>
        <v>1584712</v>
      </c>
      <c r="H37" s="620">
        <f t="shared" ref="H37:N37" si="13">+H34+H36</f>
        <v>1613506</v>
      </c>
      <c r="I37" s="620">
        <f t="shared" si="13"/>
        <v>1675209</v>
      </c>
      <c r="J37" s="620">
        <f t="shared" si="13"/>
        <v>1791832</v>
      </c>
      <c r="K37" s="620">
        <f t="shared" ref="K37" si="14">+K34+K36</f>
        <v>1762479</v>
      </c>
      <c r="L37" s="620">
        <f t="shared" si="13"/>
        <v>1824995</v>
      </c>
      <c r="M37" s="709">
        <f t="shared" si="13"/>
        <v>1731397</v>
      </c>
      <c r="N37" s="720">
        <f t="shared" si="13"/>
        <v>1914986</v>
      </c>
      <c r="O37" s="711" t="s">
        <v>352</v>
      </c>
      <c r="P37" s="711"/>
      <c r="Q37" s="958"/>
      <c r="R37" s="711"/>
    </row>
    <row r="38" spans="1:19" x14ac:dyDescent="0.2">
      <c r="C38" s="623"/>
      <c r="D38" s="623"/>
      <c r="E38" s="623"/>
      <c r="F38" s="623"/>
      <c r="G38" s="623"/>
      <c r="H38" s="623"/>
      <c r="I38" s="623"/>
      <c r="J38" s="623"/>
      <c r="K38" s="623"/>
      <c r="L38" s="623"/>
      <c r="M38" s="708"/>
      <c r="N38" s="718"/>
    </row>
    <row r="39" spans="1:19" x14ac:dyDescent="0.2">
      <c r="A39" s="623"/>
      <c r="B39" s="623"/>
      <c r="C39" s="623"/>
      <c r="D39" s="623"/>
      <c r="E39" s="623"/>
      <c r="F39" s="623"/>
      <c r="G39" s="623"/>
      <c r="H39" s="623"/>
      <c r="I39" s="623"/>
      <c r="J39" s="623"/>
      <c r="K39" s="623"/>
      <c r="L39" s="623"/>
      <c r="M39" s="708"/>
      <c r="N39" s="718"/>
    </row>
    <row r="40" spans="1:19" x14ac:dyDescent="0.2">
      <c r="C40" s="683"/>
      <c r="D40" s="683"/>
      <c r="E40" s="683"/>
      <c r="F40" s="683"/>
      <c r="G40" s="623"/>
      <c r="H40" s="683"/>
      <c r="I40" s="683"/>
      <c r="J40" s="683"/>
      <c r="K40" s="683"/>
      <c r="L40" s="683"/>
      <c r="M40" s="704"/>
      <c r="N40" s="714"/>
    </row>
    <row r="41" spans="1:19" x14ac:dyDescent="0.2">
      <c r="A41" s="685" t="s">
        <v>365</v>
      </c>
      <c r="B41" s="685"/>
      <c r="C41" s="683"/>
      <c r="D41" s="683"/>
      <c r="E41" s="683"/>
      <c r="F41" s="683"/>
      <c r="G41" s="683"/>
      <c r="H41" s="683"/>
      <c r="I41" s="683"/>
      <c r="J41" s="683"/>
      <c r="K41" s="683"/>
      <c r="L41" s="683" t="s">
        <v>366</v>
      </c>
      <c r="M41" s="704"/>
      <c r="N41" s="714"/>
    </row>
    <row r="42" spans="1:19" x14ac:dyDescent="0.2">
      <c r="A42" s="619" t="s">
        <v>367</v>
      </c>
      <c r="C42" s="725">
        <v>658373</v>
      </c>
      <c r="D42" s="725">
        <v>702847</v>
      </c>
      <c r="E42" s="725">
        <v>713101</v>
      </c>
      <c r="F42" s="725">
        <v>655337</v>
      </c>
      <c r="G42" s="623">
        <v>731218</v>
      </c>
      <c r="H42" s="623">
        <v>829212</v>
      </c>
      <c r="I42" s="623">
        <v>821525</v>
      </c>
      <c r="J42" s="623">
        <v>753028</v>
      </c>
      <c r="K42" s="623">
        <v>785960</v>
      </c>
      <c r="L42" s="623">
        <v>652000</v>
      </c>
      <c r="M42" s="710">
        <f>ROUND((+SUM(G42:K42)/5),0)</f>
        <v>784189</v>
      </c>
      <c r="N42" s="718">
        <v>750000</v>
      </c>
      <c r="O42" s="711" t="s">
        <v>368</v>
      </c>
    </row>
    <row r="43" spans="1:19" x14ac:dyDescent="0.2">
      <c r="A43" s="619" t="s">
        <v>369</v>
      </c>
      <c r="C43" s="725">
        <v>1511</v>
      </c>
      <c r="D43" s="725">
        <v>1598</v>
      </c>
      <c r="E43" s="725">
        <v>1718</v>
      </c>
      <c r="F43" s="725">
        <v>1000</v>
      </c>
      <c r="G43" s="623">
        <v>1951</v>
      </c>
      <c r="H43" s="623">
        <v>1376</v>
      </c>
      <c r="I43" s="623">
        <v>1816</v>
      </c>
      <c r="J43" s="623">
        <v>1463</v>
      </c>
      <c r="K43" s="623">
        <v>1362</v>
      </c>
      <c r="L43" s="623">
        <v>1000</v>
      </c>
      <c r="M43" s="710">
        <f>ROUND((+SUM(G43:K43)/5),0)</f>
        <v>1594</v>
      </c>
      <c r="N43" s="718">
        <f>+'Revenue Projections Detail'!M33</f>
        <v>0</v>
      </c>
    </row>
    <row r="44" spans="1:19" x14ac:dyDescent="0.2">
      <c r="A44" s="619" t="s">
        <v>370</v>
      </c>
      <c r="C44" s="725"/>
      <c r="D44" s="725"/>
      <c r="E44" s="725"/>
      <c r="F44" s="725"/>
      <c r="G44" s="623"/>
      <c r="H44" s="623"/>
      <c r="I44" s="623">
        <v>53850</v>
      </c>
      <c r="J44" s="623">
        <v>61187</v>
      </c>
      <c r="K44" s="623">
        <v>48185</v>
      </c>
      <c r="L44" s="623">
        <v>40000</v>
      </c>
      <c r="M44" s="710">
        <f>ROUND((+SUM(H44:L44)/4),0)</f>
        <v>50806</v>
      </c>
      <c r="N44" s="718">
        <f>+'Revenue Projections Detail'!M34</f>
        <v>64000</v>
      </c>
      <c r="O44" s="711" t="s">
        <v>371</v>
      </c>
    </row>
    <row r="45" spans="1:19" x14ac:dyDescent="0.2">
      <c r="A45" s="619" t="s">
        <v>372</v>
      </c>
      <c r="C45" s="725">
        <v>126219</v>
      </c>
      <c r="D45" s="725">
        <v>109239</v>
      </c>
      <c r="E45" s="725">
        <v>114129</v>
      </c>
      <c r="F45" s="725">
        <v>96000</v>
      </c>
      <c r="G45" s="623">
        <v>123780</v>
      </c>
      <c r="H45" s="623">
        <v>177628</v>
      </c>
      <c r="I45" s="623">
        <v>154148</v>
      </c>
      <c r="J45" s="623">
        <v>132315</v>
      </c>
      <c r="K45" s="623">
        <v>155020</v>
      </c>
      <c r="L45" s="623">
        <v>110000</v>
      </c>
      <c r="M45" s="710">
        <f>ROUND(((+SUM(G45:L45)-H45)/5),0)</f>
        <v>135053</v>
      </c>
      <c r="N45" s="718">
        <f>+'Revenue Projections Detail'!M35</f>
        <v>143000</v>
      </c>
      <c r="O45" s="711" t="s">
        <v>373</v>
      </c>
    </row>
    <row r="46" spans="1:19" x14ac:dyDescent="0.2">
      <c r="A46" s="619" t="s">
        <v>374</v>
      </c>
      <c r="C46" s="725">
        <v>6840</v>
      </c>
      <c r="D46" s="725">
        <v>6192</v>
      </c>
      <c r="E46" s="725">
        <v>7392</v>
      </c>
      <c r="F46" s="725">
        <v>6500</v>
      </c>
      <c r="G46" s="623">
        <v>6576</v>
      </c>
      <c r="H46" s="623">
        <v>5388</v>
      </c>
      <c r="I46" s="623">
        <v>15040</v>
      </c>
      <c r="J46" s="623">
        <v>14976</v>
      </c>
      <c r="K46" s="623">
        <v>11000</v>
      </c>
      <c r="L46" s="623">
        <v>14000</v>
      </c>
      <c r="M46" s="710">
        <f>ROUND((+SUM(G46:K46)/5),0)</f>
        <v>10596</v>
      </c>
      <c r="N46" s="718">
        <f>+'Revenue Projections Detail'!M36</f>
        <v>14000</v>
      </c>
    </row>
    <row r="47" spans="1:19" x14ac:dyDescent="0.2">
      <c r="A47" s="619" t="s">
        <v>375</v>
      </c>
      <c r="C47" s="725">
        <v>228738</v>
      </c>
      <c r="D47" s="725">
        <v>233722</v>
      </c>
      <c r="E47" s="725">
        <v>234878</v>
      </c>
      <c r="F47" s="725">
        <v>224500</v>
      </c>
      <c r="G47" s="623">
        <v>237475</v>
      </c>
      <c r="H47" s="623">
        <v>249708</v>
      </c>
      <c r="I47" s="623">
        <v>248504</v>
      </c>
      <c r="J47" s="623">
        <v>276907</v>
      </c>
      <c r="K47" s="623">
        <v>314699</v>
      </c>
      <c r="L47" s="623">
        <v>238000</v>
      </c>
      <c r="M47" s="710">
        <f>ROUND((+SUM(H47:L47)/5),0)</f>
        <v>265564</v>
      </c>
      <c r="N47" s="718">
        <f>+'Revenue Projections Detail'!M37</f>
        <v>283000</v>
      </c>
      <c r="O47" s="711" t="s">
        <v>373</v>
      </c>
    </row>
    <row r="48" spans="1:19" x14ac:dyDescent="0.2">
      <c r="A48" s="619" t="s">
        <v>376</v>
      </c>
      <c r="C48" s="725"/>
      <c r="D48" s="725"/>
      <c r="E48" s="725"/>
      <c r="F48" s="725"/>
      <c r="G48" s="623"/>
      <c r="H48" s="623">
        <v>45050</v>
      </c>
      <c r="I48" s="623">
        <v>77961</v>
      </c>
      <c r="J48" s="623">
        <v>79364</v>
      </c>
      <c r="K48" s="623">
        <f>+K103+1000</f>
        <v>81793</v>
      </c>
      <c r="L48" s="623">
        <f t="shared" ref="L48" si="15">+L103</f>
        <v>82247</v>
      </c>
      <c r="M48" s="710">
        <v>83728</v>
      </c>
      <c r="N48" s="718">
        <f>+'Revenue Projections Detail'!M38</f>
        <v>86235</v>
      </c>
      <c r="O48" s="711" t="s">
        <v>377</v>
      </c>
    </row>
    <row r="49" spans="1:15" x14ac:dyDescent="0.2">
      <c r="A49" s="619" t="s">
        <v>378</v>
      </c>
      <c r="C49" s="725">
        <v>66434</v>
      </c>
      <c r="D49" s="725">
        <v>78727</v>
      </c>
      <c r="E49" s="725">
        <v>71981</v>
      </c>
      <c r="F49" s="725">
        <v>53935</v>
      </c>
      <c r="G49" s="623">
        <v>72815</v>
      </c>
      <c r="H49" s="623">
        <v>78459</v>
      </c>
      <c r="I49" s="623">
        <v>85879</v>
      </c>
      <c r="J49" s="623">
        <v>60633</v>
      </c>
      <c r="K49" s="623">
        <v>89548</v>
      </c>
      <c r="L49" s="623">
        <v>54760</v>
      </c>
      <c r="M49" s="710">
        <f>ROUND(((+SUM(G49:L49)-K49)/5),0)</f>
        <v>70509</v>
      </c>
      <c r="N49" s="718">
        <f>+'Revenue Projections Detail'!M39</f>
        <v>61000</v>
      </c>
      <c r="O49" s="711" t="s">
        <v>373</v>
      </c>
    </row>
    <row r="50" spans="1:15" x14ac:dyDescent="0.2">
      <c r="A50" s="619" t="s">
        <v>379</v>
      </c>
      <c r="C50" s="725">
        <v>121240</v>
      </c>
      <c r="D50" s="725">
        <v>109802</v>
      </c>
      <c r="E50" s="725">
        <v>157799</v>
      </c>
      <c r="F50" s="725">
        <v>121450</v>
      </c>
      <c r="G50" s="623">
        <v>193653</v>
      </c>
      <c r="H50" s="623">
        <v>217448</v>
      </c>
      <c r="I50" s="623">
        <v>184765</v>
      </c>
      <c r="J50" s="623">
        <v>149840</v>
      </c>
      <c r="K50" s="623">
        <v>186129</v>
      </c>
      <c r="L50" s="623">
        <v>125000</v>
      </c>
      <c r="M50" s="710">
        <f>ROUND(((+SUM(F50:K50)-H50-G50-K50)/3),0)</f>
        <v>152018</v>
      </c>
      <c r="N50" s="718">
        <f>+'Revenue Projections Detail'!M41</f>
        <v>49000</v>
      </c>
      <c r="O50" s="711" t="s">
        <v>380</v>
      </c>
    </row>
    <row r="51" spans="1:15" x14ac:dyDescent="0.2">
      <c r="A51" s="619" t="s">
        <v>381</v>
      </c>
      <c r="C51" s="725">
        <v>32615</v>
      </c>
      <c r="D51" s="725">
        <v>54938</v>
      </c>
      <c r="E51" s="725">
        <v>33091</v>
      </c>
      <c r="F51" s="725">
        <v>20850</v>
      </c>
      <c r="G51" s="623">
        <v>23770</v>
      </c>
      <c r="H51" s="623">
        <v>19235</v>
      </c>
      <c r="I51" s="623">
        <v>25548</v>
      </c>
      <c r="J51" s="623">
        <v>22789</v>
      </c>
      <c r="K51" s="623">
        <v>21761</v>
      </c>
      <c r="L51" s="623">
        <v>16000</v>
      </c>
      <c r="M51" s="710">
        <f>ROUND((+SUM(G51:K51)/5),0)</f>
        <v>22621</v>
      </c>
      <c r="N51" s="718">
        <f>+'Revenue Projections Detail'!M42</f>
        <v>16000</v>
      </c>
      <c r="O51" s="711" t="s">
        <v>368</v>
      </c>
    </row>
    <row r="52" spans="1:15" x14ac:dyDescent="0.2">
      <c r="A52" s="619" t="s">
        <v>382</v>
      </c>
      <c r="C52" s="725">
        <v>5231</v>
      </c>
      <c r="D52" s="725">
        <v>3493</v>
      </c>
      <c r="E52" s="725">
        <v>4386</v>
      </c>
      <c r="F52" s="725">
        <v>3400</v>
      </c>
      <c r="G52" s="623">
        <v>8580</v>
      </c>
      <c r="H52" s="623">
        <v>13002</v>
      </c>
      <c r="I52" s="623">
        <v>28236</v>
      </c>
      <c r="J52" s="623">
        <v>24901</v>
      </c>
      <c r="K52" s="623">
        <v>2973</v>
      </c>
      <c r="L52" s="623">
        <v>2000</v>
      </c>
      <c r="M52" s="710">
        <f t="shared" ref="M52" si="16">ROUND((+SUM(H52:L52)/5),0)</f>
        <v>14222</v>
      </c>
      <c r="N52" s="718">
        <f>+'Revenue Projections Detail'!M43</f>
        <v>1500</v>
      </c>
      <c r="O52" s="711" t="s">
        <v>383</v>
      </c>
    </row>
    <row r="53" spans="1:15" x14ac:dyDescent="0.2">
      <c r="A53" s="619" t="s">
        <v>384</v>
      </c>
      <c r="C53" s="725">
        <v>43790</v>
      </c>
      <c r="D53" s="725">
        <v>40792</v>
      </c>
      <c r="E53" s="725">
        <v>31886</v>
      </c>
      <c r="F53" s="725"/>
      <c r="G53" s="623"/>
      <c r="H53" s="623"/>
      <c r="I53" s="623"/>
      <c r="J53" s="623"/>
      <c r="K53" s="623"/>
      <c r="L53" s="623"/>
      <c r="M53" s="708"/>
      <c r="N53" s="718"/>
    </row>
    <row r="54" spans="1:15" x14ac:dyDescent="0.2">
      <c r="A54" s="619" t="s">
        <v>385</v>
      </c>
      <c r="C54" s="725"/>
      <c r="D54" s="725"/>
      <c r="E54" s="725"/>
      <c r="F54" s="725"/>
      <c r="G54" s="623"/>
      <c r="H54" s="623"/>
      <c r="I54" s="623"/>
      <c r="J54" s="623"/>
      <c r="K54" s="623"/>
      <c r="L54" s="623"/>
      <c r="M54" s="708"/>
      <c r="N54" s="718"/>
    </row>
    <row r="55" spans="1:15" x14ac:dyDescent="0.2">
      <c r="A55" s="619" t="s">
        <v>386</v>
      </c>
      <c r="C55" s="725">
        <f>100676</f>
        <v>100676</v>
      </c>
      <c r="D55" s="725">
        <v>83047</v>
      </c>
      <c r="E55" s="725">
        <f>128245-E53</f>
        <v>96359</v>
      </c>
      <c r="F55" s="725">
        <f>145900</f>
        <v>145900</v>
      </c>
      <c r="G55" s="623">
        <f>151503</f>
        <v>151503</v>
      </c>
      <c r="H55" s="623">
        <f>143197-H60</f>
        <v>96325</v>
      </c>
      <c r="I55" s="623">
        <f>202200-I60-I61</f>
        <v>88144.62</v>
      </c>
      <c r="J55" s="623">
        <f>228474-J60-J61</f>
        <v>83989</v>
      </c>
      <c r="K55" s="623">
        <f>168051-K60-K61</f>
        <v>85935</v>
      </c>
      <c r="L55" s="623">
        <v>69668</v>
      </c>
      <c r="M55" s="710">
        <f>ROUND((+SUM(H55:L55)/5),0)</f>
        <v>84812</v>
      </c>
      <c r="N55" s="718">
        <f>+'Revenue Projections Detail'!M46</f>
        <v>73030</v>
      </c>
      <c r="O55" s="711" t="s">
        <v>368</v>
      </c>
    </row>
    <row r="56" spans="1:15" x14ac:dyDescent="0.2">
      <c r="A56" s="619" t="s">
        <v>387</v>
      </c>
      <c r="C56" s="726">
        <v>65897</v>
      </c>
      <c r="D56" s="726"/>
      <c r="E56" s="726"/>
      <c r="F56" s="726"/>
      <c r="G56" s="625"/>
      <c r="H56" s="625">
        <v>4683</v>
      </c>
      <c r="I56" s="625">
        <v>-54184</v>
      </c>
      <c r="J56" s="625">
        <v>6169</v>
      </c>
      <c r="K56" s="625">
        <v>22953</v>
      </c>
      <c r="L56" s="625"/>
      <c r="M56" s="712"/>
      <c r="N56" s="719"/>
    </row>
    <row r="57" spans="1:15" x14ac:dyDescent="0.2">
      <c r="A57" s="619" t="s">
        <v>388</v>
      </c>
      <c r="C57" s="727">
        <f t="shared" ref="C57:M57" si="17">SUM(C42:C56)</f>
        <v>1457564</v>
      </c>
      <c r="D57" s="727">
        <f t="shared" si="17"/>
        <v>1424397</v>
      </c>
      <c r="E57" s="727">
        <f t="shared" si="17"/>
        <v>1466720</v>
      </c>
      <c r="F57" s="727">
        <f t="shared" si="17"/>
        <v>1328872</v>
      </c>
      <c r="G57" s="620">
        <f t="shared" si="17"/>
        <v>1551321</v>
      </c>
      <c r="H57" s="620">
        <f t="shared" si="17"/>
        <v>1737514</v>
      </c>
      <c r="I57" s="620">
        <f t="shared" si="17"/>
        <v>1731232.62</v>
      </c>
      <c r="J57" s="620">
        <f t="shared" si="17"/>
        <v>1667561</v>
      </c>
      <c r="K57" s="620">
        <f t="shared" si="17"/>
        <v>1807318</v>
      </c>
      <c r="L57" s="620">
        <f t="shared" si="17"/>
        <v>1404675</v>
      </c>
      <c r="M57" s="709">
        <f t="shared" si="17"/>
        <v>1675712</v>
      </c>
      <c r="N57" s="720">
        <f t="shared" ref="N57" si="18">SUM(N42:N56)</f>
        <v>1540765</v>
      </c>
    </row>
    <row r="58" spans="1:15" x14ac:dyDescent="0.2">
      <c r="C58" s="623"/>
      <c r="D58" s="623"/>
      <c r="E58" s="623"/>
      <c r="F58" s="623"/>
      <c r="G58" s="623"/>
      <c r="H58" s="623"/>
      <c r="I58" s="623"/>
      <c r="J58" s="623"/>
      <c r="K58" s="623"/>
      <c r="L58" s="623"/>
      <c r="M58" s="708"/>
      <c r="N58" s="718"/>
    </row>
    <row r="59" spans="1:15" x14ac:dyDescent="0.2">
      <c r="A59" s="619" t="s">
        <v>389</v>
      </c>
      <c r="C59" s="623"/>
      <c r="D59" s="623"/>
      <c r="E59" s="623"/>
      <c r="F59" s="623"/>
      <c r="G59" s="623"/>
      <c r="H59" s="623"/>
      <c r="I59" s="623"/>
      <c r="J59" s="623"/>
      <c r="K59" s="623"/>
      <c r="L59" s="623"/>
      <c r="M59" s="708"/>
      <c r="N59" s="718"/>
    </row>
    <row r="60" spans="1:15" x14ac:dyDescent="0.2">
      <c r="A60" s="619" t="s">
        <v>390</v>
      </c>
      <c r="C60" s="623"/>
      <c r="D60" s="623"/>
      <c r="E60" s="623"/>
      <c r="F60" s="623"/>
      <c r="G60" s="623"/>
      <c r="H60" s="623">
        <v>46872</v>
      </c>
      <c r="I60" s="623">
        <v>76368</v>
      </c>
      <c r="J60" s="623">
        <v>81673</v>
      </c>
      <c r="K60" s="623">
        <v>56966</v>
      </c>
      <c r="L60" s="623">
        <v>77165</v>
      </c>
      <c r="M60" s="708">
        <f>+'Revenue Projections Detail'!M51</f>
        <v>77500</v>
      </c>
      <c r="N60" s="718">
        <f>+'Revenue Projections Detail'!M51</f>
        <v>77500</v>
      </c>
      <c r="O60" s="711" t="s">
        <v>391</v>
      </c>
    </row>
    <row r="61" spans="1:15" x14ac:dyDescent="0.2">
      <c r="A61" s="619" t="s">
        <v>392</v>
      </c>
      <c r="C61" s="623"/>
      <c r="D61" s="623"/>
      <c r="E61" s="623"/>
      <c r="F61" s="623"/>
      <c r="G61" s="623"/>
      <c r="H61" s="623"/>
      <c r="I61" s="623">
        <v>37687.379999999997</v>
      </c>
      <c r="J61" s="623">
        <v>62812</v>
      </c>
      <c r="K61" s="623">
        <v>25150</v>
      </c>
      <c r="L61" s="623">
        <v>50250</v>
      </c>
      <c r="M61" s="708">
        <f>ROUND((+'211 Police'!P89),0)</f>
        <v>0</v>
      </c>
      <c r="N61" s="718">
        <v>50250</v>
      </c>
      <c r="O61" s="711" t="s">
        <v>391</v>
      </c>
    </row>
    <row r="62" spans="1:15" x14ac:dyDescent="0.2">
      <c r="A62" s="619" t="s">
        <v>393</v>
      </c>
      <c r="C62" s="623"/>
      <c r="D62" s="623"/>
      <c r="E62" s="623"/>
      <c r="F62" s="623"/>
      <c r="G62" s="623"/>
      <c r="H62" s="623"/>
      <c r="I62" s="623">
        <v>77961</v>
      </c>
      <c r="J62" s="623">
        <v>79364</v>
      </c>
      <c r="K62" s="623">
        <f t="shared" ref="K62:L62" si="19">+K103</f>
        <v>80793</v>
      </c>
      <c r="L62" s="623">
        <f t="shared" si="19"/>
        <v>82247</v>
      </c>
      <c r="M62" s="708">
        <f>+M103</f>
        <v>83728</v>
      </c>
      <c r="N62" s="718">
        <f>+N48</f>
        <v>86235</v>
      </c>
    </row>
    <row r="63" spans="1:15" ht="13.5" thickBot="1" x14ac:dyDescent="0.25">
      <c r="A63" s="619" t="s">
        <v>394</v>
      </c>
      <c r="C63" s="623"/>
      <c r="D63" s="623"/>
      <c r="E63" s="623"/>
      <c r="F63" s="623"/>
      <c r="G63" s="623"/>
      <c r="H63" s="629">
        <f t="shared" ref="H63:N63" si="20">SUM(H57:H62)</f>
        <v>1784386</v>
      </c>
      <c r="I63" s="629">
        <f t="shared" si="20"/>
        <v>1923249</v>
      </c>
      <c r="J63" s="629">
        <f t="shared" si="20"/>
        <v>1891410</v>
      </c>
      <c r="K63" s="629">
        <f t="shared" si="20"/>
        <v>1970227</v>
      </c>
      <c r="L63" s="629">
        <f t="shared" si="20"/>
        <v>1614337</v>
      </c>
      <c r="M63" s="713">
        <f t="shared" si="20"/>
        <v>1836940</v>
      </c>
      <c r="N63" s="724">
        <f t="shared" si="20"/>
        <v>1754750</v>
      </c>
    </row>
    <row r="64" spans="1:15" ht="13.5" thickTop="1" x14ac:dyDescent="0.2">
      <c r="C64" s="623"/>
      <c r="D64" s="623"/>
      <c r="E64" s="623"/>
      <c r="F64" s="623"/>
      <c r="G64" s="623"/>
      <c r="H64" s="623"/>
      <c r="I64" s="623"/>
      <c r="J64" s="623"/>
      <c r="K64" s="623"/>
      <c r="L64" s="623"/>
      <c r="M64" s="708"/>
      <c r="N64" s="718"/>
    </row>
    <row r="65" spans="1:15" x14ac:dyDescent="0.2">
      <c r="A65" s="685" t="s">
        <v>395</v>
      </c>
      <c r="B65" s="685"/>
      <c r="C65" s="623"/>
      <c r="D65" s="623"/>
      <c r="E65" s="623"/>
      <c r="F65" s="623"/>
      <c r="G65" s="623"/>
      <c r="H65" s="623"/>
      <c r="I65" s="623"/>
      <c r="J65" s="623"/>
      <c r="K65" s="623"/>
      <c r="L65" s="623"/>
      <c r="M65" s="708"/>
      <c r="N65" s="718"/>
    </row>
    <row r="66" spans="1:15" x14ac:dyDescent="0.2">
      <c r="A66" s="619" t="s">
        <v>396</v>
      </c>
      <c r="C66" s="623">
        <v>19000</v>
      </c>
      <c r="D66" s="623"/>
      <c r="E66" s="623"/>
      <c r="F66" s="623"/>
      <c r="G66" s="623"/>
      <c r="H66" s="623"/>
      <c r="I66" s="623"/>
      <c r="J66" s="623"/>
      <c r="K66" s="623"/>
      <c r="L66" s="623"/>
      <c r="M66" s="708"/>
      <c r="N66" s="718"/>
    </row>
    <row r="67" spans="1:15" x14ac:dyDescent="0.2">
      <c r="A67" s="619" t="s">
        <v>397</v>
      </c>
      <c r="C67" s="623"/>
      <c r="D67" s="623"/>
      <c r="E67" s="623"/>
      <c r="F67" s="623"/>
      <c r="G67" s="623"/>
      <c r="H67" s="623">
        <v>22850</v>
      </c>
      <c r="I67" s="623"/>
      <c r="J67" s="623"/>
      <c r="K67" s="623"/>
      <c r="L67" s="623"/>
      <c r="M67" s="708"/>
      <c r="N67" s="718"/>
    </row>
    <row r="68" spans="1:15" x14ac:dyDescent="0.2">
      <c r="A68" s="619" t="s">
        <v>398</v>
      </c>
      <c r="C68" s="623"/>
      <c r="D68" s="623"/>
      <c r="E68" s="623"/>
      <c r="F68" s="623"/>
      <c r="G68" s="623"/>
      <c r="H68" s="623"/>
      <c r="I68" s="623"/>
      <c r="J68" s="623"/>
      <c r="K68" s="623"/>
      <c r="L68" s="623">
        <v>250000</v>
      </c>
      <c r="M68" s="708">
        <v>220000</v>
      </c>
      <c r="N68" s="718">
        <v>220000</v>
      </c>
      <c r="O68" s="619" t="s">
        <v>399</v>
      </c>
    </row>
    <row r="69" spans="1:15" x14ac:dyDescent="0.2">
      <c r="A69" s="619" t="s">
        <v>400</v>
      </c>
      <c r="C69" s="623"/>
      <c r="D69" s="623"/>
      <c r="E69" s="623"/>
      <c r="F69" s="623"/>
      <c r="G69" s="623"/>
      <c r="H69" s="623"/>
      <c r="I69" s="623"/>
      <c r="J69" s="623"/>
      <c r="K69" s="623"/>
      <c r="L69" s="623">
        <v>56511</v>
      </c>
      <c r="M69" s="708"/>
      <c r="N69" s="718"/>
    </row>
    <row r="70" spans="1:15" x14ac:dyDescent="0.2">
      <c r="A70" s="619" t="s">
        <v>401</v>
      </c>
      <c r="C70" s="623">
        <v>24000</v>
      </c>
      <c r="D70" s="623"/>
      <c r="E70" s="623"/>
      <c r="F70" s="623"/>
      <c r="G70" s="623"/>
      <c r="H70" s="623"/>
      <c r="I70" s="623">
        <v>53465</v>
      </c>
      <c r="J70" s="623"/>
      <c r="K70" s="623"/>
      <c r="L70" s="623">
        <v>27262</v>
      </c>
      <c r="M70" s="708"/>
      <c r="N70" s="718"/>
    </row>
    <row r="71" spans="1:15" x14ac:dyDescent="0.2">
      <c r="A71" s="619" t="s">
        <v>402</v>
      </c>
      <c r="C71" s="623"/>
      <c r="D71" s="623"/>
      <c r="E71" s="623"/>
      <c r="F71" s="623"/>
      <c r="G71" s="623">
        <v>132000</v>
      </c>
      <c r="H71" s="623"/>
      <c r="I71" s="623"/>
      <c r="J71" s="623"/>
      <c r="K71" s="623">
        <v>47</v>
      </c>
      <c r="L71" s="623">
        <v>60</v>
      </c>
      <c r="M71" s="708">
        <v>13</v>
      </c>
      <c r="N71" s="718">
        <v>50</v>
      </c>
      <c r="O71" s="619" t="s">
        <v>399</v>
      </c>
    </row>
    <row r="72" spans="1:15" x14ac:dyDescent="0.2">
      <c r="A72" s="619" t="s">
        <v>403</v>
      </c>
      <c r="C72" s="623"/>
      <c r="D72" s="623"/>
      <c r="E72" s="623"/>
      <c r="F72" s="623"/>
      <c r="G72" s="623">
        <v>44700</v>
      </c>
      <c r="H72" s="623"/>
      <c r="I72" s="623"/>
      <c r="J72" s="623"/>
      <c r="K72" s="623"/>
      <c r="L72" s="623"/>
      <c r="M72" s="708"/>
      <c r="N72" s="718"/>
    </row>
    <row r="73" spans="1:15" x14ac:dyDescent="0.2">
      <c r="A73" s="619" t="s">
        <v>404</v>
      </c>
      <c r="C73" s="623">
        <v>12000</v>
      </c>
      <c r="D73" s="623">
        <v>274055</v>
      </c>
      <c r="E73" s="623">
        <v>113000</v>
      </c>
      <c r="F73" s="623">
        <v>136000</v>
      </c>
      <c r="G73" s="623">
        <f>+'Working Budget with funding det'!V259</f>
        <v>100000</v>
      </c>
      <c r="H73" s="623"/>
      <c r="I73" s="623"/>
      <c r="J73" s="623"/>
      <c r="K73" s="623"/>
      <c r="L73" s="623"/>
      <c r="M73" s="708"/>
      <c r="N73" s="718"/>
    </row>
    <row r="74" spans="1:15" x14ac:dyDescent="0.2">
      <c r="A74" s="619" t="s">
        <v>405</v>
      </c>
      <c r="C74" s="623">
        <v>154182</v>
      </c>
      <c r="D74" s="623">
        <v>0</v>
      </c>
      <c r="E74" s="623"/>
      <c r="F74" s="623"/>
      <c r="G74" s="623"/>
      <c r="H74" s="623"/>
      <c r="I74" s="623"/>
      <c r="J74" s="623"/>
      <c r="K74" s="623"/>
      <c r="L74" s="623"/>
      <c r="M74" s="708"/>
      <c r="N74" s="718"/>
    </row>
    <row r="75" spans="1:15" x14ac:dyDescent="0.2">
      <c r="A75" s="619" t="s">
        <v>406</v>
      </c>
      <c r="C75" s="623"/>
      <c r="D75" s="623"/>
      <c r="E75" s="623"/>
      <c r="F75" s="623"/>
      <c r="G75" s="623"/>
      <c r="H75" s="623"/>
      <c r="I75" s="623"/>
      <c r="J75" s="623"/>
      <c r="K75" s="623"/>
      <c r="L75" s="623">
        <v>120050</v>
      </c>
      <c r="M75" s="708"/>
      <c r="N75" s="718"/>
    </row>
    <row r="76" spans="1:15" x14ac:dyDescent="0.2">
      <c r="A76" s="619" t="s">
        <v>407</v>
      </c>
      <c r="C76" s="623"/>
      <c r="D76" s="623"/>
      <c r="E76" s="623">
        <v>15000</v>
      </c>
      <c r="F76" s="623">
        <v>0</v>
      </c>
      <c r="G76" s="623"/>
      <c r="H76" s="623"/>
      <c r="I76" s="623"/>
      <c r="J76" s="623"/>
      <c r="K76" s="623"/>
      <c r="L76" s="623"/>
      <c r="M76" s="708"/>
      <c r="N76" s="718"/>
    </row>
    <row r="77" spans="1:15" x14ac:dyDescent="0.2">
      <c r="A77" s="619" t="s">
        <v>408</v>
      </c>
      <c r="C77" s="623">
        <v>89400</v>
      </c>
      <c r="D77" s="623">
        <f>+'Colle 228 183'!D30</f>
        <v>94215.84</v>
      </c>
      <c r="E77" s="623">
        <f>+'Colle 228 183'!I30</f>
        <v>84573.5</v>
      </c>
      <c r="F77" s="623">
        <v>80350</v>
      </c>
      <c r="G77" s="623">
        <v>102150</v>
      </c>
      <c r="H77" s="623">
        <v>97525</v>
      </c>
      <c r="I77" s="623">
        <f>+'Colle 228 183'!I30+150000</f>
        <v>234573.5</v>
      </c>
      <c r="J77" s="623">
        <v>95400</v>
      </c>
      <c r="K77" s="623">
        <v>79750</v>
      </c>
      <c r="L77" s="623">
        <v>78950</v>
      </c>
      <c r="M77" s="708">
        <f>+'Colle 228 183'!S30</f>
        <v>53250</v>
      </c>
      <c r="N77" s="718">
        <f>+M77</f>
        <v>53250</v>
      </c>
      <c r="O77" s="619" t="s">
        <v>399</v>
      </c>
    </row>
    <row r="78" spans="1:15" x14ac:dyDescent="0.2">
      <c r="A78" s="619" t="s">
        <v>409</v>
      </c>
      <c r="C78" s="620">
        <f t="shared" ref="C78:I78" si="21">SUM(C66:C77)</f>
        <v>298582</v>
      </c>
      <c r="D78" s="620">
        <f t="shared" si="21"/>
        <v>368270.83999999997</v>
      </c>
      <c r="E78" s="620">
        <f t="shared" si="21"/>
        <v>212573.5</v>
      </c>
      <c r="F78" s="620">
        <f t="shared" si="21"/>
        <v>216350</v>
      </c>
      <c r="G78" s="620">
        <f t="shared" si="21"/>
        <v>378850</v>
      </c>
      <c r="H78" s="620">
        <f t="shared" si="21"/>
        <v>120375</v>
      </c>
      <c r="I78" s="620">
        <f t="shared" si="21"/>
        <v>288038.5</v>
      </c>
      <c r="J78" s="620">
        <f>SUM(J66:J77)</f>
        <v>95400</v>
      </c>
      <c r="K78" s="620">
        <f>SUM(K66:K77)</f>
        <v>79797</v>
      </c>
      <c r="L78" s="620">
        <f>SUM(L66:L77)</f>
        <v>532833</v>
      </c>
      <c r="M78" s="709">
        <f>SUM(M66:M77)</f>
        <v>273263</v>
      </c>
      <c r="N78" s="720">
        <f>SUM(N66:N77)</f>
        <v>273300</v>
      </c>
    </row>
    <row r="79" spans="1:15" x14ac:dyDescent="0.2">
      <c r="C79" s="630"/>
      <c r="D79" s="630"/>
      <c r="E79" s="623"/>
      <c r="F79" s="623"/>
      <c r="G79" s="623"/>
      <c r="H79" s="623"/>
      <c r="I79" s="623"/>
      <c r="J79" s="623"/>
      <c r="K79" s="623"/>
      <c r="L79" s="623"/>
      <c r="M79" s="708"/>
      <c r="N79" s="718"/>
    </row>
    <row r="80" spans="1:15" x14ac:dyDescent="0.2">
      <c r="A80" s="685" t="s">
        <v>410</v>
      </c>
      <c r="B80" s="685"/>
      <c r="C80" s="630"/>
      <c r="D80" s="630"/>
      <c r="E80" s="623"/>
      <c r="F80" s="623"/>
      <c r="G80" s="623"/>
      <c r="H80" s="623"/>
      <c r="I80" s="623"/>
      <c r="J80" s="623"/>
      <c r="K80" s="623"/>
      <c r="L80" s="623"/>
      <c r="M80" s="708"/>
      <c r="N80" s="718"/>
    </row>
    <row r="81" spans="1:14" x14ac:dyDescent="0.2">
      <c r="A81" s="619" t="s">
        <v>411</v>
      </c>
      <c r="C81" s="623"/>
      <c r="D81" s="623"/>
      <c r="E81" s="623"/>
      <c r="F81" s="623"/>
      <c r="G81" s="623"/>
      <c r="H81" s="623">
        <v>201000</v>
      </c>
      <c r="I81" s="623">
        <v>194000</v>
      </c>
      <c r="J81" s="623">
        <v>370044</v>
      </c>
      <c r="K81" s="623">
        <v>571743</v>
      </c>
      <c r="L81" s="623">
        <v>283200</v>
      </c>
      <c r="M81" s="708">
        <v>272500</v>
      </c>
      <c r="N81" s="718">
        <v>300000</v>
      </c>
    </row>
    <row r="82" spans="1:14" x14ac:dyDescent="0.2">
      <c r="A82" s="619" t="s">
        <v>412</v>
      </c>
      <c r="C82" s="625">
        <v>250000</v>
      </c>
      <c r="D82" s="625">
        <v>250000</v>
      </c>
      <c r="E82" s="625">
        <v>250000</v>
      </c>
      <c r="F82" s="625">
        <v>250000</v>
      </c>
      <c r="G82" s="625">
        <v>250000</v>
      </c>
      <c r="H82" s="625">
        <v>200000</v>
      </c>
      <c r="I82" s="625">
        <v>150000</v>
      </c>
      <c r="J82" s="625">
        <v>100000</v>
      </c>
      <c r="K82" s="625"/>
      <c r="L82" s="625"/>
      <c r="M82" s="712"/>
      <c r="N82" s="719"/>
    </row>
    <row r="83" spans="1:14" x14ac:dyDescent="0.2">
      <c r="A83" s="619" t="s">
        <v>413</v>
      </c>
      <c r="C83" s="620">
        <f t="shared" ref="C83:M83" si="22">SUM(C81:C82)</f>
        <v>250000</v>
      </c>
      <c r="D83" s="620">
        <f t="shared" si="22"/>
        <v>250000</v>
      </c>
      <c r="E83" s="620">
        <f t="shared" si="22"/>
        <v>250000</v>
      </c>
      <c r="F83" s="620">
        <f t="shared" si="22"/>
        <v>250000</v>
      </c>
      <c r="G83" s="620">
        <f t="shared" si="22"/>
        <v>250000</v>
      </c>
      <c r="H83" s="620">
        <f t="shared" si="22"/>
        <v>401000</v>
      </c>
      <c r="I83" s="620">
        <f t="shared" si="22"/>
        <v>344000</v>
      </c>
      <c r="J83" s="620">
        <f t="shared" si="22"/>
        <v>470044</v>
      </c>
      <c r="K83" s="620">
        <f t="shared" si="22"/>
        <v>571743</v>
      </c>
      <c r="L83" s="620">
        <f t="shared" si="22"/>
        <v>283200</v>
      </c>
      <c r="M83" s="709">
        <f t="shared" si="22"/>
        <v>272500</v>
      </c>
      <c r="N83" s="720">
        <f t="shared" ref="N83" si="23">SUM(N81:N82)</f>
        <v>300000</v>
      </c>
    </row>
    <row r="84" spans="1:14" x14ac:dyDescent="0.2">
      <c r="C84" s="623">
        <f>+A84</f>
        <v>0</v>
      </c>
      <c r="D84" s="623">
        <f>+C84</f>
        <v>0</v>
      </c>
      <c r="E84" s="623">
        <f>+D84</f>
        <v>0</v>
      </c>
      <c r="F84" s="623">
        <f>+E84</f>
        <v>0</v>
      </c>
      <c r="G84" s="623">
        <f>+E84</f>
        <v>0</v>
      </c>
      <c r="H84" s="623">
        <f>+F84</f>
        <v>0</v>
      </c>
      <c r="I84" s="623">
        <f>+F84</f>
        <v>0</v>
      </c>
      <c r="J84" s="623"/>
      <c r="K84" s="623"/>
      <c r="L84" s="623">
        <f>+G84</f>
        <v>0</v>
      </c>
      <c r="M84" s="708">
        <f>+H84</f>
        <v>0</v>
      </c>
      <c r="N84" s="718">
        <f>+I84</f>
        <v>0</v>
      </c>
    </row>
    <row r="85" spans="1:14" ht="13.5" thickBot="1" x14ac:dyDescent="0.25">
      <c r="A85" s="619" t="s">
        <v>414</v>
      </c>
      <c r="C85" s="629">
        <f t="shared" ref="C85:M85" si="24">+C83+C78+C57+C37+C25</f>
        <v>16880330</v>
      </c>
      <c r="D85" s="629">
        <f t="shared" si="24"/>
        <v>17467389.84</v>
      </c>
      <c r="E85" s="629">
        <f t="shared" si="24"/>
        <v>17881047.5</v>
      </c>
      <c r="F85" s="629">
        <f t="shared" si="24"/>
        <v>18250855</v>
      </c>
      <c r="G85" s="629">
        <f t="shared" si="24"/>
        <v>19263541</v>
      </c>
      <c r="H85" s="629">
        <f t="shared" si="24"/>
        <v>20399308.969999999</v>
      </c>
      <c r="I85" s="629">
        <f t="shared" si="24"/>
        <v>21550511.120000001</v>
      </c>
      <c r="J85" s="629">
        <f t="shared" si="24"/>
        <v>22694319</v>
      </c>
      <c r="K85" s="629">
        <f t="shared" si="24"/>
        <v>23776958.949999999</v>
      </c>
      <c r="L85" s="629">
        <f>+L83+L78+L63+L37+L25</f>
        <v>24393802</v>
      </c>
      <c r="M85" s="713">
        <f t="shared" si="24"/>
        <v>24940959</v>
      </c>
      <c r="N85" s="724">
        <f t="shared" ref="N85" si="25">+N83+N78+N57+N37+N25</f>
        <v>24903372</v>
      </c>
    </row>
    <row r="86" spans="1:14" ht="13.5" thickTop="1" x14ac:dyDescent="0.2">
      <c r="C86" s="623"/>
      <c r="D86" s="623"/>
      <c r="E86" s="623"/>
      <c r="F86" s="623"/>
      <c r="G86" s="623"/>
      <c r="H86" s="623"/>
      <c r="I86" s="623"/>
      <c r="J86" s="623"/>
      <c r="K86" s="623"/>
      <c r="L86" s="623"/>
      <c r="M86" s="623">
        <f>+M85-N85</f>
        <v>37587</v>
      </c>
      <c r="N86" s="623"/>
    </row>
    <row r="87" spans="1:14" x14ac:dyDescent="0.2">
      <c r="A87" s="685" t="s">
        <v>415</v>
      </c>
      <c r="B87" s="685"/>
      <c r="C87" s="623"/>
      <c r="D87" s="623"/>
      <c r="E87" s="623"/>
      <c r="F87" s="623"/>
      <c r="G87" s="623"/>
      <c r="H87" s="623"/>
      <c r="I87" s="623"/>
      <c r="J87" s="623"/>
      <c r="K87" s="623"/>
      <c r="L87" s="623"/>
      <c r="M87" s="623"/>
      <c r="N87" s="623"/>
    </row>
    <row r="88" spans="1:14" x14ac:dyDescent="0.2">
      <c r="A88" s="619" t="s">
        <v>416</v>
      </c>
      <c r="C88" s="623">
        <v>160000</v>
      </c>
      <c r="D88" s="623"/>
      <c r="E88" s="623">
        <v>400000</v>
      </c>
      <c r="F88" s="623">
        <v>1661764</v>
      </c>
      <c r="G88" s="623"/>
      <c r="H88" s="623"/>
      <c r="I88" s="623"/>
      <c r="J88" s="623"/>
      <c r="K88" s="623"/>
      <c r="L88" s="623"/>
      <c r="M88" s="623"/>
      <c r="N88" s="623"/>
    </row>
    <row r="89" spans="1:14" x14ac:dyDescent="0.2">
      <c r="A89" s="619" t="s">
        <v>137</v>
      </c>
      <c r="C89" s="625"/>
      <c r="D89" s="625"/>
      <c r="E89" s="625"/>
      <c r="F89" s="625">
        <v>385000</v>
      </c>
      <c r="G89" s="625"/>
      <c r="H89" s="625">
        <v>385000</v>
      </c>
      <c r="I89" s="625">
        <v>521000</v>
      </c>
      <c r="J89" s="625"/>
      <c r="K89" s="625"/>
      <c r="L89" s="625"/>
      <c r="M89" s="625"/>
      <c r="N89" s="625"/>
    </row>
    <row r="90" spans="1:14" x14ac:dyDescent="0.2">
      <c r="A90" s="619" t="s">
        <v>417</v>
      </c>
      <c r="C90" s="623">
        <f t="shared" ref="C90:J90" si="26">SUM(C88:C89)</f>
        <v>160000</v>
      </c>
      <c r="D90" s="623">
        <f t="shared" si="26"/>
        <v>0</v>
      </c>
      <c r="E90" s="623">
        <f t="shared" si="26"/>
        <v>400000</v>
      </c>
      <c r="F90" s="623">
        <f t="shared" si="26"/>
        <v>2046764</v>
      </c>
      <c r="G90" s="623">
        <f t="shared" si="26"/>
        <v>0</v>
      </c>
      <c r="H90" s="623">
        <f>SUM(H88:H89)</f>
        <v>385000</v>
      </c>
      <c r="I90" s="623">
        <f t="shared" si="26"/>
        <v>521000</v>
      </c>
      <c r="J90" s="623">
        <f t="shared" si="26"/>
        <v>0</v>
      </c>
      <c r="K90" s="623"/>
      <c r="L90" s="623">
        <f>SUM(L88:L89)</f>
        <v>0</v>
      </c>
      <c r="M90" s="623">
        <f>SUM(M88:M89)</f>
        <v>0</v>
      </c>
      <c r="N90" s="623">
        <f>SUM(N88:N89)</f>
        <v>0</v>
      </c>
    </row>
    <row r="91" spans="1:14" x14ac:dyDescent="0.2">
      <c r="A91" s="689"/>
      <c r="B91" s="689"/>
      <c r="C91" s="623"/>
      <c r="D91" s="623"/>
      <c r="E91" s="623"/>
      <c r="F91" s="623"/>
      <c r="G91" s="623"/>
      <c r="H91" s="623"/>
      <c r="I91" s="623"/>
      <c r="J91" s="623"/>
      <c r="K91" s="623"/>
      <c r="L91" s="623"/>
      <c r="M91" s="623"/>
      <c r="N91" s="623"/>
    </row>
    <row r="92" spans="1:14" x14ac:dyDescent="0.2">
      <c r="A92" s="619" t="s">
        <v>418</v>
      </c>
      <c r="C92" s="623">
        <v>1693865</v>
      </c>
      <c r="D92" s="623">
        <v>1866887</v>
      </c>
      <c r="E92" s="623">
        <v>1687525</v>
      </c>
      <c r="F92" s="623">
        <v>1913646</v>
      </c>
      <c r="G92" s="623">
        <v>2250472</v>
      </c>
      <c r="H92" s="623">
        <v>2627714</v>
      </c>
      <c r="I92" s="623">
        <v>2241379</v>
      </c>
      <c r="J92" s="623">
        <v>2230727</v>
      </c>
      <c r="K92" s="623"/>
      <c r="L92" s="623">
        <v>2404070</v>
      </c>
      <c r="M92" s="623">
        <f>+'Working Budget with funding det'!Y259</f>
        <v>3121724</v>
      </c>
      <c r="N92" s="623">
        <f>+'Working Budget with funding det'!Z259</f>
        <v>426965</v>
      </c>
    </row>
    <row r="93" spans="1:14" x14ac:dyDescent="0.2">
      <c r="A93" s="619" t="s">
        <v>419</v>
      </c>
      <c r="C93" s="623">
        <v>31461</v>
      </c>
      <c r="D93" s="623">
        <v>33809</v>
      </c>
      <c r="E93" s="623">
        <v>27165</v>
      </c>
      <c r="F93" s="623">
        <v>30847</v>
      </c>
      <c r="G93" s="623">
        <v>31987</v>
      </c>
      <c r="H93" s="623">
        <v>33258</v>
      </c>
      <c r="I93" s="623">
        <v>36096</v>
      </c>
      <c r="J93" s="623">
        <v>46984</v>
      </c>
      <c r="K93" s="623"/>
      <c r="L93" s="623">
        <v>59089</v>
      </c>
      <c r="M93" s="623">
        <f>+'Working Budget with funding det'!Z259</f>
        <v>426965</v>
      </c>
      <c r="N93" s="623">
        <f>+'Working Budget with funding det'!AA259</f>
        <v>0</v>
      </c>
    </row>
    <row r="94" spans="1:14" x14ac:dyDescent="0.2">
      <c r="A94" s="690"/>
      <c r="B94" s="690"/>
      <c r="C94" s="623"/>
      <c r="D94" s="623"/>
      <c r="E94" s="623"/>
      <c r="F94" s="623"/>
      <c r="G94" s="623"/>
      <c r="H94" s="623"/>
      <c r="I94" s="623"/>
      <c r="J94" s="623"/>
      <c r="K94" s="623"/>
      <c r="L94" s="623"/>
      <c r="M94" s="623"/>
      <c r="N94" s="623"/>
    </row>
    <row r="95" spans="1:14" ht="13.5" thickBot="1" x14ac:dyDescent="0.25">
      <c r="A95" s="619" t="s">
        <v>420</v>
      </c>
      <c r="C95" s="629">
        <f t="shared" ref="C95:J95" si="27">+C93+C92+C90+C85</f>
        <v>18765656</v>
      </c>
      <c r="D95" s="629">
        <f t="shared" si="27"/>
        <v>19368085.84</v>
      </c>
      <c r="E95" s="629">
        <f t="shared" si="27"/>
        <v>19995737.5</v>
      </c>
      <c r="F95" s="629">
        <f t="shared" si="27"/>
        <v>22242112</v>
      </c>
      <c r="G95" s="629">
        <f t="shared" si="27"/>
        <v>21546000</v>
      </c>
      <c r="H95" s="629">
        <f>+H93+H92+H90+H85</f>
        <v>23445280.969999999</v>
      </c>
      <c r="I95" s="629">
        <f t="shared" si="27"/>
        <v>24348986.120000001</v>
      </c>
      <c r="J95" s="629">
        <f t="shared" si="27"/>
        <v>24972030</v>
      </c>
      <c r="K95" s="629"/>
      <c r="L95" s="629">
        <f>+L93+L92+L90+L85</f>
        <v>26856961</v>
      </c>
      <c r="M95" s="629">
        <f>+M93+M92+M90+M85</f>
        <v>28489648</v>
      </c>
      <c r="N95" s="629">
        <f>+N93+N92+N90+N85</f>
        <v>25330337</v>
      </c>
    </row>
    <row r="96" spans="1:14" ht="13.5" thickTop="1" x14ac:dyDescent="0.2">
      <c r="C96" s="623"/>
      <c r="D96" s="623"/>
      <c r="E96" s="623"/>
      <c r="F96" s="623"/>
      <c r="G96" s="623"/>
      <c r="H96" s="623"/>
      <c r="I96" s="623"/>
      <c r="J96" s="623"/>
      <c r="K96" s="623"/>
      <c r="L96" s="623"/>
      <c r="M96" s="623"/>
      <c r="N96" s="623"/>
    </row>
    <row r="97" spans="1:14" x14ac:dyDescent="0.2">
      <c r="C97" s="623"/>
      <c r="D97" s="623"/>
      <c r="E97" s="623"/>
      <c r="F97" s="623"/>
      <c r="G97" s="623"/>
      <c r="H97" s="623"/>
      <c r="I97" s="623"/>
      <c r="J97" s="623"/>
      <c r="K97" s="623"/>
      <c r="L97" s="623"/>
      <c r="M97" s="623"/>
      <c r="N97" s="623"/>
    </row>
    <row r="98" spans="1:14" x14ac:dyDescent="0.2">
      <c r="C98" s="623"/>
      <c r="D98" s="623"/>
      <c r="E98" s="623"/>
      <c r="F98" s="623"/>
      <c r="G98" s="623"/>
      <c r="H98" s="623"/>
      <c r="I98" s="623"/>
      <c r="J98" s="623"/>
      <c r="K98" s="623"/>
      <c r="L98" s="623"/>
      <c r="M98" s="623"/>
      <c r="N98" s="623"/>
    </row>
    <row r="99" spans="1:14" x14ac:dyDescent="0.2">
      <c r="C99" s="623"/>
      <c r="D99" s="623"/>
      <c r="E99" s="623"/>
      <c r="F99" s="623"/>
      <c r="G99" s="623"/>
      <c r="H99" s="623"/>
      <c r="I99" s="623"/>
      <c r="J99" s="623"/>
      <c r="K99" s="623"/>
      <c r="L99" s="623"/>
      <c r="M99" s="623"/>
      <c r="N99" s="623"/>
    </row>
    <row r="100" spans="1:14" x14ac:dyDescent="0.2">
      <c r="A100" s="691" t="s">
        <v>421</v>
      </c>
      <c r="B100" s="701"/>
      <c r="C100" s="620"/>
      <c r="D100" s="620"/>
      <c r="E100" s="620"/>
      <c r="F100" s="620"/>
      <c r="G100" s="620"/>
      <c r="H100" s="620"/>
      <c r="I100" s="620"/>
      <c r="J100" s="620"/>
      <c r="K100" s="620"/>
      <c r="L100" s="692"/>
      <c r="M100" s="692"/>
      <c r="N100" s="692"/>
    </row>
    <row r="101" spans="1:14" x14ac:dyDescent="0.2">
      <c r="A101" s="693" t="s">
        <v>193</v>
      </c>
      <c r="C101" s="623"/>
      <c r="D101" s="623"/>
      <c r="E101" s="623"/>
      <c r="F101" s="623"/>
      <c r="G101" s="623"/>
      <c r="H101" s="623"/>
      <c r="I101" s="623"/>
      <c r="J101" s="694">
        <v>158792</v>
      </c>
      <c r="K101" s="694">
        <v>161586</v>
      </c>
      <c r="L101" s="694">
        <v>164494</v>
      </c>
      <c r="M101" s="694">
        <v>167455</v>
      </c>
      <c r="N101" s="694">
        <v>167455</v>
      </c>
    </row>
    <row r="102" spans="1:14" x14ac:dyDescent="0.2">
      <c r="A102" s="693"/>
      <c r="C102" s="623"/>
      <c r="D102" s="623"/>
      <c r="E102" s="623"/>
      <c r="F102" s="623"/>
      <c r="G102" s="623"/>
      <c r="H102" s="623"/>
      <c r="I102" s="623"/>
      <c r="J102" s="694"/>
      <c r="K102" s="694"/>
      <c r="L102" s="694"/>
      <c r="M102" s="694"/>
      <c r="N102" s="694"/>
    </row>
    <row r="103" spans="1:14" x14ac:dyDescent="0.2">
      <c r="A103" s="693" t="s">
        <v>422</v>
      </c>
      <c r="C103" s="623"/>
      <c r="D103" s="623"/>
      <c r="E103" s="623"/>
      <c r="F103" s="623"/>
      <c r="G103" s="623"/>
      <c r="H103" s="623"/>
      <c r="I103" s="623"/>
      <c r="J103" s="695">
        <f>ROUND((+J101/2),0)</f>
        <v>79396</v>
      </c>
      <c r="K103" s="695">
        <f>ROUND((+K101/2),0)</f>
        <v>80793</v>
      </c>
      <c r="L103" s="695">
        <f>ROUND((+L101/2),0)</f>
        <v>82247</v>
      </c>
      <c r="M103" s="695">
        <f>ROUND((+M101/2),0)</f>
        <v>83728</v>
      </c>
      <c r="N103" s="695">
        <f>ROUND((+N101/2),0)</f>
        <v>83728</v>
      </c>
    </row>
    <row r="104" spans="1:14" x14ac:dyDescent="0.2">
      <c r="A104" s="693" t="s">
        <v>423</v>
      </c>
      <c r="C104" s="623"/>
      <c r="D104" s="623"/>
      <c r="E104" s="623"/>
      <c r="F104" s="623"/>
      <c r="G104" s="623"/>
      <c r="H104" s="623"/>
      <c r="I104" s="623"/>
      <c r="J104" s="696">
        <f>+J103</f>
        <v>79396</v>
      </c>
      <c r="K104" s="696">
        <f>+K103</f>
        <v>80793</v>
      </c>
      <c r="L104" s="696">
        <f>+L103</f>
        <v>82247</v>
      </c>
      <c r="M104" s="696">
        <f>+M103</f>
        <v>83728</v>
      </c>
      <c r="N104" s="696">
        <f>+N103</f>
        <v>83728</v>
      </c>
    </row>
    <row r="105" spans="1:14" x14ac:dyDescent="0.2">
      <c r="A105" s="693"/>
      <c r="C105" s="623"/>
      <c r="D105" s="623"/>
      <c r="E105" s="623"/>
      <c r="F105" s="623"/>
      <c r="G105" s="623"/>
      <c r="H105" s="623"/>
      <c r="I105" s="623"/>
      <c r="J105" s="694"/>
      <c r="K105" s="694"/>
      <c r="L105" s="694"/>
      <c r="M105" s="694"/>
      <c r="N105" s="694"/>
    </row>
    <row r="106" spans="1:14" x14ac:dyDescent="0.2">
      <c r="A106" s="693" t="s">
        <v>424</v>
      </c>
      <c r="C106" s="623"/>
      <c r="D106" s="623"/>
      <c r="E106" s="623"/>
      <c r="F106" s="623"/>
      <c r="G106" s="623"/>
      <c r="H106" s="623"/>
      <c r="I106" s="623"/>
      <c r="J106" s="695">
        <f>ROUND((+J103*0.485),0)</f>
        <v>38507</v>
      </c>
      <c r="K106" s="695">
        <f>ROUND((+K103*0.485),0)</f>
        <v>39185</v>
      </c>
      <c r="L106" s="695">
        <f>ROUND((+L103*0.485),0)</f>
        <v>39890</v>
      </c>
      <c r="M106" s="695">
        <f>ROUND((+M103*0.485),0)</f>
        <v>40608</v>
      </c>
      <c r="N106" s="695">
        <f>ROUND((+N103*0.485),0)</f>
        <v>40608</v>
      </c>
    </row>
    <row r="107" spans="1:14" x14ac:dyDescent="0.2">
      <c r="A107" s="693" t="s">
        <v>425</v>
      </c>
      <c r="C107" s="623"/>
      <c r="D107" s="623"/>
      <c r="E107" s="623"/>
      <c r="F107" s="623"/>
      <c r="G107" s="623"/>
      <c r="H107" s="623"/>
      <c r="I107" s="623"/>
      <c r="J107" s="697">
        <f>+J103-J106</f>
        <v>40889</v>
      </c>
      <c r="K107" s="697">
        <f>+K103-K106</f>
        <v>41608</v>
      </c>
      <c r="L107" s="697">
        <f>+L103-L106</f>
        <v>42357</v>
      </c>
      <c r="M107" s="697">
        <f>+M103-M106</f>
        <v>43120</v>
      </c>
      <c r="N107" s="697">
        <f>+N103-N106</f>
        <v>43120</v>
      </c>
    </row>
    <row r="108" spans="1:14" x14ac:dyDescent="0.2">
      <c r="A108" s="693"/>
      <c r="C108" s="623"/>
      <c r="D108" s="623"/>
      <c r="E108" s="623"/>
      <c r="F108" s="623"/>
      <c r="G108" s="623"/>
      <c r="H108" s="623"/>
      <c r="I108" s="623"/>
      <c r="J108" s="697"/>
      <c r="K108" s="697"/>
      <c r="L108" s="697"/>
      <c r="M108" s="697"/>
      <c r="N108" s="697"/>
    </row>
    <row r="109" spans="1:14" x14ac:dyDescent="0.2">
      <c r="A109" s="693" t="s">
        <v>426</v>
      </c>
      <c r="C109" s="623"/>
      <c r="D109" s="623"/>
      <c r="E109" s="623"/>
      <c r="F109" s="623"/>
      <c r="G109" s="623"/>
      <c r="H109" s="623"/>
      <c r="I109" s="623"/>
      <c r="J109" s="697">
        <f t="shared" ref="J109:M110" si="28">+J106</f>
        <v>38507</v>
      </c>
      <c r="K109" s="697">
        <f t="shared" ref="K109:L109" si="29">+K106</f>
        <v>39185</v>
      </c>
      <c r="L109" s="697">
        <f t="shared" si="29"/>
        <v>39890</v>
      </c>
      <c r="M109" s="697">
        <f t="shared" si="28"/>
        <v>40608</v>
      </c>
      <c r="N109" s="697">
        <f t="shared" ref="N109" si="30">+N106</f>
        <v>40608</v>
      </c>
    </row>
    <row r="110" spans="1:14" x14ac:dyDescent="0.2">
      <c r="A110" s="693" t="s">
        <v>427</v>
      </c>
      <c r="C110" s="623"/>
      <c r="D110" s="623"/>
      <c r="E110" s="623"/>
      <c r="F110" s="623"/>
      <c r="G110" s="623"/>
      <c r="H110" s="623"/>
      <c r="I110" s="623"/>
      <c r="J110" s="696">
        <f t="shared" si="28"/>
        <v>40889</v>
      </c>
      <c r="K110" s="696">
        <f t="shared" ref="K110:L110" si="31">+K107</f>
        <v>41608</v>
      </c>
      <c r="L110" s="696">
        <f t="shared" si="31"/>
        <v>42357</v>
      </c>
      <c r="M110" s="696">
        <f t="shared" si="28"/>
        <v>43120</v>
      </c>
      <c r="N110" s="696">
        <f t="shared" ref="N110" si="32">+N107</f>
        <v>43120</v>
      </c>
    </row>
    <row r="111" spans="1:14" x14ac:dyDescent="0.2">
      <c r="A111" s="693"/>
      <c r="C111" s="623"/>
      <c r="D111" s="623"/>
      <c r="E111" s="623"/>
      <c r="F111" s="623"/>
      <c r="G111" s="623"/>
      <c r="H111" s="623"/>
      <c r="I111" s="623"/>
      <c r="J111" s="694"/>
      <c r="K111" s="694"/>
      <c r="L111" s="694"/>
      <c r="M111" s="694"/>
      <c r="N111" s="694"/>
    </row>
    <row r="112" spans="1:14" x14ac:dyDescent="0.2">
      <c r="A112" s="698" t="s">
        <v>428</v>
      </c>
      <c r="B112" s="624"/>
      <c r="C112" s="625"/>
      <c r="D112" s="625"/>
      <c r="E112" s="625"/>
      <c r="F112" s="625"/>
      <c r="G112" s="625"/>
      <c r="H112" s="625"/>
      <c r="I112" s="625"/>
      <c r="J112" s="699">
        <f>SUM(J106:J110)</f>
        <v>158792</v>
      </c>
      <c r="K112" s="699">
        <f>SUM(K106:K110)</f>
        <v>161586</v>
      </c>
      <c r="L112" s="699">
        <f>SUM(L106:L110)</f>
        <v>164494</v>
      </c>
      <c r="M112" s="699">
        <f>SUM(M106:M110)</f>
        <v>167456</v>
      </c>
      <c r="N112" s="699">
        <f>SUM(N106:N110)</f>
        <v>167456</v>
      </c>
    </row>
    <row r="113" spans="3:14" x14ac:dyDescent="0.2">
      <c r="C113" s="623"/>
      <c r="D113" s="623"/>
      <c r="E113" s="623"/>
      <c r="F113" s="623"/>
      <c r="G113" s="623"/>
      <c r="H113" s="623"/>
      <c r="I113" s="623"/>
      <c r="J113" s="623"/>
      <c r="K113" s="623"/>
      <c r="L113" s="623"/>
      <c r="M113" s="623"/>
      <c r="N113" s="623"/>
    </row>
    <row r="114" spans="3:14" x14ac:dyDescent="0.2">
      <c r="C114" s="623"/>
      <c r="D114" s="623"/>
      <c r="E114" s="623"/>
      <c r="F114" s="623"/>
      <c r="G114" s="623"/>
      <c r="H114" s="623"/>
      <c r="I114" s="623"/>
      <c r="J114" s="623"/>
      <c r="K114" s="623"/>
      <c r="L114" s="623"/>
      <c r="M114" s="623"/>
      <c r="N114" s="623"/>
    </row>
  </sheetData>
  <hyperlinks>
    <hyperlink ref="A8" location="'Table of Contents'!A1" display="TOC" xr:uid="{00000000-0004-0000-0400-000000000000}"/>
  </hyperlinks>
  <pageMargins left="0.7" right="0.7" top="0.75" bottom="0.75" header="0.3" footer="0.3"/>
  <pageSetup orientation="portrait" r:id="rId1"/>
  <ignoredErrors>
    <ignoredError sqref="J18" formula="1"/>
  </ignoredError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92D050"/>
  </sheetPr>
  <dimension ref="A1:L40"/>
  <sheetViews>
    <sheetView workbookViewId="0">
      <selection activeCell="F10" sqref="F10"/>
    </sheetView>
  </sheetViews>
  <sheetFormatPr defaultRowHeight="12.75" x14ac:dyDescent="0.2"/>
  <sheetData>
    <row r="1" spans="1:12" x14ac:dyDescent="0.2">
      <c r="A1" s="308" t="s">
        <v>197</v>
      </c>
    </row>
    <row r="2" spans="1:12" x14ac:dyDescent="0.2">
      <c r="A2" s="335" t="s">
        <v>571</v>
      </c>
      <c r="B2" s="886" t="s">
        <v>1942</v>
      </c>
      <c r="C2" s="921">
        <v>2.5000000000000001E-2</v>
      </c>
    </row>
    <row r="3" spans="1:12" x14ac:dyDescent="0.2">
      <c r="B3" t="s">
        <v>1887</v>
      </c>
    </row>
    <row r="4" spans="1:12" x14ac:dyDescent="0.2">
      <c r="C4" s="827">
        <v>1</v>
      </c>
      <c r="D4" s="827">
        <v>2</v>
      </c>
      <c r="E4" s="827">
        <v>3</v>
      </c>
      <c r="F4" s="827">
        <v>4</v>
      </c>
      <c r="G4" s="827">
        <v>5</v>
      </c>
      <c r="H4" s="827">
        <v>6</v>
      </c>
      <c r="I4" s="827">
        <v>7</v>
      </c>
      <c r="J4" s="827">
        <v>8</v>
      </c>
      <c r="K4" s="827">
        <v>9</v>
      </c>
      <c r="L4" s="827">
        <v>10</v>
      </c>
    </row>
    <row r="5" spans="1:12" x14ac:dyDescent="0.2">
      <c r="A5" t="s">
        <v>1914</v>
      </c>
      <c r="B5" s="827">
        <v>1</v>
      </c>
      <c r="C5" s="827">
        <v>2</v>
      </c>
      <c r="D5" s="827">
        <v>3</v>
      </c>
      <c r="E5" s="827">
        <v>4</v>
      </c>
      <c r="F5" s="827">
        <v>5</v>
      </c>
      <c r="G5" s="827">
        <v>6</v>
      </c>
      <c r="H5" s="827">
        <v>7</v>
      </c>
      <c r="I5" s="827">
        <v>8</v>
      </c>
      <c r="J5" s="827">
        <v>9</v>
      </c>
      <c r="K5" s="827">
        <v>10</v>
      </c>
      <c r="L5" s="827">
        <v>11</v>
      </c>
    </row>
    <row r="6" spans="1:12" x14ac:dyDescent="0.2">
      <c r="A6" t="s">
        <v>1804</v>
      </c>
      <c r="B6" s="1062">
        <f>ROUND((+B17*(1+$C$2)),2)</f>
        <v>16.03</v>
      </c>
      <c r="C6" s="1">
        <f t="shared" ref="C6:K6" si="0">ROUND((+C17*(1+$C$2)),2)</f>
        <v>16.43</v>
      </c>
      <c r="D6" s="1">
        <f t="shared" si="0"/>
        <v>16.84</v>
      </c>
      <c r="E6" s="1">
        <f t="shared" si="0"/>
        <v>17.27</v>
      </c>
      <c r="F6" s="1">
        <f t="shared" si="0"/>
        <v>17.670000000000002</v>
      </c>
      <c r="G6" s="1">
        <f t="shared" si="0"/>
        <v>18.14</v>
      </c>
      <c r="H6" s="1">
        <f t="shared" si="0"/>
        <v>18.55</v>
      </c>
      <c r="I6" s="1">
        <f t="shared" si="0"/>
        <v>18.96</v>
      </c>
      <c r="J6" s="1">
        <f t="shared" si="0"/>
        <v>19.329999999999998</v>
      </c>
      <c r="K6" s="1">
        <f t="shared" si="0"/>
        <v>19.73</v>
      </c>
      <c r="L6" s="1">
        <v>20.12</v>
      </c>
    </row>
    <row r="7" spans="1:12" x14ac:dyDescent="0.2">
      <c r="A7" t="s">
        <v>1808</v>
      </c>
      <c r="B7" s="1062">
        <f t="shared" ref="B7:K10" si="1">ROUND((+B18*(1+$C$2)),2)</f>
        <v>18.899999999999999</v>
      </c>
      <c r="C7" s="1">
        <f t="shared" si="1"/>
        <v>19.36</v>
      </c>
      <c r="D7" s="1">
        <f t="shared" si="1"/>
        <v>19.84</v>
      </c>
      <c r="E7" s="1">
        <f t="shared" si="1"/>
        <v>20.350000000000001</v>
      </c>
      <c r="F7" s="1">
        <f t="shared" si="1"/>
        <v>20.85</v>
      </c>
      <c r="G7" s="1">
        <f t="shared" si="1"/>
        <v>21.38</v>
      </c>
      <c r="H7" s="1">
        <f t="shared" si="1"/>
        <v>21.92</v>
      </c>
      <c r="I7" s="1">
        <f t="shared" si="1"/>
        <v>22.33</v>
      </c>
      <c r="J7" s="1">
        <f t="shared" si="1"/>
        <v>22.81</v>
      </c>
      <c r="K7" s="1">
        <f t="shared" si="1"/>
        <v>23.27</v>
      </c>
      <c r="L7" s="1">
        <v>23.74</v>
      </c>
    </row>
    <row r="8" spans="1:12" x14ac:dyDescent="0.2">
      <c r="A8" t="s">
        <v>1814</v>
      </c>
      <c r="B8" s="1062">
        <f t="shared" si="1"/>
        <v>20.34</v>
      </c>
      <c r="C8" s="1">
        <f t="shared" si="1"/>
        <v>20.84</v>
      </c>
      <c r="D8" s="1">
        <f t="shared" si="1"/>
        <v>21.36</v>
      </c>
      <c r="E8" s="1">
        <f t="shared" si="1"/>
        <v>21.9</v>
      </c>
      <c r="F8" s="1">
        <f t="shared" si="1"/>
        <v>22.43</v>
      </c>
      <c r="G8" s="1">
        <f t="shared" si="1"/>
        <v>23.01</v>
      </c>
      <c r="H8" s="1">
        <f t="shared" si="1"/>
        <v>23.58</v>
      </c>
      <c r="I8" s="1">
        <f t="shared" si="1"/>
        <v>24.06</v>
      </c>
      <c r="J8" s="1">
        <f t="shared" si="1"/>
        <v>24.53</v>
      </c>
      <c r="K8" s="1">
        <f t="shared" si="1"/>
        <v>25.02</v>
      </c>
      <c r="L8" s="1">
        <v>25.52</v>
      </c>
    </row>
    <row r="9" spans="1:12" x14ac:dyDescent="0.2">
      <c r="A9" t="s">
        <v>1817</v>
      </c>
      <c r="B9" s="1062">
        <f t="shared" si="1"/>
        <v>22.16</v>
      </c>
      <c r="C9" s="1">
        <f t="shared" si="1"/>
        <v>22.71</v>
      </c>
      <c r="D9" s="1">
        <f t="shared" si="1"/>
        <v>23.29</v>
      </c>
      <c r="E9" s="1">
        <f t="shared" si="1"/>
        <v>23.85</v>
      </c>
      <c r="F9" s="1">
        <f t="shared" si="1"/>
        <v>24.45</v>
      </c>
      <c r="G9" s="1">
        <f t="shared" si="1"/>
        <v>25.08</v>
      </c>
      <c r="H9" s="1">
        <f t="shared" si="1"/>
        <v>25.71</v>
      </c>
      <c r="I9" s="1">
        <f t="shared" si="1"/>
        <v>26.21</v>
      </c>
      <c r="J9" s="1">
        <f t="shared" si="1"/>
        <v>26.74</v>
      </c>
      <c r="K9" s="1">
        <f t="shared" si="1"/>
        <v>27.27</v>
      </c>
      <c r="L9" s="1">
        <v>27.82</v>
      </c>
    </row>
    <row r="10" spans="1:12" x14ac:dyDescent="0.2">
      <c r="A10" t="s">
        <v>1915</v>
      </c>
      <c r="B10" s="1062">
        <f t="shared" si="1"/>
        <v>23.9</v>
      </c>
      <c r="C10" s="1">
        <f t="shared" si="1"/>
        <v>24.52</v>
      </c>
      <c r="D10" s="1">
        <f t="shared" si="1"/>
        <v>25.13</v>
      </c>
      <c r="E10" s="1">
        <f t="shared" si="1"/>
        <v>25.77</v>
      </c>
      <c r="F10" s="1">
        <f t="shared" si="1"/>
        <v>26.4</v>
      </c>
      <c r="G10" s="1">
        <f t="shared" si="1"/>
        <v>27.06</v>
      </c>
      <c r="H10" s="1">
        <f t="shared" si="1"/>
        <v>27.75</v>
      </c>
      <c r="I10" s="1">
        <f t="shared" si="1"/>
        <v>28.29</v>
      </c>
      <c r="J10" s="1">
        <f t="shared" si="1"/>
        <v>28.86</v>
      </c>
      <c r="K10" s="1">
        <f t="shared" si="1"/>
        <v>29.45</v>
      </c>
      <c r="L10" s="1">
        <v>30.04</v>
      </c>
    </row>
    <row r="13" spans="1:12" x14ac:dyDescent="0.2">
      <c r="A13" s="335" t="s">
        <v>277</v>
      </c>
      <c r="B13" s="886" t="s">
        <v>1943</v>
      </c>
      <c r="C13" s="921">
        <v>0.03</v>
      </c>
    </row>
    <row r="14" spans="1:12" x14ac:dyDescent="0.2">
      <c r="B14" t="s">
        <v>1887</v>
      </c>
    </row>
    <row r="15" spans="1:12" x14ac:dyDescent="0.2">
      <c r="A15" t="s">
        <v>1944</v>
      </c>
      <c r="C15" s="827">
        <v>1</v>
      </c>
      <c r="D15" s="827">
        <v>2</v>
      </c>
      <c r="E15" s="827">
        <v>3</v>
      </c>
      <c r="F15" s="827">
        <v>4</v>
      </c>
      <c r="G15" s="827">
        <v>5</v>
      </c>
      <c r="H15" s="827">
        <v>6</v>
      </c>
      <c r="I15" s="827">
        <v>7</v>
      </c>
      <c r="J15" s="827">
        <v>8</v>
      </c>
      <c r="K15" s="827">
        <v>9</v>
      </c>
      <c r="L15" s="827">
        <v>10</v>
      </c>
    </row>
    <row r="16" spans="1:12" x14ac:dyDescent="0.2">
      <c r="A16" t="s">
        <v>1914</v>
      </c>
      <c r="B16" s="827">
        <v>1</v>
      </c>
      <c r="C16" s="827">
        <v>2</v>
      </c>
      <c r="D16" s="827">
        <v>3</v>
      </c>
      <c r="E16" s="827">
        <v>4</v>
      </c>
      <c r="F16" s="827">
        <v>5</v>
      </c>
      <c r="G16" s="827">
        <v>6</v>
      </c>
      <c r="H16" s="827">
        <v>7</v>
      </c>
      <c r="I16" s="827">
        <v>8</v>
      </c>
      <c r="J16" s="827">
        <v>9</v>
      </c>
      <c r="K16" s="827">
        <v>10</v>
      </c>
      <c r="L16" s="827">
        <v>11</v>
      </c>
    </row>
    <row r="17" spans="1:12" x14ac:dyDescent="0.2">
      <c r="A17" t="s">
        <v>1804</v>
      </c>
      <c r="B17" s="1062">
        <f>ROUND((+B27*(1+$C$13)),2)</f>
        <v>15.64</v>
      </c>
      <c r="C17" s="1">
        <f>ROUND((+C27*(1+$C$13)),2)</f>
        <v>16.03</v>
      </c>
      <c r="D17" s="1">
        <f t="shared" ref="D17:K17" si="2">ROUND((+D27*(1+$C$13)),2)</f>
        <v>16.43</v>
      </c>
      <c r="E17" s="1">
        <f t="shared" si="2"/>
        <v>16.850000000000001</v>
      </c>
      <c r="F17" s="1">
        <f t="shared" si="2"/>
        <v>17.239999999999998</v>
      </c>
      <c r="G17" s="1">
        <f t="shared" si="2"/>
        <v>17.7</v>
      </c>
      <c r="H17" s="1">
        <f t="shared" si="2"/>
        <v>18.100000000000001</v>
      </c>
      <c r="I17" s="1">
        <f t="shared" si="2"/>
        <v>18.5</v>
      </c>
      <c r="J17" s="1">
        <f t="shared" si="2"/>
        <v>18.86</v>
      </c>
      <c r="K17" s="1">
        <f t="shared" si="2"/>
        <v>19.25</v>
      </c>
      <c r="L17" s="1">
        <v>19.64</v>
      </c>
    </row>
    <row r="18" spans="1:12" x14ac:dyDescent="0.2">
      <c r="A18" t="s">
        <v>1808</v>
      </c>
      <c r="B18" s="1062">
        <f t="shared" ref="B18:C21" si="3">ROUND((+B28*(1+$C$13)),2)</f>
        <v>18.440000000000001</v>
      </c>
      <c r="C18" s="1">
        <f t="shared" si="3"/>
        <v>18.89</v>
      </c>
      <c r="D18" s="1">
        <f t="shared" ref="D18:K18" si="4">ROUND((+D28*(1+$C$13)),2)</f>
        <v>19.36</v>
      </c>
      <c r="E18" s="1">
        <f t="shared" si="4"/>
        <v>19.850000000000001</v>
      </c>
      <c r="F18" s="1">
        <f t="shared" si="4"/>
        <v>20.34</v>
      </c>
      <c r="G18" s="1">
        <f t="shared" si="4"/>
        <v>20.86</v>
      </c>
      <c r="H18" s="1">
        <f t="shared" si="4"/>
        <v>21.39</v>
      </c>
      <c r="I18" s="1">
        <f t="shared" si="4"/>
        <v>21.79</v>
      </c>
      <c r="J18" s="1">
        <f t="shared" si="4"/>
        <v>22.25</v>
      </c>
      <c r="K18" s="1">
        <f t="shared" si="4"/>
        <v>22.7</v>
      </c>
      <c r="L18" s="1">
        <v>23.15</v>
      </c>
    </row>
    <row r="19" spans="1:12" x14ac:dyDescent="0.2">
      <c r="A19" t="s">
        <v>1814</v>
      </c>
      <c r="B19" s="1062">
        <f t="shared" si="3"/>
        <v>19.84</v>
      </c>
      <c r="C19" s="1">
        <f t="shared" si="3"/>
        <v>20.329999999999998</v>
      </c>
      <c r="D19" s="1">
        <f t="shared" ref="D19:K19" si="5">ROUND((+D29*(1+$C$13)),2)</f>
        <v>20.84</v>
      </c>
      <c r="E19" s="1">
        <f t="shared" si="5"/>
        <v>21.37</v>
      </c>
      <c r="F19" s="1">
        <f t="shared" si="5"/>
        <v>21.88</v>
      </c>
      <c r="G19" s="1">
        <f t="shared" si="5"/>
        <v>22.45</v>
      </c>
      <c r="H19" s="1">
        <f t="shared" si="5"/>
        <v>23</v>
      </c>
      <c r="I19" s="1">
        <f t="shared" si="5"/>
        <v>23.47</v>
      </c>
      <c r="J19" s="1">
        <f t="shared" si="5"/>
        <v>23.93</v>
      </c>
      <c r="K19" s="1">
        <f t="shared" si="5"/>
        <v>24.41</v>
      </c>
      <c r="L19" s="1">
        <v>24.9</v>
      </c>
    </row>
    <row r="20" spans="1:12" x14ac:dyDescent="0.2">
      <c r="A20" t="s">
        <v>1817</v>
      </c>
      <c r="B20" s="1062">
        <f t="shared" si="3"/>
        <v>21.62</v>
      </c>
      <c r="C20" s="1">
        <f t="shared" si="3"/>
        <v>22.16</v>
      </c>
      <c r="D20" s="1">
        <f t="shared" ref="D20:K20" si="6">ROUND((+D30*(1+$C$13)),2)</f>
        <v>22.72</v>
      </c>
      <c r="E20" s="1">
        <f t="shared" si="6"/>
        <v>23.27</v>
      </c>
      <c r="F20" s="1">
        <f t="shared" si="6"/>
        <v>23.85</v>
      </c>
      <c r="G20" s="1">
        <f t="shared" si="6"/>
        <v>24.47</v>
      </c>
      <c r="H20" s="1">
        <f t="shared" si="6"/>
        <v>25.08</v>
      </c>
      <c r="I20" s="1">
        <f t="shared" si="6"/>
        <v>25.57</v>
      </c>
      <c r="J20" s="1">
        <f t="shared" si="6"/>
        <v>26.09</v>
      </c>
      <c r="K20" s="1">
        <f t="shared" si="6"/>
        <v>26.6</v>
      </c>
      <c r="L20" s="1">
        <v>27.13</v>
      </c>
    </row>
    <row r="21" spans="1:12" x14ac:dyDescent="0.2">
      <c r="A21" t="s">
        <v>1915</v>
      </c>
      <c r="B21" s="1062">
        <f t="shared" si="3"/>
        <v>23.32</v>
      </c>
      <c r="C21" s="1">
        <f t="shared" si="3"/>
        <v>23.92</v>
      </c>
      <c r="D21" s="1">
        <f t="shared" ref="D21:K21" si="7">ROUND((+D31*(1+$C$13)),2)</f>
        <v>24.52</v>
      </c>
      <c r="E21" s="1">
        <f t="shared" si="7"/>
        <v>25.14</v>
      </c>
      <c r="F21" s="1">
        <f t="shared" si="7"/>
        <v>25.76</v>
      </c>
      <c r="G21" s="1">
        <f t="shared" si="7"/>
        <v>26.4</v>
      </c>
      <c r="H21" s="1">
        <f t="shared" si="7"/>
        <v>27.07</v>
      </c>
      <c r="I21" s="1">
        <f t="shared" si="7"/>
        <v>27.6</v>
      </c>
      <c r="J21" s="1">
        <f t="shared" si="7"/>
        <v>28.16</v>
      </c>
      <c r="K21" s="1">
        <f t="shared" si="7"/>
        <v>28.73</v>
      </c>
      <c r="L21" s="1">
        <v>29.3</v>
      </c>
    </row>
    <row r="24" spans="1:12" x14ac:dyDescent="0.2">
      <c r="A24" t="s">
        <v>1945</v>
      </c>
      <c r="F24" t="s">
        <v>1946</v>
      </c>
    </row>
    <row r="25" spans="1:12" x14ac:dyDescent="0.2">
      <c r="B25" t="s">
        <v>1887</v>
      </c>
    </row>
    <row r="26" spans="1:12" x14ac:dyDescent="0.2">
      <c r="A26" t="s">
        <v>1914</v>
      </c>
      <c r="B26" s="827">
        <v>1</v>
      </c>
      <c r="C26" s="827">
        <v>2</v>
      </c>
      <c r="D26" s="827">
        <v>3</v>
      </c>
      <c r="E26" s="827">
        <v>4</v>
      </c>
      <c r="F26" s="827">
        <v>5</v>
      </c>
      <c r="G26" s="827">
        <v>6</v>
      </c>
      <c r="H26" s="827">
        <v>7</v>
      </c>
      <c r="I26" s="827">
        <v>8</v>
      </c>
      <c r="J26" s="827">
        <v>9</v>
      </c>
      <c r="K26" s="827">
        <v>10</v>
      </c>
    </row>
    <row r="27" spans="1:12" x14ac:dyDescent="0.2">
      <c r="A27" t="s">
        <v>1804</v>
      </c>
      <c r="B27" s="1">
        <v>15.18</v>
      </c>
      <c r="C27" s="1">
        <v>15.56</v>
      </c>
      <c r="D27" s="1">
        <v>15.95</v>
      </c>
      <c r="E27" s="1">
        <v>16.36</v>
      </c>
      <c r="F27" s="1">
        <v>16.739999999999998</v>
      </c>
      <c r="G27" s="1">
        <v>17.18</v>
      </c>
      <c r="H27" s="1">
        <v>17.57</v>
      </c>
      <c r="I27" s="1">
        <v>17.96</v>
      </c>
      <c r="J27" s="1">
        <v>18.309999999999999</v>
      </c>
      <c r="K27" s="1">
        <v>18.690000000000001</v>
      </c>
    </row>
    <row r="28" spans="1:12" x14ac:dyDescent="0.2">
      <c r="A28" t="s">
        <v>1808</v>
      </c>
      <c r="B28" s="1">
        <v>17.899999999999999</v>
      </c>
      <c r="C28" s="1">
        <v>18.34</v>
      </c>
      <c r="D28" s="1">
        <v>18.8</v>
      </c>
      <c r="E28" s="1">
        <v>19.27</v>
      </c>
      <c r="F28" s="1">
        <v>19.75</v>
      </c>
      <c r="G28" s="1">
        <v>20.25</v>
      </c>
      <c r="H28" s="1">
        <v>20.77</v>
      </c>
      <c r="I28" s="1">
        <v>21.16</v>
      </c>
      <c r="J28" s="1">
        <v>21.6</v>
      </c>
      <c r="K28" s="1">
        <v>22.04</v>
      </c>
    </row>
    <row r="29" spans="1:12" x14ac:dyDescent="0.2">
      <c r="A29" t="s">
        <v>1814</v>
      </c>
      <c r="B29" s="1">
        <v>19.260000000000002</v>
      </c>
      <c r="C29" s="1">
        <v>19.739999999999998</v>
      </c>
      <c r="D29" s="1">
        <v>20.23</v>
      </c>
      <c r="E29" s="1">
        <v>20.75</v>
      </c>
      <c r="F29" s="1">
        <v>21.24</v>
      </c>
      <c r="G29" s="1">
        <v>21.8</v>
      </c>
      <c r="H29" s="1">
        <v>22.33</v>
      </c>
      <c r="I29" s="1">
        <v>22.79</v>
      </c>
      <c r="J29" s="1">
        <v>23.23</v>
      </c>
      <c r="K29" s="1">
        <v>23.7</v>
      </c>
    </row>
    <row r="30" spans="1:12" x14ac:dyDescent="0.2">
      <c r="A30" t="s">
        <v>1817</v>
      </c>
      <c r="B30" s="1">
        <v>20.99</v>
      </c>
      <c r="C30" s="1">
        <v>21.51</v>
      </c>
      <c r="D30" s="1">
        <v>22.06</v>
      </c>
      <c r="E30" s="1">
        <v>22.59</v>
      </c>
      <c r="F30" s="1">
        <v>23.16</v>
      </c>
      <c r="G30" s="1">
        <v>23.76</v>
      </c>
      <c r="H30" s="1">
        <v>24.35</v>
      </c>
      <c r="I30" s="1">
        <v>24.83</v>
      </c>
      <c r="J30" s="1">
        <v>25.33</v>
      </c>
      <c r="K30" s="1">
        <v>25.83</v>
      </c>
    </row>
    <row r="31" spans="1:12" x14ac:dyDescent="0.2">
      <c r="A31" t="s">
        <v>1915</v>
      </c>
      <c r="B31" s="1">
        <v>22.64</v>
      </c>
      <c r="C31" s="1">
        <v>23.22</v>
      </c>
      <c r="D31" s="1">
        <v>23.81</v>
      </c>
      <c r="E31" s="1">
        <v>24.41</v>
      </c>
      <c r="F31" s="1">
        <v>25.01</v>
      </c>
      <c r="G31" s="1">
        <v>25.63</v>
      </c>
      <c r="H31" s="1">
        <v>26.28</v>
      </c>
      <c r="I31" s="1">
        <v>26.8</v>
      </c>
      <c r="J31" s="1">
        <v>27.34</v>
      </c>
      <c r="K31" s="1">
        <v>27.89</v>
      </c>
    </row>
    <row r="33" spans="1:11" x14ac:dyDescent="0.2">
      <c r="A33" t="s">
        <v>275</v>
      </c>
      <c r="F33" t="s">
        <v>1946</v>
      </c>
    </row>
    <row r="34" spans="1:11" x14ac:dyDescent="0.2">
      <c r="B34" t="s">
        <v>1887</v>
      </c>
    </row>
    <row r="35" spans="1:11" x14ac:dyDescent="0.2">
      <c r="A35" t="s">
        <v>1914</v>
      </c>
      <c r="B35" s="827">
        <v>1</v>
      </c>
      <c r="C35" s="827">
        <v>2</v>
      </c>
      <c r="D35" s="827">
        <v>3</v>
      </c>
      <c r="E35" s="827">
        <v>4</v>
      </c>
      <c r="F35" s="827">
        <v>5</v>
      </c>
      <c r="G35" s="827">
        <v>6</v>
      </c>
      <c r="H35" s="827">
        <v>7</v>
      </c>
      <c r="I35" s="827">
        <v>8</v>
      </c>
      <c r="J35" s="827">
        <v>9</v>
      </c>
      <c r="K35" s="827">
        <v>10</v>
      </c>
    </row>
    <row r="36" spans="1:11" x14ac:dyDescent="0.2">
      <c r="A36" t="s">
        <v>1804</v>
      </c>
      <c r="B36" s="1">
        <v>14.96</v>
      </c>
      <c r="C36" s="1">
        <v>15.33</v>
      </c>
      <c r="D36" s="1">
        <v>15.71</v>
      </c>
      <c r="E36" s="1">
        <v>16.12</v>
      </c>
      <c r="F36" s="1">
        <v>16.489999999999998</v>
      </c>
      <c r="G36" s="1">
        <v>16.93</v>
      </c>
      <c r="H36" s="1">
        <v>17.309999999999999</v>
      </c>
      <c r="I36" s="1">
        <v>17.690000000000001</v>
      </c>
      <c r="J36" s="1">
        <v>18.04</v>
      </c>
      <c r="K36" s="1">
        <v>18.41</v>
      </c>
    </row>
    <row r="37" spans="1:11" x14ac:dyDescent="0.2">
      <c r="A37" t="s">
        <v>1808</v>
      </c>
      <c r="B37" s="1">
        <v>17.64</v>
      </c>
      <c r="C37" s="1">
        <v>18.07</v>
      </c>
      <c r="D37" s="1">
        <v>18.52</v>
      </c>
      <c r="E37" s="1">
        <v>18.989999999999998</v>
      </c>
      <c r="F37" s="1">
        <v>19.46</v>
      </c>
      <c r="G37" s="1">
        <v>19.95</v>
      </c>
      <c r="H37" s="1">
        <v>20.46</v>
      </c>
      <c r="I37" s="1">
        <v>20.85</v>
      </c>
      <c r="J37" s="1">
        <v>21.28</v>
      </c>
      <c r="K37" s="1">
        <v>21.71</v>
      </c>
    </row>
    <row r="38" spans="1:11" x14ac:dyDescent="0.2">
      <c r="A38" t="s">
        <v>1814</v>
      </c>
      <c r="B38" s="1">
        <v>18.98</v>
      </c>
      <c r="C38" s="1">
        <v>19.45</v>
      </c>
      <c r="D38" s="1">
        <v>19.93</v>
      </c>
      <c r="E38" s="1">
        <v>20.440000000000001</v>
      </c>
      <c r="F38" s="1">
        <v>20.93</v>
      </c>
      <c r="G38" s="1">
        <v>21.48</v>
      </c>
      <c r="H38" s="1">
        <v>22</v>
      </c>
      <c r="I38" s="1">
        <v>22.45</v>
      </c>
      <c r="J38" s="1">
        <v>22.89</v>
      </c>
      <c r="K38" s="1">
        <v>23.35</v>
      </c>
    </row>
    <row r="39" spans="1:11" x14ac:dyDescent="0.2">
      <c r="A39" t="s">
        <v>1817</v>
      </c>
      <c r="B39" s="1">
        <v>20.68</v>
      </c>
      <c r="C39" s="1">
        <v>21.19</v>
      </c>
      <c r="D39" s="1">
        <v>21.73</v>
      </c>
      <c r="E39" s="1">
        <v>22.26</v>
      </c>
      <c r="F39" s="1">
        <v>22.82</v>
      </c>
      <c r="G39" s="1">
        <v>23.41</v>
      </c>
      <c r="H39" s="1">
        <v>23.99</v>
      </c>
      <c r="I39" s="1">
        <v>24.46</v>
      </c>
      <c r="J39" s="1">
        <v>24.96</v>
      </c>
      <c r="K39" s="1">
        <v>25.45</v>
      </c>
    </row>
    <row r="40" spans="1:11" x14ac:dyDescent="0.2">
      <c r="A40" t="s">
        <v>1915</v>
      </c>
      <c r="B40" s="1">
        <v>22.31</v>
      </c>
      <c r="C40" s="1">
        <v>22.88</v>
      </c>
      <c r="D40" s="1">
        <v>23.46</v>
      </c>
      <c r="E40" s="1">
        <v>24.05</v>
      </c>
      <c r="F40" s="1">
        <v>24.64</v>
      </c>
      <c r="G40" s="1">
        <v>25.25</v>
      </c>
      <c r="H40" s="1">
        <v>25.89</v>
      </c>
      <c r="I40" s="1">
        <v>26.4</v>
      </c>
      <c r="J40" s="1">
        <v>26.94</v>
      </c>
      <c r="K40" s="1">
        <v>27.48</v>
      </c>
    </row>
  </sheetData>
  <hyperlinks>
    <hyperlink ref="A1" location="'Table of Contents'!A1" display="TOC" xr:uid="{00000000-0004-0000-4100-000000000000}"/>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92D050"/>
  </sheetPr>
  <dimension ref="A1:C28"/>
  <sheetViews>
    <sheetView workbookViewId="0">
      <selection sqref="A1:A1048576"/>
    </sheetView>
  </sheetViews>
  <sheetFormatPr defaultRowHeight="12.75" x14ac:dyDescent="0.2"/>
  <cols>
    <col min="1" max="1" width="8.83203125" style="783"/>
  </cols>
  <sheetData>
    <row r="1" spans="1:3" x14ac:dyDescent="0.2">
      <c r="A1" s="772" t="s">
        <v>197</v>
      </c>
    </row>
    <row r="2" spans="1:3" x14ac:dyDescent="0.2">
      <c r="A2" s="815" t="s">
        <v>1947</v>
      </c>
      <c r="B2" s="220" t="s">
        <v>214</v>
      </c>
    </row>
    <row r="3" spans="1:3" x14ac:dyDescent="0.2">
      <c r="A3" s="783" t="s">
        <v>1948</v>
      </c>
      <c r="B3" s="220" t="s">
        <v>1949</v>
      </c>
    </row>
    <row r="4" spans="1:3" x14ac:dyDescent="0.2">
      <c r="A4" s="783">
        <v>5</v>
      </c>
      <c r="B4">
        <v>300</v>
      </c>
    </row>
    <row r="5" spans="1:3" x14ac:dyDescent="0.2">
      <c r="A5" s="783">
        <v>10</v>
      </c>
      <c r="B5">
        <v>500</v>
      </c>
    </row>
    <row r="6" spans="1:3" x14ac:dyDescent="0.2">
      <c r="A6" s="783">
        <v>15</v>
      </c>
      <c r="B6">
        <v>800</v>
      </c>
    </row>
    <row r="7" spans="1:3" x14ac:dyDescent="0.2">
      <c r="A7" s="783">
        <v>20</v>
      </c>
      <c r="B7">
        <v>900</v>
      </c>
    </row>
    <row r="8" spans="1:3" x14ac:dyDescent="0.2">
      <c r="A8" s="783">
        <v>25</v>
      </c>
      <c r="B8">
        <v>1000</v>
      </c>
    </row>
    <row r="9" spans="1:3" x14ac:dyDescent="0.2">
      <c r="A9" s="783">
        <v>30</v>
      </c>
      <c r="B9">
        <v>1100</v>
      </c>
    </row>
    <row r="11" spans="1:3" x14ac:dyDescent="0.2">
      <c r="A11" s="815" t="s">
        <v>1950</v>
      </c>
      <c r="B11" s="220" t="s">
        <v>102</v>
      </c>
      <c r="C11" t="s">
        <v>1951</v>
      </c>
    </row>
    <row r="12" spans="1:3" x14ac:dyDescent="0.2">
      <c r="A12" s="783" t="s">
        <v>1948</v>
      </c>
    </row>
    <row r="13" spans="1:3" x14ac:dyDescent="0.2">
      <c r="A13" s="783">
        <v>2</v>
      </c>
      <c r="B13">
        <v>300</v>
      </c>
    </row>
    <row r="14" spans="1:3" x14ac:dyDescent="0.2">
      <c r="A14" s="783">
        <v>5</v>
      </c>
      <c r="B14">
        <v>400</v>
      </c>
    </row>
    <row r="15" spans="1:3" x14ac:dyDescent="0.2">
      <c r="A15" s="783">
        <v>10</v>
      </c>
      <c r="B15">
        <v>500</v>
      </c>
    </row>
    <row r="16" spans="1:3" x14ac:dyDescent="0.2">
      <c r="A16" s="783">
        <v>15</v>
      </c>
      <c r="B16">
        <v>600</v>
      </c>
    </row>
    <row r="17" spans="1:2" x14ac:dyDescent="0.2">
      <c r="A17" s="783">
        <v>20</v>
      </c>
      <c r="B17">
        <v>700</v>
      </c>
    </row>
    <row r="18" spans="1:2" x14ac:dyDescent="0.2">
      <c r="A18" s="783">
        <v>25</v>
      </c>
      <c r="B18">
        <v>800</v>
      </c>
    </row>
    <row r="19" spans="1:2" x14ac:dyDescent="0.2">
      <c r="A19" s="783">
        <v>30</v>
      </c>
      <c r="B19">
        <v>900</v>
      </c>
    </row>
    <row r="21" spans="1:2" x14ac:dyDescent="0.2">
      <c r="A21" s="783" t="s">
        <v>307</v>
      </c>
      <c r="B21" s="220" t="s">
        <v>1952</v>
      </c>
    </row>
    <row r="22" spans="1:2" x14ac:dyDescent="0.2">
      <c r="A22" s="783" t="s">
        <v>1948</v>
      </c>
    </row>
    <row r="23" spans="1:2" x14ac:dyDescent="0.2">
      <c r="A23" s="783">
        <v>5</v>
      </c>
      <c r="B23">
        <v>200</v>
      </c>
    </row>
    <row r="24" spans="1:2" x14ac:dyDescent="0.2">
      <c r="A24" s="783">
        <v>10</v>
      </c>
      <c r="B24">
        <v>300</v>
      </c>
    </row>
    <row r="25" spans="1:2" x14ac:dyDescent="0.2">
      <c r="A25" s="783">
        <v>15</v>
      </c>
      <c r="B25">
        <v>400</v>
      </c>
    </row>
    <row r="26" spans="1:2" x14ac:dyDescent="0.2">
      <c r="A26" s="783">
        <v>20</v>
      </c>
      <c r="B26">
        <v>500</v>
      </c>
    </row>
    <row r="27" spans="1:2" x14ac:dyDescent="0.2">
      <c r="A27" s="783">
        <v>25</v>
      </c>
      <c r="B27">
        <v>600</v>
      </c>
    </row>
    <row r="28" spans="1:2" x14ac:dyDescent="0.2">
      <c r="A28" s="783">
        <v>30</v>
      </c>
      <c r="B28">
        <v>700</v>
      </c>
    </row>
  </sheetData>
  <phoneticPr fontId="15" type="noConversion"/>
  <hyperlinks>
    <hyperlink ref="A1" location="'Table of Contents'!A1" display="TOC" xr:uid="{00000000-0004-0000-4300-000000000000}"/>
  </hyperlinks>
  <pageMargins left="0.75" right="0.75" top="1" bottom="1" header="0.5" footer="0.5"/>
  <pageSetup orientation="portrait" r:id="rId1"/>
  <headerFooter alignWithMargins="0">
    <oddFooter>&amp;L&amp;D &amp;T&amp;C&amp;F&amp;R&amp;A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92D050"/>
  </sheetPr>
  <dimension ref="A1:AJ82"/>
  <sheetViews>
    <sheetView workbookViewId="0"/>
  </sheetViews>
  <sheetFormatPr defaultRowHeight="12.75" x14ac:dyDescent="0.2"/>
  <cols>
    <col min="1" max="1" width="9.33203125" customWidth="1"/>
    <col min="2" max="2" width="39.5" customWidth="1"/>
    <col min="3" max="3" width="12" hidden="1" customWidth="1"/>
    <col min="4" max="6" width="11.5" hidden="1" customWidth="1"/>
    <col min="7" max="21" width="11.5" customWidth="1"/>
    <col min="22" max="36" width="9.83203125" customWidth="1"/>
  </cols>
  <sheetData>
    <row r="1" spans="1:36" x14ac:dyDescent="0.2">
      <c r="A1" s="308" t="s">
        <v>197</v>
      </c>
      <c r="C1" s="1"/>
      <c r="G1" s="2"/>
    </row>
    <row r="2" spans="1:36" ht="14.25" x14ac:dyDescent="0.2">
      <c r="A2" s="43" t="s">
        <v>1505</v>
      </c>
      <c r="B2" s="43"/>
      <c r="C2" s="1"/>
      <c r="G2" s="2"/>
    </row>
    <row r="3" spans="1:36" ht="13.5" thickBot="1" x14ac:dyDescent="0.25"/>
    <row r="4" spans="1:36" ht="13.5" thickTop="1" x14ac:dyDescent="0.2">
      <c r="A4" s="5"/>
      <c r="B4" s="6"/>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row>
    <row r="5" spans="1:36" x14ac:dyDescent="0.2">
      <c r="A5" s="81"/>
      <c r="B5" s="74" t="s">
        <v>1953</v>
      </c>
      <c r="C5" s="45" t="s">
        <v>567</v>
      </c>
      <c r="D5" s="45" t="s">
        <v>568</v>
      </c>
      <c r="E5" s="45" t="s">
        <v>569</v>
      </c>
      <c r="F5" s="45" t="s">
        <v>570</v>
      </c>
      <c r="G5" s="45" t="s">
        <v>275</v>
      </c>
      <c r="H5" s="45" t="s">
        <v>276</v>
      </c>
      <c r="I5" s="45" t="s">
        <v>277</v>
      </c>
      <c r="J5" s="45" t="s">
        <v>571</v>
      </c>
      <c r="K5" s="45" t="s">
        <v>1508</v>
      </c>
      <c r="L5" s="45" t="s">
        <v>1509</v>
      </c>
      <c r="M5" s="45" t="s">
        <v>1510</v>
      </c>
      <c r="N5" s="45" t="s">
        <v>1511</v>
      </c>
      <c r="O5" s="45" t="s">
        <v>1512</v>
      </c>
      <c r="P5" s="45" t="s">
        <v>1513</v>
      </c>
      <c r="Q5" s="45" t="s">
        <v>1514</v>
      </c>
      <c r="R5" s="45" t="s">
        <v>1515</v>
      </c>
      <c r="S5" s="45" t="s">
        <v>1516</v>
      </c>
      <c r="T5" s="45" t="s">
        <v>1517</v>
      </c>
      <c r="U5" s="45" t="s">
        <v>1518</v>
      </c>
      <c r="V5" s="45" t="s">
        <v>1519</v>
      </c>
      <c r="W5" s="45" t="s">
        <v>1520</v>
      </c>
      <c r="X5" s="45" t="s">
        <v>1521</v>
      </c>
      <c r="Y5" s="45" t="s">
        <v>1522</v>
      </c>
      <c r="Z5" s="45" t="s">
        <v>1523</v>
      </c>
      <c r="AA5" s="45" t="s">
        <v>1524</v>
      </c>
      <c r="AB5" s="45" t="s">
        <v>1525</v>
      </c>
      <c r="AC5" s="45" t="s">
        <v>1526</v>
      </c>
      <c r="AD5" s="45" t="s">
        <v>1527</v>
      </c>
      <c r="AE5" s="45" t="s">
        <v>1528</v>
      </c>
      <c r="AF5" s="45" t="s">
        <v>1529</v>
      </c>
      <c r="AG5" s="45" t="s">
        <v>1530</v>
      </c>
      <c r="AH5" s="45" t="s">
        <v>1531</v>
      </c>
      <c r="AI5" s="45" t="s">
        <v>1532</v>
      </c>
      <c r="AJ5" s="45" t="s">
        <v>1533</v>
      </c>
    </row>
    <row r="6" spans="1:36" x14ac:dyDescent="0.2">
      <c r="A6" s="81"/>
      <c r="B6" s="74"/>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row>
    <row r="7" spans="1:36" ht="13.5" thickBot="1" x14ac:dyDescent="0.25">
      <c r="A7" s="8" t="s">
        <v>825</v>
      </c>
      <c r="B7" s="78"/>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row>
    <row r="8" spans="1:36" ht="13.5" thickTop="1" x14ac:dyDescent="0.2">
      <c r="A8" s="26"/>
      <c r="B8" s="27"/>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row>
    <row r="9" spans="1:36" x14ac:dyDescent="0.2">
      <c r="A9" s="11">
        <v>710</v>
      </c>
      <c r="B9" s="12" t="s">
        <v>1534</v>
      </c>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row>
    <row r="10" spans="1:36" x14ac:dyDescent="0.2">
      <c r="A10" s="11">
        <v>5930</v>
      </c>
      <c r="B10" s="102" t="s">
        <v>1538</v>
      </c>
      <c r="C10" s="14">
        <f>ROUND((+C60*0.4),0)</f>
        <v>18865</v>
      </c>
      <c r="D10" s="14">
        <f t="shared" ref="D10:U10" si="0">ROUND((+D60*0.4),0)</f>
        <v>19246</v>
      </c>
      <c r="E10" s="14">
        <f t="shared" si="0"/>
        <v>19635</v>
      </c>
      <c r="F10" s="14">
        <f t="shared" si="0"/>
        <v>20032</v>
      </c>
      <c r="G10" s="14">
        <f t="shared" si="0"/>
        <v>20760</v>
      </c>
      <c r="H10" s="14">
        <f t="shared" si="0"/>
        <v>20849</v>
      </c>
      <c r="I10" s="14">
        <f t="shared" si="0"/>
        <v>21270</v>
      </c>
      <c r="J10" s="14">
        <f t="shared" si="0"/>
        <v>21700</v>
      </c>
      <c r="K10" s="14">
        <f t="shared" si="0"/>
        <v>22138</v>
      </c>
      <c r="L10" s="14">
        <f t="shared" si="0"/>
        <v>22586</v>
      </c>
      <c r="M10" s="14">
        <f t="shared" si="0"/>
        <v>23042</v>
      </c>
      <c r="N10" s="14">
        <f t="shared" si="0"/>
        <v>0</v>
      </c>
      <c r="O10" s="14">
        <f t="shared" si="0"/>
        <v>0</v>
      </c>
      <c r="P10" s="14">
        <f t="shared" si="0"/>
        <v>0</v>
      </c>
      <c r="Q10" s="14">
        <f t="shared" si="0"/>
        <v>0</v>
      </c>
      <c r="R10" s="14">
        <f t="shared" si="0"/>
        <v>0</v>
      </c>
      <c r="S10" s="14">
        <f t="shared" si="0"/>
        <v>0</v>
      </c>
      <c r="T10" s="14">
        <f t="shared" si="0"/>
        <v>0</v>
      </c>
      <c r="U10" s="14">
        <f t="shared" si="0"/>
        <v>0</v>
      </c>
      <c r="V10" s="14">
        <f t="shared" ref="V10:AC10" si="1">ROUND((+V60*0.4),0)</f>
        <v>0</v>
      </c>
      <c r="W10" s="14">
        <f t="shared" si="1"/>
        <v>0</v>
      </c>
      <c r="X10" s="14">
        <f t="shared" si="1"/>
        <v>0</v>
      </c>
      <c r="Y10" s="14">
        <f t="shared" si="1"/>
        <v>0</v>
      </c>
      <c r="Z10" s="14">
        <f t="shared" si="1"/>
        <v>0</v>
      </c>
      <c r="AA10" s="14">
        <f t="shared" si="1"/>
        <v>0</v>
      </c>
      <c r="AB10" s="14">
        <f t="shared" si="1"/>
        <v>0</v>
      </c>
      <c r="AC10" s="14">
        <f t="shared" si="1"/>
        <v>0</v>
      </c>
      <c r="AD10" s="14">
        <f t="shared" ref="AD10:AJ13" si="2">ROUND((+AD60*0.4),0)</f>
        <v>0</v>
      </c>
      <c r="AE10" s="14">
        <f t="shared" si="2"/>
        <v>0</v>
      </c>
      <c r="AF10" s="14">
        <f t="shared" si="2"/>
        <v>0</v>
      </c>
      <c r="AG10" s="14">
        <f t="shared" si="2"/>
        <v>0</v>
      </c>
      <c r="AH10" s="14">
        <f t="shared" si="2"/>
        <v>0</v>
      </c>
      <c r="AI10" s="14">
        <f t="shared" si="2"/>
        <v>0</v>
      </c>
      <c r="AJ10" s="14">
        <f t="shared" si="2"/>
        <v>0</v>
      </c>
    </row>
    <row r="11" spans="1:36" x14ac:dyDescent="0.2">
      <c r="A11" s="11">
        <v>5931</v>
      </c>
      <c r="B11" s="60" t="s">
        <v>1539</v>
      </c>
      <c r="C11" s="14">
        <f>ROUND((+C61*0.4),0)</f>
        <v>21350</v>
      </c>
      <c r="D11" s="14">
        <f t="shared" ref="D11:U11" si="3">ROUND((+D61*0.4),0)</f>
        <v>21872</v>
      </c>
      <c r="E11" s="14">
        <f t="shared" si="3"/>
        <v>22406</v>
      </c>
      <c r="F11" s="14">
        <f t="shared" si="3"/>
        <v>22954</v>
      </c>
      <c r="G11" s="14">
        <f t="shared" si="3"/>
        <v>23514</v>
      </c>
      <c r="H11" s="14">
        <f t="shared" si="3"/>
        <v>24089</v>
      </c>
      <c r="I11" s="14">
        <f t="shared" si="3"/>
        <v>24678</v>
      </c>
      <c r="J11" s="14">
        <f t="shared" si="3"/>
        <v>25281</v>
      </c>
      <c r="K11" s="14">
        <f t="shared" si="3"/>
        <v>25898</v>
      </c>
      <c r="L11" s="14">
        <f t="shared" si="3"/>
        <v>26531</v>
      </c>
      <c r="M11" s="14">
        <f t="shared" si="3"/>
        <v>27180</v>
      </c>
      <c r="N11" s="14">
        <f t="shared" si="3"/>
        <v>27844</v>
      </c>
      <c r="O11" s="14">
        <f t="shared" si="3"/>
        <v>28524</v>
      </c>
      <c r="P11" s="14">
        <f t="shared" si="3"/>
        <v>29221</v>
      </c>
      <c r="Q11" s="14">
        <f t="shared" si="3"/>
        <v>29935</v>
      </c>
      <c r="R11" s="14">
        <f t="shared" si="3"/>
        <v>30667</v>
      </c>
      <c r="S11" s="14">
        <f t="shared" si="3"/>
        <v>31416</v>
      </c>
      <c r="T11" s="14">
        <f t="shared" si="3"/>
        <v>32184</v>
      </c>
      <c r="U11" s="14">
        <f t="shared" si="3"/>
        <v>32970</v>
      </c>
      <c r="V11" s="14">
        <f t="shared" ref="V11:AC11" si="4">ROUND((+V61*0.4),0)</f>
        <v>33776</v>
      </c>
      <c r="W11" s="14">
        <f t="shared" si="4"/>
        <v>34601</v>
      </c>
      <c r="X11" s="14">
        <f t="shared" si="4"/>
        <v>35446</v>
      </c>
      <c r="Y11" s="14">
        <f t="shared" si="4"/>
        <v>0</v>
      </c>
      <c r="Z11" s="14">
        <f t="shared" si="4"/>
        <v>0</v>
      </c>
      <c r="AA11" s="14">
        <f t="shared" si="4"/>
        <v>0</v>
      </c>
      <c r="AB11" s="14">
        <f t="shared" si="4"/>
        <v>0</v>
      </c>
      <c r="AC11" s="14">
        <f t="shared" si="4"/>
        <v>0</v>
      </c>
      <c r="AD11" s="14">
        <f t="shared" si="2"/>
        <v>0</v>
      </c>
      <c r="AE11" s="14">
        <f t="shared" si="2"/>
        <v>0</v>
      </c>
      <c r="AF11" s="14">
        <f t="shared" si="2"/>
        <v>0</v>
      </c>
      <c r="AG11" s="14">
        <f t="shared" si="2"/>
        <v>0</v>
      </c>
      <c r="AH11" s="14">
        <f t="shared" si="2"/>
        <v>0</v>
      </c>
      <c r="AI11" s="14">
        <f t="shared" si="2"/>
        <v>0</v>
      </c>
      <c r="AJ11" s="14">
        <f t="shared" si="2"/>
        <v>0</v>
      </c>
    </row>
    <row r="12" spans="1:36" s="335" customFormat="1" x14ac:dyDescent="0.2">
      <c r="A12" s="622">
        <v>5932</v>
      </c>
      <c r="B12" s="613" t="s">
        <v>1540</v>
      </c>
      <c r="C12" s="610">
        <f>ROUND((+C62*0.4),0)</f>
        <v>6174</v>
      </c>
      <c r="D12" s="610">
        <f t="shared" ref="D12:U12" si="5">ROUND((+D62*0.4),0)</f>
        <v>6444</v>
      </c>
      <c r="E12" s="610">
        <f t="shared" si="5"/>
        <v>6726</v>
      </c>
      <c r="F12" s="610">
        <f t="shared" si="5"/>
        <v>7020</v>
      </c>
      <c r="G12" s="610">
        <f t="shared" si="5"/>
        <v>8000</v>
      </c>
      <c r="H12" s="610">
        <f t="shared" si="5"/>
        <v>8000</v>
      </c>
      <c r="I12" s="610">
        <f t="shared" si="5"/>
        <v>8000</v>
      </c>
      <c r="J12" s="610">
        <f t="shared" si="5"/>
        <v>10000</v>
      </c>
      <c r="K12" s="610">
        <f t="shared" si="5"/>
        <v>10000</v>
      </c>
      <c r="L12" s="610">
        <f t="shared" si="5"/>
        <v>10000</v>
      </c>
      <c r="M12" s="610">
        <f t="shared" si="5"/>
        <v>10000</v>
      </c>
      <c r="N12" s="610">
        <f t="shared" si="5"/>
        <v>12000</v>
      </c>
      <c r="O12" s="610">
        <f t="shared" si="5"/>
        <v>12000</v>
      </c>
      <c r="P12" s="610">
        <f t="shared" si="5"/>
        <v>12000</v>
      </c>
      <c r="Q12" s="610">
        <f t="shared" si="5"/>
        <v>14000</v>
      </c>
      <c r="R12" s="610">
        <f t="shared" si="5"/>
        <v>14000</v>
      </c>
      <c r="S12" s="610">
        <f t="shared" si="5"/>
        <v>14000</v>
      </c>
      <c r="T12" s="610">
        <f t="shared" si="5"/>
        <v>14000</v>
      </c>
      <c r="U12" s="610">
        <f t="shared" si="5"/>
        <v>14000</v>
      </c>
      <c r="V12" s="610">
        <f t="shared" ref="V12:AC12" si="6">ROUND((+V62*0.4),0)</f>
        <v>14000</v>
      </c>
      <c r="W12" s="610">
        <f t="shared" si="6"/>
        <v>14000</v>
      </c>
      <c r="X12" s="610">
        <f t="shared" si="6"/>
        <v>16000</v>
      </c>
      <c r="Y12" s="610">
        <f t="shared" si="6"/>
        <v>16000</v>
      </c>
      <c r="Z12" s="610">
        <f t="shared" si="6"/>
        <v>16000</v>
      </c>
      <c r="AA12" s="610">
        <f t="shared" si="6"/>
        <v>16000</v>
      </c>
      <c r="AB12" s="610">
        <f t="shared" si="6"/>
        <v>16000</v>
      </c>
      <c r="AC12" s="610">
        <f t="shared" si="6"/>
        <v>18000</v>
      </c>
      <c r="AD12" s="610">
        <f t="shared" si="2"/>
        <v>18000</v>
      </c>
      <c r="AE12" s="610">
        <f t="shared" si="2"/>
        <v>18000</v>
      </c>
      <c r="AF12" s="610">
        <f t="shared" si="2"/>
        <v>0</v>
      </c>
      <c r="AG12" s="610">
        <f t="shared" si="2"/>
        <v>0</v>
      </c>
      <c r="AH12" s="610">
        <f t="shared" si="2"/>
        <v>0</v>
      </c>
      <c r="AI12" s="610">
        <f t="shared" si="2"/>
        <v>0</v>
      </c>
      <c r="AJ12" s="610">
        <f t="shared" si="2"/>
        <v>0</v>
      </c>
    </row>
    <row r="13" spans="1:36" ht="13.5" thickBot="1" x14ac:dyDescent="0.25">
      <c r="A13" s="11">
        <v>5933</v>
      </c>
      <c r="B13" s="60" t="s">
        <v>1541</v>
      </c>
      <c r="C13" s="16">
        <f>ROUND((+C63*0.4),0)</f>
        <v>5658</v>
      </c>
      <c r="D13" s="16">
        <f t="shared" ref="D13:U13" si="7">ROUND((+D63*0.4),0)</f>
        <v>5891</v>
      </c>
      <c r="E13" s="16">
        <f t="shared" si="7"/>
        <v>6134</v>
      </c>
      <c r="F13" s="16">
        <f t="shared" si="7"/>
        <v>6387</v>
      </c>
      <c r="G13" s="16">
        <f t="shared" si="7"/>
        <v>6651</v>
      </c>
      <c r="H13" s="16">
        <f t="shared" si="7"/>
        <v>6925</v>
      </c>
      <c r="I13" s="16">
        <f t="shared" si="7"/>
        <v>7211</v>
      </c>
      <c r="J13" s="16">
        <f t="shared" si="7"/>
        <v>7508</v>
      </c>
      <c r="K13" s="16">
        <f t="shared" si="7"/>
        <v>7818</v>
      </c>
      <c r="L13" s="16">
        <f t="shared" si="7"/>
        <v>8140</v>
      </c>
      <c r="M13" s="16">
        <f t="shared" si="7"/>
        <v>8476</v>
      </c>
      <c r="N13" s="16">
        <f t="shared" si="7"/>
        <v>8826</v>
      </c>
      <c r="O13" s="16">
        <f t="shared" si="7"/>
        <v>9190</v>
      </c>
      <c r="P13" s="16">
        <f t="shared" si="7"/>
        <v>9569</v>
      </c>
      <c r="Q13" s="16">
        <f t="shared" si="7"/>
        <v>9964</v>
      </c>
      <c r="R13" s="16">
        <f t="shared" si="7"/>
        <v>10374</v>
      </c>
      <c r="S13" s="16">
        <f t="shared" si="7"/>
        <v>10802</v>
      </c>
      <c r="T13" s="16">
        <f t="shared" si="7"/>
        <v>11248</v>
      </c>
      <c r="U13" s="16">
        <f t="shared" si="7"/>
        <v>11712</v>
      </c>
      <c r="V13" s="16">
        <f t="shared" ref="V13:AC13" si="8">ROUND((+V63*0.4),0)</f>
        <v>12195</v>
      </c>
      <c r="W13" s="16">
        <f t="shared" si="8"/>
        <v>12698</v>
      </c>
      <c r="X13" s="16">
        <f t="shared" si="8"/>
        <v>13222</v>
      </c>
      <c r="Y13" s="16">
        <f t="shared" si="8"/>
        <v>13767</v>
      </c>
      <c r="Z13" s="16">
        <f t="shared" si="8"/>
        <v>14335</v>
      </c>
      <c r="AA13" s="16">
        <f t="shared" si="8"/>
        <v>14927</v>
      </c>
      <c r="AB13" s="16">
        <f t="shared" si="8"/>
        <v>15542</v>
      </c>
      <c r="AC13" s="16">
        <f t="shared" si="8"/>
        <v>16184</v>
      </c>
      <c r="AD13" s="16">
        <f t="shared" si="2"/>
        <v>16851</v>
      </c>
      <c r="AE13" s="16">
        <f t="shared" si="2"/>
        <v>17546</v>
      </c>
      <c r="AF13" s="16">
        <f t="shared" si="2"/>
        <v>18270</v>
      </c>
      <c r="AG13" s="16">
        <f t="shared" si="2"/>
        <v>19024</v>
      </c>
      <c r="AH13" s="16">
        <f t="shared" si="2"/>
        <v>19685</v>
      </c>
      <c r="AI13" s="16">
        <f t="shared" si="2"/>
        <v>0</v>
      </c>
      <c r="AJ13" s="16">
        <f t="shared" si="2"/>
        <v>0</v>
      </c>
    </row>
    <row r="14" spans="1:36" x14ac:dyDescent="0.2">
      <c r="A14" s="11"/>
      <c r="B14" s="17" t="s">
        <v>1534</v>
      </c>
      <c r="C14" s="19">
        <f>SUM(C9:C13)</f>
        <v>52047</v>
      </c>
      <c r="D14" s="19">
        <f t="shared" ref="D14:U14" si="9">SUM(D9:D13)</f>
        <v>53453</v>
      </c>
      <c r="E14" s="19">
        <f t="shared" si="9"/>
        <v>54901</v>
      </c>
      <c r="F14" s="19">
        <f t="shared" si="9"/>
        <v>56393</v>
      </c>
      <c r="G14" s="19">
        <f t="shared" si="9"/>
        <v>58925</v>
      </c>
      <c r="H14" s="19">
        <f t="shared" si="9"/>
        <v>59863</v>
      </c>
      <c r="I14" s="19">
        <f t="shared" si="9"/>
        <v>61159</v>
      </c>
      <c r="J14" s="19">
        <f t="shared" si="9"/>
        <v>64489</v>
      </c>
      <c r="K14" s="19">
        <f t="shared" si="9"/>
        <v>65854</v>
      </c>
      <c r="L14" s="19">
        <f t="shared" si="9"/>
        <v>67257</v>
      </c>
      <c r="M14" s="19">
        <f t="shared" si="9"/>
        <v>68698</v>
      </c>
      <c r="N14" s="19">
        <f t="shared" si="9"/>
        <v>48670</v>
      </c>
      <c r="O14" s="19">
        <f t="shared" si="9"/>
        <v>49714</v>
      </c>
      <c r="P14" s="19">
        <f t="shared" si="9"/>
        <v>50790</v>
      </c>
      <c r="Q14" s="19">
        <f t="shared" si="9"/>
        <v>53899</v>
      </c>
      <c r="R14" s="19">
        <f t="shared" si="9"/>
        <v>55041</v>
      </c>
      <c r="S14" s="19">
        <f t="shared" si="9"/>
        <v>56218</v>
      </c>
      <c r="T14" s="19">
        <f t="shared" si="9"/>
        <v>57432</v>
      </c>
      <c r="U14" s="19">
        <f t="shared" si="9"/>
        <v>58682</v>
      </c>
      <c r="V14" s="19">
        <f t="shared" ref="V14:AJ14" si="10">SUM(V9:V13)</f>
        <v>59971</v>
      </c>
      <c r="W14" s="19">
        <f t="shared" si="10"/>
        <v>61299</v>
      </c>
      <c r="X14" s="19">
        <f t="shared" si="10"/>
        <v>64668</v>
      </c>
      <c r="Y14" s="19">
        <f t="shared" si="10"/>
        <v>29767</v>
      </c>
      <c r="Z14" s="19">
        <f t="shared" si="10"/>
        <v>30335</v>
      </c>
      <c r="AA14" s="19">
        <f t="shared" si="10"/>
        <v>30927</v>
      </c>
      <c r="AB14" s="19">
        <f t="shared" si="10"/>
        <v>31542</v>
      </c>
      <c r="AC14" s="19">
        <f t="shared" si="10"/>
        <v>34184</v>
      </c>
      <c r="AD14" s="19">
        <f t="shared" si="10"/>
        <v>34851</v>
      </c>
      <c r="AE14" s="19">
        <f t="shared" si="10"/>
        <v>35546</v>
      </c>
      <c r="AF14" s="19">
        <f t="shared" si="10"/>
        <v>18270</v>
      </c>
      <c r="AG14" s="19">
        <f t="shared" si="10"/>
        <v>19024</v>
      </c>
      <c r="AH14" s="19">
        <f t="shared" si="10"/>
        <v>19685</v>
      </c>
      <c r="AI14" s="19">
        <f t="shared" si="10"/>
        <v>0</v>
      </c>
      <c r="AJ14" s="19">
        <f t="shared" si="10"/>
        <v>0</v>
      </c>
    </row>
    <row r="15" spans="1:36" x14ac:dyDescent="0.2">
      <c r="A15" s="11"/>
      <c r="B15" s="1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row>
    <row r="16" spans="1:36" x14ac:dyDescent="0.2">
      <c r="A16" s="11">
        <v>751</v>
      </c>
      <c r="B16" s="12" t="s">
        <v>1557</v>
      </c>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152"/>
      <c r="AE16" s="152"/>
      <c r="AF16" s="152"/>
      <c r="AG16" s="152"/>
      <c r="AH16" s="152"/>
      <c r="AI16" s="152"/>
      <c r="AJ16" s="152"/>
    </row>
    <row r="17" spans="1:36" x14ac:dyDescent="0.2">
      <c r="A17" s="11">
        <v>5930</v>
      </c>
      <c r="B17" s="60" t="s">
        <v>1538</v>
      </c>
      <c r="C17" s="14">
        <f t="shared" ref="C17:C22" si="11">ROUND((+C67*0.4),0)</f>
        <v>4408</v>
      </c>
      <c r="D17" s="14">
        <f t="shared" ref="D17:U17" si="12">ROUND((+D67*0.4),0)</f>
        <v>4266</v>
      </c>
      <c r="E17" s="14">
        <f t="shared" si="12"/>
        <v>3638</v>
      </c>
      <c r="F17" s="14">
        <f t="shared" si="12"/>
        <v>3241</v>
      </c>
      <c r="G17" s="14">
        <f t="shared" si="12"/>
        <v>2836</v>
      </c>
      <c r="H17" s="14">
        <f t="shared" si="12"/>
        <v>2424</v>
      </c>
      <c r="I17" s="14">
        <f t="shared" si="12"/>
        <v>2002</v>
      </c>
      <c r="J17" s="14">
        <f t="shared" si="12"/>
        <v>1572</v>
      </c>
      <c r="K17" s="14">
        <f t="shared" si="12"/>
        <v>1134</v>
      </c>
      <c r="L17" s="14">
        <f t="shared" si="12"/>
        <v>687</v>
      </c>
      <c r="M17" s="14">
        <f t="shared" si="12"/>
        <v>231</v>
      </c>
      <c r="N17" s="14">
        <f t="shared" si="12"/>
        <v>0</v>
      </c>
      <c r="O17" s="14">
        <f t="shared" si="12"/>
        <v>0</v>
      </c>
      <c r="P17" s="14">
        <f t="shared" si="12"/>
        <v>0</v>
      </c>
      <c r="Q17" s="14">
        <f t="shared" si="12"/>
        <v>0</v>
      </c>
      <c r="R17" s="14">
        <f t="shared" si="12"/>
        <v>0</v>
      </c>
      <c r="S17" s="14">
        <f t="shared" si="12"/>
        <v>0</v>
      </c>
      <c r="T17" s="14">
        <f t="shared" si="12"/>
        <v>0</v>
      </c>
      <c r="U17" s="14">
        <f t="shared" si="12"/>
        <v>0</v>
      </c>
      <c r="V17" s="14">
        <f t="shared" ref="V17:AC17" si="13">ROUND((+V67*0.4),0)</f>
        <v>0</v>
      </c>
      <c r="W17" s="14">
        <f t="shared" si="13"/>
        <v>0</v>
      </c>
      <c r="X17" s="14">
        <f t="shared" si="13"/>
        <v>0</v>
      </c>
      <c r="Y17" s="14">
        <f t="shared" si="13"/>
        <v>0</v>
      </c>
      <c r="Z17" s="14">
        <f t="shared" si="13"/>
        <v>0</v>
      </c>
      <c r="AA17" s="14">
        <f t="shared" si="13"/>
        <v>0</v>
      </c>
      <c r="AB17" s="14">
        <f t="shared" si="13"/>
        <v>0</v>
      </c>
      <c r="AC17" s="14">
        <f t="shared" si="13"/>
        <v>0</v>
      </c>
      <c r="AD17" s="14">
        <f t="shared" ref="AD17:AJ22" si="14">ROUND((+AD67*0.4),0)</f>
        <v>0</v>
      </c>
      <c r="AE17" s="14">
        <f t="shared" si="14"/>
        <v>0</v>
      </c>
      <c r="AF17" s="14">
        <f t="shared" si="14"/>
        <v>0</v>
      </c>
      <c r="AG17" s="14">
        <f t="shared" si="14"/>
        <v>0</v>
      </c>
      <c r="AH17" s="14">
        <f t="shared" si="14"/>
        <v>0</v>
      </c>
      <c r="AI17" s="14">
        <f t="shared" si="14"/>
        <v>0</v>
      </c>
      <c r="AJ17" s="14">
        <f t="shared" si="14"/>
        <v>0</v>
      </c>
    </row>
    <row r="18" spans="1:36" x14ac:dyDescent="0.2">
      <c r="A18" s="11" t="s">
        <v>1559</v>
      </c>
      <c r="B18" s="60" t="s">
        <v>1560</v>
      </c>
      <c r="C18" s="14">
        <f t="shared" si="11"/>
        <v>327</v>
      </c>
      <c r="D18" s="14">
        <f t="shared" ref="D18:U18" si="15">ROUND((+D68*0.4),0)</f>
        <v>302</v>
      </c>
      <c r="E18" s="14">
        <f t="shared" si="15"/>
        <v>273</v>
      </c>
      <c r="F18" s="14">
        <f t="shared" si="15"/>
        <v>243</v>
      </c>
      <c r="G18" s="14">
        <f t="shared" si="15"/>
        <v>213</v>
      </c>
      <c r="H18" s="14">
        <f t="shared" si="15"/>
        <v>182</v>
      </c>
      <c r="I18" s="14">
        <f t="shared" si="15"/>
        <v>150</v>
      </c>
      <c r="J18" s="14">
        <f t="shared" si="15"/>
        <v>118</v>
      </c>
      <c r="K18" s="14">
        <f t="shared" si="15"/>
        <v>85</v>
      </c>
      <c r="L18" s="14">
        <f t="shared" si="15"/>
        <v>52</v>
      </c>
      <c r="M18" s="14">
        <f t="shared" si="15"/>
        <v>178</v>
      </c>
      <c r="N18" s="14">
        <f t="shared" si="15"/>
        <v>0</v>
      </c>
      <c r="O18" s="14">
        <f t="shared" si="15"/>
        <v>0</v>
      </c>
      <c r="P18" s="14">
        <f t="shared" si="15"/>
        <v>0</v>
      </c>
      <c r="Q18" s="14">
        <f t="shared" si="15"/>
        <v>0</v>
      </c>
      <c r="R18" s="14">
        <f t="shared" si="15"/>
        <v>0</v>
      </c>
      <c r="S18" s="14">
        <f t="shared" si="15"/>
        <v>0</v>
      </c>
      <c r="T18" s="14">
        <f t="shared" si="15"/>
        <v>0</v>
      </c>
      <c r="U18" s="14">
        <f t="shared" si="15"/>
        <v>0</v>
      </c>
      <c r="V18" s="14">
        <f t="shared" ref="V18:AC18" si="16">ROUND((+V68*0.4),0)</f>
        <v>0</v>
      </c>
      <c r="W18" s="14">
        <f t="shared" si="16"/>
        <v>0</v>
      </c>
      <c r="X18" s="14">
        <f t="shared" si="16"/>
        <v>0</v>
      </c>
      <c r="Y18" s="14">
        <f t="shared" si="16"/>
        <v>0</v>
      </c>
      <c r="Z18" s="14">
        <f t="shared" si="16"/>
        <v>0</v>
      </c>
      <c r="AA18" s="14">
        <f t="shared" si="16"/>
        <v>0</v>
      </c>
      <c r="AB18" s="14">
        <f t="shared" si="16"/>
        <v>0</v>
      </c>
      <c r="AC18" s="14">
        <f t="shared" si="16"/>
        <v>0</v>
      </c>
      <c r="AD18" s="14">
        <f t="shared" si="14"/>
        <v>0</v>
      </c>
      <c r="AE18" s="14">
        <f t="shared" si="14"/>
        <v>0</v>
      </c>
      <c r="AF18" s="14">
        <f t="shared" si="14"/>
        <v>0</v>
      </c>
      <c r="AG18" s="14">
        <f t="shared" si="14"/>
        <v>0</v>
      </c>
      <c r="AH18" s="14">
        <f t="shared" si="14"/>
        <v>0</v>
      </c>
      <c r="AI18" s="14">
        <f t="shared" si="14"/>
        <v>0</v>
      </c>
      <c r="AJ18" s="14">
        <f t="shared" si="14"/>
        <v>0</v>
      </c>
    </row>
    <row r="19" spans="1:36" x14ac:dyDescent="0.2">
      <c r="A19" s="11">
        <v>5931</v>
      </c>
      <c r="B19" s="60" t="s">
        <v>1539</v>
      </c>
      <c r="C19" s="14">
        <f t="shared" si="11"/>
        <v>14524</v>
      </c>
      <c r="D19" s="14">
        <f t="shared" ref="D19:U19" si="17">ROUND((+D69*0.4),0)</f>
        <v>14054</v>
      </c>
      <c r="E19" s="14">
        <f t="shared" si="17"/>
        <v>13468</v>
      </c>
      <c r="F19" s="14">
        <f t="shared" si="17"/>
        <v>12921</v>
      </c>
      <c r="G19" s="14">
        <f t="shared" si="17"/>
        <v>12360</v>
      </c>
      <c r="H19" s="14">
        <f t="shared" si="17"/>
        <v>11785</v>
      </c>
      <c r="I19" s="14">
        <f t="shared" si="17"/>
        <v>11197</v>
      </c>
      <c r="J19" s="14">
        <f t="shared" si="17"/>
        <v>10594</v>
      </c>
      <c r="K19" s="14">
        <f t="shared" si="17"/>
        <v>9976</v>
      </c>
      <c r="L19" s="14">
        <f t="shared" si="17"/>
        <v>9343</v>
      </c>
      <c r="M19" s="14">
        <f t="shared" si="17"/>
        <v>8695</v>
      </c>
      <c r="N19" s="14">
        <f t="shared" si="17"/>
        <v>8030</v>
      </c>
      <c r="O19" s="14">
        <f t="shared" si="17"/>
        <v>7350</v>
      </c>
      <c r="P19" s="14">
        <f t="shared" si="17"/>
        <v>6653</v>
      </c>
      <c r="Q19" s="14">
        <f t="shared" si="17"/>
        <v>5939</v>
      </c>
      <c r="R19" s="14">
        <f t="shared" si="17"/>
        <v>5208</v>
      </c>
      <c r="S19" s="14">
        <f t="shared" si="17"/>
        <v>4458</v>
      </c>
      <c r="T19" s="14">
        <f t="shared" si="17"/>
        <v>3691</v>
      </c>
      <c r="U19" s="14">
        <f t="shared" si="17"/>
        <v>2904</v>
      </c>
      <c r="V19" s="14">
        <f t="shared" ref="V19:AC19" si="18">ROUND((+V69*0.4),0)</f>
        <v>2099</v>
      </c>
      <c r="W19" s="14">
        <f t="shared" si="18"/>
        <v>1274</v>
      </c>
      <c r="X19" s="14">
        <f t="shared" si="18"/>
        <v>428</v>
      </c>
      <c r="Y19" s="14">
        <f t="shared" si="18"/>
        <v>0</v>
      </c>
      <c r="Z19" s="14">
        <f t="shared" si="18"/>
        <v>0</v>
      </c>
      <c r="AA19" s="14">
        <f t="shared" si="18"/>
        <v>0</v>
      </c>
      <c r="AB19" s="14">
        <f t="shared" si="18"/>
        <v>0</v>
      </c>
      <c r="AC19" s="14">
        <f t="shared" si="18"/>
        <v>0</v>
      </c>
      <c r="AD19" s="14">
        <f t="shared" si="14"/>
        <v>0</v>
      </c>
      <c r="AE19" s="14">
        <f t="shared" si="14"/>
        <v>0</v>
      </c>
      <c r="AF19" s="14">
        <f t="shared" si="14"/>
        <v>0</v>
      </c>
      <c r="AG19" s="14">
        <f t="shared" si="14"/>
        <v>0</v>
      </c>
      <c r="AH19" s="14">
        <f t="shared" si="14"/>
        <v>0</v>
      </c>
      <c r="AI19" s="14">
        <f t="shared" si="14"/>
        <v>0</v>
      </c>
      <c r="AJ19" s="14">
        <f t="shared" si="14"/>
        <v>0</v>
      </c>
    </row>
    <row r="20" spans="1:36" x14ac:dyDescent="0.2">
      <c r="A20" s="11" t="s">
        <v>1561</v>
      </c>
      <c r="B20" s="60" t="s">
        <v>1562</v>
      </c>
      <c r="C20" s="14">
        <f t="shared" si="11"/>
        <v>903</v>
      </c>
      <c r="D20" s="14">
        <f t="shared" ref="D20:U20" si="19">ROUND((+D70*0.4),0)</f>
        <v>870</v>
      </c>
      <c r="E20" s="14">
        <f t="shared" si="19"/>
        <v>837</v>
      </c>
      <c r="F20" s="14">
        <f t="shared" si="19"/>
        <v>803</v>
      </c>
      <c r="G20" s="14">
        <f t="shared" si="19"/>
        <v>768</v>
      </c>
      <c r="H20" s="14">
        <f t="shared" si="19"/>
        <v>732</v>
      </c>
      <c r="I20" s="14">
        <f t="shared" si="19"/>
        <v>696</v>
      </c>
      <c r="J20" s="14">
        <f t="shared" si="19"/>
        <v>658</v>
      </c>
      <c r="K20" s="14">
        <f t="shared" si="19"/>
        <v>580</v>
      </c>
      <c r="L20" s="14">
        <f t="shared" si="19"/>
        <v>581</v>
      </c>
      <c r="M20" s="14">
        <f t="shared" si="19"/>
        <v>540</v>
      </c>
      <c r="N20" s="14">
        <f t="shared" si="19"/>
        <v>499</v>
      </c>
      <c r="O20" s="14">
        <f t="shared" si="19"/>
        <v>457</v>
      </c>
      <c r="P20" s="14">
        <f t="shared" si="19"/>
        <v>414</v>
      </c>
      <c r="Q20" s="14">
        <f t="shared" si="19"/>
        <v>369</v>
      </c>
      <c r="R20" s="14">
        <f t="shared" si="19"/>
        <v>324</v>
      </c>
      <c r="S20" s="14">
        <f t="shared" si="19"/>
        <v>277</v>
      </c>
      <c r="T20" s="14">
        <f t="shared" si="19"/>
        <v>230</v>
      </c>
      <c r="U20" s="14">
        <f t="shared" si="19"/>
        <v>181</v>
      </c>
      <c r="V20" s="14">
        <f t="shared" ref="V20:AC20" si="20">ROUND((+V70*0.4),0)</f>
        <v>131</v>
      </c>
      <c r="W20" s="14">
        <f t="shared" si="20"/>
        <v>79</v>
      </c>
      <c r="X20" s="14">
        <f t="shared" si="20"/>
        <v>27</v>
      </c>
      <c r="Y20" s="14">
        <f t="shared" si="20"/>
        <v>0</v>
      </c>
      <c r="Z20" s="14">
        <f t="shared" si="20"/>
        <v>0</v>
      </c>
      <c r="AA20" s="14">
        <f t="shared" si="20"/>
        <v>0</v>
      </c>
      <c r="AB20" s="14">
        <f t="shared" si="20"/>
        <v>0</v>
      </c>
      <c r="AC20" s="14">
        <f t="shared" si="20"/>
        <v>0</v>
      </c>
      <c r="AD20" s="14">
        <f t="shared" si="14"/>
        <v>0</v>
      </c>
      <c r="AE20" s="14">
        <f t="shared" si="14"/>
        <v>0</v>
      </c>
      <c r="AF20" s="14">
        <f t="shared" si="14"/>
        <v>0</v>
      </c>
      <c r="AG20" s="14">
        <f t="shared" si="14"/>
        <v>0</v>
      </c>
      <c r="AH20" s="14">
        <f t="shared" si="14"/>
        <v>0</v>
      </c>
      <c r="AI20" s="14">
        <f t="shared" si="14"/>
        <v>0</v>
      </c>
      <c r="AJ20" s="14">
        <f t="shared" si="14"/>
        <v>0</v>
      </c>
    </row>
    <row r="21" spans="1:36" s="335" customFormat="1" x14ac:dyDescent="0.2">
      <c r="A21" s="622">
        <v>5932</v>
      </c>
      <c r="B21" s="613" t="s">
        <v>1540</v>
      </c>
      <c r="C21" s="610">
        <f t="shared" si="11"/>
        <v>16130</v>
      </c>
      <c r="D21" s="610">
        <f t="shared" ref="D21:U21" si="21">ROUND((+D71*0.4),0)</f>
        <v>15860</v>
      </c>
      <c r="E21" s="610">
        <f t="shared" si="21"/>
        <v>15578</v>
      </c>
      <c r="F21" s="610">
        <f t="shared" si="21"/>
        <v>15283</v>
      </c>
      <c r="G21" s="610">
        <f t="shared" si="21"/>
        <v>10765</v>
      </c>
      <c r="H21" s="610">
        <f t="shared" si="21"/>
        <v>10103</v>
      </c>
      <c r="I21" s="610">
        <f t="shared" si="21"/>
        <v>9703</v>
      </c>
      <c r="J21" s="610">
        <f t="shared" si="21"/>
        <v>9303</v>
      </c>
      <c r="K21" s="610">
        <f t="shared" si="21"/>
        <v>8803</v>
      </c>
      <c r="L21" s="610">
        <f t="shared" si="21"/>
        <v>8303</v>
      </c>
      <c r="M21" s="610">
        <f t="shared" si="21"/>
        <v>7803</v>
      </c>
      <c r="N21" s="610">
        <f t="shared" si="21"/>
        <v>7303</v>
      </c>
      <c r="O21" s="610">
        <f t="shared" si="21"/>
        <v>6703</v>
      </c>
      <c r="P21" s="610">
        <f t="shared" si="21"/>
        <v>6103</v>
      </c>
      <c r="Q21" s="610">
        <f t="shared" si="21"/>
        <v>5503</v>
      </c>
      <c r="R21" s="610">
        <f t="shared" si="21"/>
        <v>5223</v>
      </c>
      <c r="S21" s="610">
        <f t="shared" si="21"/>
        <v>4943</v>
      </c>
      <c r="T21" s="610">
        <f t="shared" si="21"/>
        <v>4663</v>
      </c>
      <c r="U21" s="610">
        <f t="shared" si="21"/>
        <v>4365</v>
      </c>
      <c r="V21" s="610">
        <f t="shared" ref="V21:AC21" si="22">ROUND((+V71*0.4),0)</f>
        <v>4068</v>
      </c>
      <c r="W21" s="610">
        <f t="shared" si="22"/>
        <v>3753</v>
      </c>
      <c r="X21" s="610">
        <f t="shared" si="22"/>
        <v>3420</v>
      </c>
      <c r="Y21" s="610">
        <f t="shared" si="22"/>
        <v>3040</v>
      </c>
      <c r="Z21" s="610">
        <f t="shared" si="22"/>
        <v>2660</v>
      </c>
      <c r="AA21" s="610">
        <f t="shared" si="22"/>
        <v>2260</v>
      </c>
      <c r="AB21" s="610">
        <f t="shared" si="22"/>
        <v>1860</v>
      </c>
      <c r="AC21" s="610">
        <f t="shared" si="22"/>
        <v>1440</v>
      </c>
      <c r="AD21" s="610">
        <f t="shared" si="14"/>
        <v>968</v>
      </c>
      <c r="AE21" s="610">
        <f t="shared" si="14"/>
        <v>495</v>
      </c>
      <c r="AF21" s="610">
        <f t="shared" si="14"/>
        <v>0</v>
      </c>
      <c r="AG21" s="610">
        <f t="shared" si="14"/>
        <v>0</v>
      </c>
      <c r="AH21" s="610">
        <f t="shared" si="14"/>
        <v>0</v>
      </c>
      <c r="AI21" s="610">
        <f t="shared" si="14"/>
        <v>0</v>
      </c>
      <c r="AJ21" s="610">
        <f t="shared" si="14"/>
        <v>0</v>
      </c>
    </row>
    <row r="22" spans="1:36" ht="13.5" thickBot="1" x14ac:dyDescent="0.25">
      <c r="A22" s="11">
        <v>5933</v>
      </c>
      <c r="B22" s="60" t="s">
        <v>1541</v>
      </c>
      <c r="C22" s="16">
        <f t="shared" si="11"/>
        <v>14962</v>
      </c>
      <c r="D22" s="16">
        <f t="shared" ref="D22:U22" si="23">ROUND((+D72*0.4),0)</f>
        <v>14729</v>
      </c>
      <c r="E22" s="16">
        <f t="shared" si="23"/>
        <v>14486</v>
      </c>
      <c r="F22" s="16">
        <f t="shared" si="23"/>
        <v>14233</v>
      </c>
      <c r="G22" s="16">
        <f t="shared" si="23"/>
        <v>13970</v>
      </c>
      <c r="H22" s="16">
        <f t="shared" si="23"/>
        <v>13695</v>
      </c>
      <c r="I22" s="16">
        <f t="shared" si="23"/>
        <v>13410</v>
      </c>
      <c r="J22" s="16">
        <f t="shared" si="23"/>
        <v>13112</v>
      </c>
      <c r="K22" s="16">
        <f t="shared" si="23"/>
        <v>12802</v>
      </c>
      <c r="L22" s="16">
        <f t="shared" si="23"/>
        <v>12480</v>
      </c>
      <c r="M22" s="16">
        <f t="shared" si="23"/>
        <v>12144</v>
      </c>
      <c r="N22" s="16">
        <f t="shared" si="23"/>
        <v>11795</v>
      </c>
      <c r="O22" s="16">
        <f t="shared" si="23"/>
        <v>11431</v>
      </c>
      <c r="P22" s="16">
        <f t="shared" si="23"/>
        <v>11052</v>
      </c>
      <c r="Q22" s="16">
        <f t="shared" si="23"/>
        <v>10657</v>
      </c>
      <c r="R22" s="16">
        <f t="shared" si="23"/>
        <v>10246</v>
      </c>
      <c r="S22" s="16">
        <f t="shared" si="23"/>
        <v>9818</v>
      </c>
      <c r="T22" s="16">
        <f t="shared" si="23"/>
        <v>9372</v>
      </c>
      <c r="U22" s="16">
        <f t="shared" si="23"/>
        <v>8908</v>
      </c>
      <c r="V22" s="16">
        <f t="shared" ref="V22:AC22" si="24">ROUND((+V72*0.4),0)</f>
        <v>8425</v>
      </c>
      <c r="W22" s="16">
        <f t="shared" si="24"/>
        <v>7922</v>
      </c>
      <c r="X22" s="16">
        <f t="shared" si="24"/>
        <v>7398</v>
      </c>
      <c r="Y22" s="16">
        <f t="shared" si="24"/>
        <v>6853</v>
      </c>
      <c r="Z22" s="16">
        <f t="shared" si="24"/>
        <v>6285</v>
      </c>
      <c r="AA22" s="16">
        <f t="shared" si="24"/>
        <v>5694</v>
      </c>
      <c r="AB22" s="16">
        <f t="shared" si="24"/>
        <v>5078</v>
      </c>
      <c r="AC22" s="16">
        <f t="shared" si="24"/>
        <v>4437</v>
      </c>
      <c r="AD22" s="16">
        <f t="shared" si="14"/>
        <v>3769</v>
      </c>
      <c r="AE22" s="16">
        <f t="shared" si="14"/>
        <v>3074</v>
      </c>
      <c r="AF22" s="16">
        <f t="shared" si="14"/>
        <v>1150</v>
      </c>
      <c r="AG22" s="16">
        <f t="shared" si="14"/>
        <v>1597</v>
      </c>
      <c r="AH22" s="16">
        <f t="shared" si="14"/>
        <v>812</v>
      </c>
      <c r="AI22" s="16">
        <f t="shared" si="14"/>
        <v>0</v>
      </c>
      <c r="AJ22" s="16">
        <f t="shared" si="14"/>
        <v>0</v>
      </c>
    </row>
    <row r="23" spans="1:36" x14ac:dyDescent="0.2">
      <c r="A23" s="11"/>
      <c r="B23" s="12"/>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row>
    <row r="24" spans="1:36" x14ac:dyDescent="0.2">
      <c r="A24" s="11"/>
      <c r="B24" s="17" t="s">
        <v>1557</v>
      </c>
      <c r="C24" s="19">
        <f>SUM(C16:C23)</f>
        <v>51254</v>
      </c>
      <c r="D24" s="19">
        <f t="shared" ref="D24:U24" si="25">SUM(D16:D23)</f>
        <v>50081</v>
      </c>
      <c r="E24" s="19">
        <f t="shared" si="25"/>
        <v>48280</v>
      </c>
      <c r="F24" s="19">
        <f t="shared" si="25"/>
        <v>46724</v>
      </c>
      <c r="G24" s="19">
        <f t="shared" si="25"/>
        <v>40912</v>
      </c>
      <c r="H24" s="19">
        <f t="shared" si="25"/>
        <v>38921</v>
      </c>
      <c r="I24" s="19">
        <f t="shared" si="25"/>
        <v>37158</v>
      </c>
      <c r="J24" s="19">
        <f t="shared" si="25"/>
        <v>35357</v>
      </c>
      <c r="K24" s="19">
        <f t="shared" si="25"/>
        <v>33380</v>
      </c>
      <c r="L24" s="19">
        <f t="shared" si="25"/>
        <v>31446</v>
      </c>
      <c r="M24" s="19">
        <f t="shared" si="25"/>
        <v>29591</v>
      </c>
      <c r="N24" s="19">
        <f t="shared" si="25"/>
        <v>27627</v>
      </c>
      <c r="O24" s="19">
        <f t="shared" si="25"/>
        <v>25941</v>
      </c>
      <c r="P24" s="19">
        <f t="shared" si="25"/>
        <v>24222</v>
      </c>
      <c r="Q24" s="19">
        <f t="shared" si="25"/>
        <v>22468</v>
      </c>
      <c r="R24" s="19">
        <f t="shared" si="25"/>
        <v>21001</v>
      </c>
      <c r="S24" s="19">
        <f t="shared" si="25"/>
        <v>19496</v>
      </c>
      <c r="T24" s="19">
        <f t="shared" si="25"/>
        <v>17956</v>
      </c>
      <c r="U24" s="19">
        <f t="shared" si="25"/>
        <v>16358</v>
      </c>
      <c r="V24" s="19">
        <f t="shared" ref="V24:AJ24" si="26">SUM(V16:V23)</f>
        <v>14723</v>
      </c>
      <c r="W24" s="19">
        <f t="shared" si="26"/>
        <v>13028</v>
      </c>
      <c r="X24" s="19">
        <f t="shared" si="26"/>
        <v>11273</v>
      </c>
      <c r="Y24" s="19">
        <f t="shared" si="26"/>
        <v>9893</v>
      </c>
      <c r="Z24" s="19">
        <f t="shared" si="26"/>
        <v>8945</v>
      </c>
      <c r="AA24" s="19">
        <f t="shared" si="26"/>
        <v>7954</v>
      </c>
      <c r="AB24" s="19">
        <f t="shared" si="26"/>
        <v>6938</v>
      </c>
      <c r="AC24" s="19">
        <f t="shared" si="26"/>
        <v>5877</v>
      </c>
      <c r="AD24" s="19">
        <f t="shared" si="26"/>
        <v>4737</v>
      </c>
      <c r="AE24" s="19">
        <f t="shared" si="26"/>
        <v>3569</v>
      </c>
      <c r="AF24" s="19">
        <f t="shared" si="26"/>
        <v>1150</v>
      </c>
      <c r="AG24" s="19">
        <f t="shared" si="26"/>
        <v>1597</v>
      </c>
      <c r="AH24" s="19">
        <f t="shared" si="26"/>
        <v>812</v>
      </c>
      <c r="AI24" s="19">
        <f t="shared" si="26"/>
        <v>0</v>
      </c>
      <c r="AJ24" s="19">
        <f t="shared" si="26"/>
        <v>0</v>
      </c>
    </row>
    <row r="25" spans="1:36" x14ac:dyDescent="0.2">
      <c r="A25" s="11"/>
      <c r="B25" s="17"/>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row>
    <row r="26" spans="1:36" x14ac:dyDescent="0.2">
      <c r="A26" s="11"/>
      <c r="B26" s="12" t="s">
        <v>1954</v>
      </c>
      <c r="C26" s="14">
        <f>+C24+C14</f>
        <v>103301</v>
      </c>
      <c r="D26" s="14">
        <f t="shared" ref="D26:U26" si="27">+D24+D14</f>
        <v>103534</v>
      </c>
      <c r="E26" s="14">
        <f t="shared" si="27"/>
        <v>103181</v>
      </c>
      <c r="F26" s="14">
        <f t="shared" si="27"/>
        <v>103117</v>
      </c>
      <c r="G26" s="14">
        <f t="shared" si="27"/>
        <v>99837</v>
      </c>
      <c r="H26" s="14">
        <f t="shared" si="27"/>
        <v>98784</v>
      </c>
      <c r="I26" s="14">
        <f t="shared" si="27"/>
        <v>98317</v>
      </c>
      <c r="J26" s="14">
        <f t="shared" si="27"/>
        <v>99846</v>
      </c>
      <c r="K26" s="14">
        <f t="shared" si="27"/>
        <v>99234</v>
      </c>
      <c r="L26" s="14">
        <f t="shared" si="27"/>
        <v>98703</v>
      </c>
      <c r="M26" s="14">
        <f t="shared" si="27"/>
        <v>98289</v>
      </c>
      <c r="N26" s="14">
        <f t="shared" si="27"/>
        <v>76297</v>
      </c>
      <c r="O26" s="14">
        <f t="shared" si="27"/>
        <v>75655</v>
      </c>
      <c r="P26" s="14">
        <f t="shared" si="27"/>
        <v>75012</v>
      </c>
      <c r="Q26" s="14">
        <f t="shared" si="27"/>
        <v>76367</v>
      </c>
      <c r="R26" s="14">
        <f t="shared" si="27"/>
        <v>76042</v>
      </c>
      <c r="S26" s="14">
        <f t="shared" si="27"/>
        <v>75714</v>
      </c>
      <c r="T26" s="14">
        <f t="shared" si="27"/>
        <v>75388</v>
      </c>
      <c r="U26" s="14">
        <f t="shared" si="27"/>
        <v>75040</v>
      </c>
      <c r="V26" s="14">
        <f t="shared" ref="V26:AC26" si="28">+V24+V14</f>
        <v>74694</v>
      </c>
      <c r="W26" s="14">
        <f t="shared" si="28"/>
        <v>74327</v>
      </c>
      <c r="X26" s="14">
        <f t="shared" si="28"/>
        <v>75941</v>
      </c>
      <c r="Y26" s="14">
        <f t="shared" si="28"/>
        <v>39660</v>
      </c>
      <c r="Z26" s="14">
        <f t="shared" si="28"/>
        <v>39280</v>
      </c>
      <c r="AA26" s="14">
        <f t="shared" si="28"/>
        <v>38881</v>
      </c>
      <c r="AB26" s="14">
        <f t="shared" si="28"/>
        <v>38480</v>
      </c>
      <c r="AC26" s="14">
        <f t="shared" si="28"/>
        <v>40061</v>
      </c>
      <c r="AD26" s="14">
        <f t="shared" ref="AD26:AJ26" si="29">+AD24+AD14</f>
        <v>39588</v>
      </c>
      <c r="AE26" s="14">
        <f t="shared" si="29"/>
        <v>39115</v>
      </c>
      <c r="AF26" s="14">
        <f t="shared" si="29"/>
        <v>19420</v>
      </c>
      <c r="AG26" s="14">
        <f t="shared" si="29"/>
        <v>20621</v>
      </c>
      <c r="AH26" s="14">
        <f t="shared" si="29"/>
        <v>20497</v>
      </c>
      <c r="AI26" s="14">
        <f t="shared" si="29"/>
        <v>0</v>
      </c>
      <c r="AJ26" s="14">
        <f t="shared" si="29"/>
        <v>0</v>
      </c>
    </row>
    <row r="28" spans="1:36" ht="13.5" thickBot="1" x14ac:dyDescent="0.25"/>
    <row r="29" spans="1:36" ht="13.5" thickTop="1" x14ac:dyDescent="0.2">
      <c r="A29" s="5"/>
      <c r="B29" s="6"/>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row>
    <row r="30" spans="1:36" x14ac:dyDescent="0.2">
      <c r="A30" s="81"/>
      <c r="B30" s="74" t="s">
        <v>1955</v>
      </c>
      <c r="C30" s="45" t="s">
        <v>567</v>
      </c>
      <c r="D30" s="45" t="s">
        <v>568</v>
      </c>
      <c r="E30" s="45" t="s">
        <v>569</v>
      </c>
      <c r="F30" s="45" t="s">
        <v>570</v>
      </c>
      <c r="G30" s="45" t="s">
        <v>275</v>
      </c>
      <c r="H30" s="45" t="s">
        <v>276</v>
      </c>
      <c r="I30" s="45" t="s">
        <v>277</v>
      </c>
      <c r="J30" s="45" t="s">
        <v>571</v>
      </c>
      <c r="K30" s="45" t="s">
        <v>1508</v>
      </c>
      <c r="L30" s="45" t="s">
        <v>1509</v>
      </c>
      <c r="M30" s="45" t="s">
        <v>1510</v>
      </c>
      <c r="N30" s="45" t="s">
        <v>1511</v>
      </c>
      <c r="O30" s="45" t="s">
        <v>1512</v>
      </c>
      <c r="P30" s="45" t="s">
        <v>1513</v>
      </c>
      <c r="Q30" s="45" t="s">
        <v>1514</v>
      </c>
      <c r="R30" s="45" t="s">
        <v>1515</v>
      </c>
      <c r="S30" s="45" t="s">
        <v>1516</v>
      </c>
      <c r="T30" s="45" t="s">
        <v>1517</v>
      </c>
      <c r="U30" s="45" t="s">
        <v>1518</v>
      </c>
      <c r="V30" s="45" t="s">
        <v>1519</v>
      </c>
      <c r="W30" s="45" t="s">
        <v>1520</v>
      </c>
      <c r="X30" s="45" t="s">
        <v>1521</v>
      </c>
      <c r="Y30" s="45" t="s">
        <v>1522</v>
      </c>
      <c r="Z30" s="45" t="s">
        <v>1523</v>
      </c>
      <c r="AA30" s="45" t="s">
        <v>1524</v>
      </c>
      <c r="AB30" s="45" t="s">
        <v>1525</v>
      </c>
      <c r="AC30" s="45" t="s">
        <v>1526</v>
      </c>
      <c r="AD30" s="45" t="s">
        <v>1527</v>
      </c>
      <c r="AE30" s="45" t="s">
        <v>1528</v>
      </c>
      <c r="AF30" s="45" t="s">
        <v>1529</v>
      </c>
      <c r="AG30" s="45" t="s">
        <v>1530</v>
      </c>
      <c r="AH30" s="45" t="s">
        <v>1531</v>
      </c>
      <c r="AI30" s="45" t="s">
        <v>1532</v>
      </c>
      <c r="AJ30" s="45" t="s">
        <v>1533</v>
      </c>
    </row>
    <row r="31" spans="1:36" x14ac:dyDescent="0.2">
      <c r="A31" s="81"/>
      <c r="B31" s="74"/>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row>
    <row r="32" spans="1:36" ht="13.5" thickBot="1" x14ac:dyDescent="0.25">
      <c r="A32" s="8" t="s">
        <v>825</v>
      </c>
      <c r="B32" s="78"/>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row>
    <row r="33" spans="1:36" ht="13.5" thickTop="1" x14ac:dyDescent="0.2">
      <c r="A33" s="26"/>
      <c r="B33" s="27"/>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row>
    <row r="34" spans="1:36" x14ac:dyDescent="0.2">
      <c r="A34" s="11">
        <v>710</v>
      </c>
      <c r="B34" s="12" t="s">
        <v>1534</v>
      </c>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row>
    <row r="35" spans="1:36" x14ac:dyDescent="0.2">
      <c r="A35" s="11">
        <v>5930</v>
      </c>
      <c r="B35" s="102" t="s">
        <v>1538</v>
      </c>
      <c r="C35" s="14">
        <f>+C60-C10</f>
        <v>28298</v>
      </c>
      <c r="D35" s="14">
        <f t="shared" ref="D35:U35" si="30">+D60-D10</f>
        <v>28869</v>
      </c>
      <c r="E35" s="14">
        <f t="shared" si="30"/>
        <v>29452</v>
      </c>
      <c r="F35" s="14">
        <f t="shared" si="30"/>
        <v>30047</v>
      </c>
      <c r="G35" s="14">
        <f t="shared" si="30"/>
        <v>31141</v>
      </c>
      <c r="H35" s="14">
        <f t="shared" si="30"/>
        <v>31274</v>
      </c>
      <c r="I35" s="14">
        <f t="shared" si="30"/>
        <v>31906</v>
      </c>
      <c r="J35" s="14">
        <f t="shared" si="30"/>
        <v>32550</v>
      </c>
      <c r="K35" s="14">
        <f t="shared" si="30"/>
        <v>33208</v>
      </c>
      <c r="L35" s="14">
        <f t="shared" si="30"/>
        <v>33878</v>
      </c>
      <c r="M35" s="14">
        <f t="shared" si="30"/>
        <v>34563</v>
      </c>
      <c r="N35" s="14">
        <f t="shared" si="30"/>
        <v>0</v>
      </c>
      <c r="O35" s="14">
        <f t="shared" si="30"/>
        <v>0</v>
      </c>
      <c r="P35" s="14">
        <f t="shared" si="30"/>
        <v>0</v>
      </c>
      <c r="Q35" s="14">
        <f t="shared" si="30"/>
        <v>0</v>
      </c>
      <c r="R35" s="14">
        <f t="shared" si="30"/>
        <v>0</v>
      </c>
      <c r="S35" s="14">
        <f t="shared" si="30"/>
        <v>0</v>
      </c>
      <c r="T35" s="14">
        <f t="shared" si="30"/>
        <v>0</v>
      </c>
      <c r="U35" s="14">
        <f t="shared" si="30"/>
        <v>0</v>
      </c>
      <c r="V35" s="14">
        <f t="shared" ref="V35:AC35" si="31">+V60-V10</f>
        <v>0</v>
      </c>
      <c r="W35" s="14">
        <f t="shared" si="31"/>
        <v>0</v>
      </c>
      <c r="X35" s="14">
        <f t="shared" si="31"/>
        <v>0</v>
      </c>
      <c r="Y35" s="14">
        <f t="shared" si="31"/>
        <v>0</v>
      </c>
      <c r="Z35" s="14">
        <f t="shared" si="31"/>
        <v>0</v>
      </c>
      <c r="AA35" s="14">
        <f t="shared" si="31"/>
        <v>0</v>
      </c>
      <c r="AB35" s="14">
        <f t="shared" si="31"/>
        <v>0</v>
      </c>
      <c r="AC35" s="14">
        <f t="shared" si="31"/>
        <v>0</v>
      </c>
      <c r="AD35" s="14">
        <f t="shared" ref="AD35:AJ38" si="32">+AD60-AD10</f>
        <v>0</v>
      </c>
      <c r="AE35" s="14">
        <f t="shared" si="32"/>
        <v>0</v>
      </c>
      <c r="AF35" s="14">
        <f t="shared" si="32"/>
        <v>0</v>
      </c>
      <c r="AG35" s="14">
        <f t="shared" si="32"/>
        <v>0</v>
      </c>
      <c r="AH35" s="14">
        <f t="shared" si="32"/>
        <v>0</v>
      </c>
      <c r="AI35" s="14">
        <f t="shared" si="32"/>
        <v>0</v>
      </c>
      <c r="AJ35" s="14">
        <f t="shared" si="32"/>
        <v>0</v>
      </c>
    </row>
    <row r="36" spans="1:36" x14ac:dyDescent="0.2">
      <c r="A36" s="11">
        <v>5931</v>
      </c>
      <c r="B36" s="60" t="s">
        <v>1539</v>
      </c>
      <c r="C36" s="14">
        <f>+C61-C11</f>
        <v>32025</v>
      </c>
      <c r="D36" s="14">
        <f t="shared" ref="D36:U36" si="33">+D61-D11</f>
        <v>32807</v>
      </c>
      <c r="E36" s="14">
        <f t="shared" si="33"/>
        <v>33610</v>
      </c>
      <c r="F36" s="14">
        <f t="shared" si="33"/>
        <v>34430</v>
      </c>
      <c r="G36" s="14">
        <f t="shared" si="33"/>
        <v>35272</v>
      </c>
      <c r="H36" s="14">
        <f t="shared" si="33"/>
        <v>36134</v>
      </c>
      <c r="I36" s="14">
        <f t="shared" si="33"/>
        <v>37016</v>
      </c>
      <c r="J36" s="14">
        <f t="shared" si="33"/>
        <v>37921</v>
      </c>
      <c r="K36" s="14">
        <f t="shared" si="33"/>
        <v>38848</v>
      </c>
      <c r="L36" s="14">
        <f t="shared" si="33"/>
        <v>39797</v>
      </c>
      <c r="M36" s="14">
        <f t="shared" si="33"/>
        <v>40769</v>
      </c>
      <c r="N36" s="14">
        <f t="shared" si="33"/>
        <v>41765</v>
      </c>
      <c r="O36" s="14">
        <f t="shared" si="33"/>
        <v>42786</v>
      </c>
      <c r="P36" s="14">
        <f t="shared" si="33"/>
        <v>43832</v>
      </c>
      <c r="Q36" s="14">
        <f t="shared" si="33"/>
        <v>44903</v>
      </c>
      <c r="R36" s="14">
        <f t="shared" si="33"/>
        <v>46000</v>
      </c>
      <c r="S36" s="14">
        <f t="shared" si="33"/>
        <v>47124</v>
      </c>
      <c r="T36" s="14">
        <f t="shared" si="33"/>
        <v>48275</v>
      </c>
      <c r="U36" s="14">
        <f t="shared" si="33"/>
        <v>49455</v>
      </c>
      <c r="V36" s="14">
        <f t="shared" ref="V36:AC36" si="34">+V61-V11</f>
        <v>50663</v>
      </c>
      <c r="W36" s="14">
        <f t="shared" si="34"/>
        <v>51901</v>
      </c>
      <c r="X36" s="14">
        <f t="shared" si="34"/>
        <v>53170</v>
      </c>
      <c r="Y36" s="14">
        <f t="shared" si="34"/>
        <v>0</v>
      </c>
      <c r="Z36" s="14">
        <f t="shared" si="34"/>
        <v>0</v>
      </c>
      <c r="AA36" s="14">
        <f t="shared" si="34"/>
        <v>0</v>
      </c>
      <c r="AB36" s="14">
        <f t="shared" si="34"/>
        <v>0</v>
      </c>
      <c r="AC36" s="14">
        <f t="shared" si="34"/>
        <v>0</v>
      </c>
      <c r="AD36" s="14">
        <f t="shared" si="32"/>
        <v>0</v>
      </c>
      <c r="AE36" s="14">
        <f t="shared" si="32"/>
        <v>0</v>
      </c>
      <c r="AF36" s="14">
        <f t="shared" si="32"/>
        <v>0</v>
      </c>
      <c r="AG36" s="14">
        <f t="shared" si="32"/>
        <v>0</v>
      </c>
      <c r="AH36" s="14">
        <f t="shared" si="32"/>
        <v>0</v>
      </c>
      <c r="AI36" s="14">
        <f t="shared" si="32"/>
        <v>0</v>
      </c>
      <c r="AJ36" s="14">
        <f t="shared" si="32"/>
        <v>0</v>
      </c>
    </row>
    <row r="37" spans="1:36" x14ac:dyDescent="0.2">
      <c r="A37" s="11">
        <v>5932</v>
      </c>
      <c r="B37" s="60" t="s">
        <v>1540</v>
      </c>
      <c r="C37" s="14">
        <f>+C62-C12</f>
        <v>9260</v>
      </c>
      <c r="D37" s="14">
        <f t="shared" ref="D37:U37" si="35">+D62-D12</f>
        <v>9665</v>
      </c>
      <c r="E37" s="14">
        <f t="shared" si="35"/>
        <v>10088</v>
      </c>
      <c r="F37" s="14">
        <f t="shared" si="35"/>
        <v>10530</v>
      </c>
      <c r="G37" s="14">
        <f t="shared" si="35"/>
        <v>12000</v>
      </c>
      <c r="H37" s="14">
        <f t="shared" si="35"/>
        <v>12000</v>
      </c>
      <c r="I37" s="14">
        <f t="shared" si="35"/>
        <v>12000</v>
      </c>
      <c r="J37" s="14">
        <f t="shared" si="35"/>
        <v>15000</v>
      </c>
      <c r="K37" s="14">
        <f t="shared" si="35"/>
        <v>15000</v>
      </c>
      <c r="L37" s="14">
        <f t="shared" si="35"/>
        <v>15000</v>
      </c>
      <c r="M37" s="14">
        <f t="shared" si="35"/>
        <v>15000</v>
      </c>
      <c r="N37" s="14">
        <f t="shared" si="35"/>
        <v>18000</v>
      </c>
      <c r="O37" s="14">
        <f t="shared" si="35"/>
        <v>18000</v>
      </c>
      <c r="P37" s="14">
        <f t="shared" si="35"/>
        <v>18000</v>
      </c>
      <c r="Q37" s="14">
        <f t="shared" si="35"/>
        <v>21000</v>
      </c>
      <c r="R37" s="14">
        <f t="shared" si="35"/>
        <v>21000</v>
      </c>
      <c r="S37" s="14">
        <f t="shared" si="35"/>
        <v>21000</v>
      </c>
      <c r="T37" s="14">
        <f t="shared" si="35"/>
        <v>21000</v>
      </c>
      <c r="U37" s="14">
        <f t="shared" si="35"/>
        <v>21000</v>
      </c>
      <c r="V37" s="14">
        <f t="shared" ref="V37:AC37" si="36">+V62-V12</f>
        <v>21000</v>
      </c>
      <c r="W37" s="14">
        <f t="shared" si="36"/>
        <v>21000</v>
      </c>
      <c r="X37" s="14">
        <f t="shared" si="36"/>
        <v>24000</v>
      </c>
      <c r="Y37" s="14">
        <f t="shared" si="36"/>
        <v>24000</v>
      </c>
      <c r="Z37" s="14">
        <f t="shared" si="36"/>
        <v>24000</v>
      </c>
      <c r="AA37" s="14">
        <f t="shared" si="36"/>
        <v>24000</v>
      </c>
      <c r="AB37" s="14">
        <f t="shared" si="36"/>
        <v>24000</v>
      </c>
      <c r="AC37" s="14">
        <f t="shared" si="36"/>
        <v>27000</v>
      </c>
      <c r="AD37" s="14">
        <f t="shared" si="32"/>
        <v>27000</v>
      </c>
      <c r="AE37" s="14">
        <f t="shared" si="32"/>
        <v>27000</v>
      </c>
      <c r="AF37" s="14">
        <f t="shared" si="32"/>
        <v>0</v>
      </c>
      <c r="AG37" s="14">
        <f t="shared" si="32"/>
        <v>0</v>
      </c>
      <c r="AH37" s="14">
        <f t="shared" si="32"/>
        <v>0</v>
      </c>
      <c r="AI37" s="14">
        <f t="shared" si="32"/>
        <v>0</v>
      </c>
      <c r="AJ37" s="14">
        <f t="shared" si="32"/>
        <v>0</v>
      </c>
    </row>
    <row r="38" spans="1:36" ht="13.5" thickBot="1" x14ac:dyDescent="0.25">
      <c r="A38" s="11">
        <v>5933</v>
      </c>
      <c r="B38" s="60" t="s">
        <v>1541</v>
      </c>
      <c r="C38" s="16">
        <f>+C63-C13</f>
        <v>8487</v>
      </c>
      <c r="D38" s="16">
        <f t="shared" ref="D38:U38" si="37">+D63-D13</f>
        <v>8837</v>
      </c>
      <c r="E38" s="16">
        <f t="shared" si="37"/>
        <v>9202</v>
      </c>
      <c r="F38" s="16">
        <f t="shared" si="37"/>
        <v>9581</v>
      </c>
      <c r="G38" s="16">
        <f t="shared" si="37"/>
        <v>9976</v>
      </c>
      <c r="H38" s="16">
        <f t="shared" si="37"/>
        <v>10388</v>
      </c>
      <c r="I38" s="16">
        <f t="shared" si="37"/>
        <v>10816</v>
      </c>
      <c r="J38" s="16">
        <f t="shared" si="37"/>
        <v>11262</v>
      </c>
      <c r="K38" s="16">
        <f t="shared" si="37"/>
        <v>11727</v>
      </c>
      <c r="L38" s="16">
        <f t="shared" si="37"/>
        <v>12211</v>
      </c>
      <c r="M38" s="16">
        <f t="shared" si="37"/>
        <v>12714</v>
      </c>
      <c r="N38" s="16">
        <f t="shared" si="37"/>
        <v>13238</v>
      </c>
      <c r="O38" s="16">
        <f t="shared" si="37"/>
        <v>13784</v>
      </c>
      <c r="P38" s="16">
        <f t="shared" si="37"/>
        <v>14353</v>
      </c>
      <c r="Q38" s="16">
        <f t="shared" si="37"/>
        <v>14945</v>
      </c>
      <c r="R38" s="16">
        <f t="shared" si="37"/>
        <v>15562</v>
      </c>
      <c r="S38" s="16">
        <f t="shared" si="37"/>
        <v>16204</v>
      </c>
      <c r="T38" s="16">
        <f t="shared" si="37"/>
        <v>16872</v>
      </c>
      <c r="U38" s="16">
        <f t="shared" si="37"/>
        <v>17568</v>
      </c>
      <c r="V38" s="16">
        <f t="shared" ref="V38:AC38" si="38">+V63-V13</f>
        <v>18293</v>
      </c>
      <c r="W38" s="16">
        <f t="shared" si="38"/>
        <v>19048</v>
      </c>
      <c r="X38" s="16">
        <f t="shared" si="38"/>
        <v>19833</v>
      </c>
      <c r="Y38" s="16">
        <f t="shared" si="38"/>
        <v>20651</v>
      </c>
      <c r="Z38" s="16">
        <f t="shared" si="38"/>
        <v>21503</v>
      </c>
      <c r="AA38" s="16">
        <f t="shared" si="38"/>
        <v>22390</v>
      </c>
      <c r="AB38" s="16">
        <f t="shared" si="38"/>
        <v>23314</v>
      </c>
      <c r="AC38" s="16">
        <f t="shared" si="38"/>
        <v>24275</v>
      </c>
      <c r="AD38" s="16">
        <f t="shared" si="32"/>
        <v>25277</v>
      </c>
      <c r="AE38" s="16">
        <f t="shared" si="32"/>
        <v>26319</v>
      </c>
      <c r="AF38" s="16">
        <f t="shared" si="32"/>
        <v>27405</v>
      </c>
      <c r="AG38" s="16">
        <f t="shared" si="32"/>
        <v>28535</v>
      </c>
      <c r="AH38" s="16">
        <f t="shared" si="32"/>
        <v>29528</v>
      </c>
      <c r="AI38" s="16">
        <f t="shared" si="32"/>
        <v>0</v>
      </c>
      <c r="AJ38" s="16">
        <f t="shared" si="32"/>
        <v>0</v>
      </c>
    </row>
    <row r="39" spans="1:36" x14ac:dyDescent="0.2">
      <c r="A39" s="11"/>
      <c r="B39" s="17" t="s">
        <v>1534</v>
      </c>
      <c r="C39" s="19">
        <f>SUM(C34:C38)</f>
        <v>78070</v>
      </c>
      <c r="D39" s="19">
        <f t="shared" ref="D39:U39" si="39">SUM(D34:D38)</f>
        <v>80178</v>
      </c>
      <c r="E39" s="19">
        <f t="shared" si="39"/>
        <v>82352</v>
      </c>
      <c r="F39" s="19">
        <f t="shared" si="39"/>
        <v>84588</v>
      </c>
      <c r="G39" s="19">
        <f t="shared" si="39"/>
        <v>88389</v>
      </c>
      <c r="H39" s="19">
        <f t="shared" si="39"/>
        <v>89796</v>
      </c>
      <c r="I39" s="19">
        <f t="shared" si="39"/>
        <v>91738</v>
      </c>
      <c r="J39" s="19">
        <f t="shared" si="39"/>
        <v>96733</v>
      </c>
      <c r="K39" s="19">
        <f t="shared" si="39"/>
        <v>98783</v>
      </c>
      <c r="L39" s="19">
        <f t="shared" si="39"/>
        <v>100886</v>
      </c>
      <c r="M39" s="19">
        <f t="shared" si="39"/>
        <v>103046</v>
      </c>
      <c r="N39" s="19">
        <f t="shared" si="39"/>
        <v>73003</v>
      </c>
      <c r="O39" s="19">
        <f t="shared" si="39"/>
        <v>74570</v>
      </c>
      <c r="P39" s="19">
        <f t="shared" si="39"/>
        <v>76185</v>
      </c>
      <c r="Q39" s="19">
        <f t="shared" si="39"/>
        <v>80848</v>
      </c>
      <c r="R39" s="19">
        <f t="shared" si="39"/>
        <v>82562</v>
      </c>
      <c r="S39" s="19">
        <f t="shared" si="39"/>
        <v>84328</v>
      </c>
      <c r="T39" s="19">
        <f t="shared" si="39"/>
        <v>86147</v>
      </c>
      <c r="U39" s="19">
        <f t="shared" si="39"/>
        <v>88023</v>
      </c>
      <c r="V39" s="19">
        <f t="shared" ref="V39:AJ39" si="40">SUM(V34:V38)</f>
        <v>89956</v>
      </c>
      <c r="W39" s="19">
        <f t="shared" si="40"/>
        <v>91949</v>
      </c>
      <c r="X39" s="19">
        <f t="shared" si="40"/>
        <v>97003</v>
      </c>
      <c r="Y39" s="19">
        <f t="shared" si="40"/>
        <v>44651</v>
      </c>
      <c r="Z39" s="19">
        <f t="shared" si="40"/>
        <v>45503</v>
      </c>
      <c r="AA39" s="19">
        <f t="shared" si="40"/>
        <v>46390</v>
      </c>
      <c r="AB39" s="19">
        <f t="shared" si="40"/>
        <v>47314</v>
      </c>
      <c r="AC39" s="19">
        <f t="shared" si="40"/>
        <v>51275</v>
      </c>
      <c r="AD39" s="19">
        <f t="shared" si="40"/>
        <v>52277</v>
      </c>
      <c r="AE39" s="19">
        <f t="shared" si="40"/>
        <v>53319</v>
      </c>
      <c r="AF39" s="19">
        <f t="shared" si="40"/>
        <v>27405</v>
      </c>
      <c r="AG39" s="19">
        <f t="shared" si="40"/>
        <v>28535</v>
      </c>
      <c r="AH39" s="19">
        <f t="shared" si="40"/>
        <v>29528</v>
      </c>
      <c r="AI39" s="19">
        <f t="shared" si="40"/>
        <v>0</v>
      </c>
      <c r="AJ39" s="19">
        <f t="shared" si="40"/>
        <v>0</v>
      </c>
    </row>
    <row r="40" spans="1:36" x14ac:dyDescent="0.2">
      <c r="A40" s="11"/>
      <c r="B40" s="12"/>
      <c r="C40" s="152"/>
      <c r="D40" s="152"/>
      <c r="E40" s="152"/>
      <c r="F40" s="152"/>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152"/>
      <c r="AI40" s="152"/>
      <c r="AJ40" s="152"/>
    </row>
    <row r="41" spans="1:36" x14ac:dyDescent="0.2">
      <c r="A41" s="11">
        <v>751</v>
      </c>
      <c r="B41" s="12" t="s">
        <v>1557</v>
      </c>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row>
    <row r="42" spans="1:36" x14ac:dyDescent="0.2">
      <c r="A42" s="11">
        <v>5930</v>
      </c>
      <c r="B42" s="60" t="s">
        <v>1538</v>
      </c>
      <c r="C42" s="14">
        <f t="shared" ref="C42:C47" si="41">+C67-C17</f>
        <v>6611</v>
      </c>
      <c r="D42" s="14">
        <f t="shared" ref="D42:U42" si="42">+D67-D17</f>
        <v>6400</v>
      </c>
      <c r="E42" s="14">
        <f t="shared" si="42"/>
        <v>5456</v>
      </c>
      <c r="F42" s="14">
        <f t="shared" si="42"/>
        <v>4861</v>
      </c>
      <c r="G42" s="14">
        <f t="shared" si="42"/>
        <v>4255</v>
      </c>
      <c r="H42" s="14">
        <f t="shared" si="42"/>
        <v>3635</v>
      </c>
      <c r="I42" s="14">
        <f t="shared" si="42"/>
        <v>3004</v>
      </c>
      <c r="J42" s="14">
        <f t="shared" si="42"/>
        <v>2359</v>
      </c>
      <c r="K42" s="14">
        <f t="shared" si="42"/>
        <v>1701</v>
      </c>
      <c r="L42" s="14">
        <f t="shared" si="42"/>
        <v>1030</v>
      </c>
      <c r="M42" s="14">
        <f t="shared" si="42"/>
        <v>346</v>
      </c>
      <c r="N42" s="14">
        <f t="shared" si="42"/>
        <v>0</v>
      </c>
      <c r="O42" s="14">
        <f t="shared" si="42"/>
        <v>0</v>
      </c>
      <c r="P42" s="14">
        <f t="shared" si="42"/>
        <v>0</v>
      </c>
      <c r="Q42" s="14">
        <f t="shared" si="42"/>
        <v>0</v>
      </c>
      <c r="R42" s="14">
        <f t="shared" si="42"/>
        <v>0</v>
      </c>
      <c r="S42" s="14">
        <f t="shared" si="42"/>
        <v>0</v>
      </c>
      <c r="T42" s="14">
        <f t="shared" si="42"/>
        <v>0</v>
      </c>
      <c r="U42" s="14">
        <f t="shared" si="42"/>
        <v>0</v>
      </c>
      <c r="V42" s="14">
        <f t="shared" ref="V42:AC42" si="43">+V67-V17</f>
        <v>0</v>
      </c>
      <c r="W42" s="14">
        <f t="shared" si="43"/>
        <v>0</v>
      </c>
      <c r="X42" s="14">
        <f t="shared" si="43"/>
        <v>0</v>
      </c>
      <c r="Y42" s="14">
        <f t="shared" si="43"/>
        <v>0</v>
      </c>
      <c r="Z42" s="14">
        <f t="shared" si="43"/>
        <v>0</v>
      </c>
      <c r="AA42" s="14">
        <f t="shared" si="43"/>
        <v>0</v>
      </c>
      <c r="AB42" s="14">
        <f t="shared" si="43"/>
        <v>0</v>
      </c>
      <c r="AC42" s="14">
        <f t="shared" si="43"/>
        <v>0</v>
      </c>
      <c r="AD42" s="14">
        <f t="shared" ref="AD42:AJ47" si="44">+AD67-AD17</f>
        <v>0</v>
      </c>
      <c r="AE42" s="14">
        <f t="shared" si="44"/>
        <v>0</v>
      </c>
      <c r="AF42" s="14">
        <f t="shared" si="44"/>
        <v>0</v>
      </c>
      <c r="AG42" s="14">
        <f t="shared" si="44"/>
        <v>0</v>
      </c>
      <c r="AH42" s="14">
        <f t="shared" si="44"/>
        <v>0</v>
      </c>
      <c r="AI42" s="14">
        <f t="shared" si="44"/>
        <v>0</v>
      </c>
      <c r="AJ42" s="14">
        <f t="shared" si="44"/>
        <v>0</v>
      </c>
    </row>
    <row r="43" spans="1:36" x14ac:dyDescent="0.2">
      <c r="A43" s="11" t="s">
        <v>1559</v>
      </c>
      <c r="B43" s="60" t="s">
        <v>1560</v>
      </c>
      <c r="C43" s="14">
        <f t="shared" si="41"/>
        <v>490</v>
      </c>
      <c r="D43" s="14">
        <f t="shared" ref="D43:U43" si="45">+D68-D18</f>
        <v>453</v>
      </c>
      <c r="E43" s="14">
        <f t="shared" si="45"/>
        <v>410</v>
      </c>
      <c r="F43" s="14">
        <f t="shared" si="45"/>
        <v>365</v>
      </c>
      <c r="G43" s="14">
        <f t="shared" si="45"/>
        <v>319</v>
      </c>
      <c r="H43" s="14">
        <f t="shared" si="45"/>
        <v>273</v>
      </c>
      <c r="I43" s="14">
        <f t="shared" si="45"/>
        <v>226</v>
      </c>
      <c r="J43" s="14">
        <f t="shared" si="45"/>
        <v>177</v>
      </c>
      <c r="K43" s="14">
        <f t="shared" si="45"/>
        <v>128</v>
      </c>
      <c r="L43" s="14">
        <f t="shared" si="45"/>
        <v>77</v>
      </c>
      <c r="M43" s="14">
        <f t="shared" si="45"/>
        <v>266</v>
      </c>
      <c r="N43" s="14">
        <f t="shared" si="45"/>
        <v>0</v>
      </c>
      <c r="O43" s="14">
        <f t="shared" si="45"/>
        <v>0</v>
      </c>
      <c r="P43" s="14">
        <f t="shared" si="45"/>
        <v>0</v>
      </c>
      <c r="Q43" s="14">
        <f t="shared" si="45"/>
        <v>0</v>
      </c>
      <c r="R43" s="14">
        <f t="shared" si="45"/>
        <v>0</v>
      </c>
      <c r="S43" s="14">
        <f t="shared" si="45"/>
        <v>0</v>
      </c>
      <c r="T43" s="14">
        <f t="shared" si="45"/>
        <v>0</v>
      </c>
      <c r="U43" s="14">
        <f t="shared" si="45"/>
        <v>0</v>
      </c>
      <c r="V43" s="14">
        <f t="shared" ref="V43:AC43" si="46">+V68-V18</f>
        <v>0</v>
      </c>
      <c r="W43" s="14">
        <f t="shared" si="46"/>
        <v>0</v>
      </c>
      <c r="X43" s="14">
        <f t="shared" si="46"/>
        <v>0</v>
      </c>
      <c r="Y43" s="14">
        <f t="shared" si="46"/>
        <v>0</v>
      </c>
      <c r="Z43" s="14">
        <f t="shared" si="46"/>
        <v>0</v>
      </c>
      <c r="AA43" s="14">
        <f t="shared" si="46"/>
        <v>0</v>
      </c>
      <c r="AB43" s="14">
        <f t="shared" si="46"/>
        <v>0</v>
      </c>
      <c r="AC43" s="14">
        <f t="shared" si="46"/>
        <v>0</v>
      </c>
      <c r="AD43" s="14">
        <f t="shared" si="44"/>
        <v>0</v>
      </c>
      <c r="AE43" s="14">
        <f t="shared" si="44"/>
        <v>0</v>
      </c>
      <c r="AF43" s="14">
        <f t="shared" si="44"/>
        <v>0</v>
      </c>
      <c r="AG43" s="14">
        <f t="shared" si="44"/>
        <v>0</v>
      </c>
      <c r="AH43" s="14">
        <f t="shared" si="44"/>
        <v>0</v>
      </c>
      <c r="AI43" s="14">
        <f t="shared" si="44"/>
        <v>0</v>
      </c>
      <c r="AJ43" s="14">
        <f t="shared" si="44"/>
        <v>0</v>
      </c>
    </row>
    <row r="44" spans="1:36" x14ac:dyDescent="0.2">
      <c r="A44" s="11">
        <v>5931</v>
      </c>
      <c r="B44" s="60" t="s">
        <v>1539</v>
      </c>
      <c r="C44" s="14">
        <f t="shared" si="41"/>
        <v>21787</v>
      </c>
      <c r="D44" s="14">
        <f t="shared" ref="D44:U44" si="47">+D69-D19</f>
        <v>21081</v>
      </c>
      <c r="E44" s="14">
        <f t="shared" si="47"/>
        <v>20202</v>
      </c>
      <c r="F44" s="14">
        <f t="shared" si="47"/>
        <v>19381</v>
      </c>
      <c r="G44" s="14">
        <f t="shared" si="47"/>
        <v>18540</v>
      </c>
      <c r="H44" s="14">
        <f t="shared" si="47"/>
        <v>17678</v>
      </c>
      <c r="I44" s="14">
        <f t="shared" si="47"/>
        <v>16795</v>
      </c>
      <c r="J44" s="14">
        <f t="shared" si="47"/>
        <v>15890</v>
      </c>
      <c r="K44" s="14">
        <f t="shared" si="47"/>
        <v>14964</v>
      </c>
      <c r="L44" s="14">
        <f t="shared" si="47"/>
        <v>14015</v>
      </c>
      <c r="M44" s="14">
        <f t="shared" si="47"/>
        <v>13042</v>
      </c>
      <c r="N44" s="14">
        <f t="shared" si="47"/>
        <v>12046.119999999999</v>
      </c>
      <c r="O44" s="14">
        <f t="shared" si="47"/>
        <v>11026</v>
      </c>
      <c r="P44" s="14">
        <f t="shared" si="47"/>
        <v>9980</v>
      </c>
      <c r="Q44" s="14">
        <f t="shared" si="47"/>
        <v>8909</v>
      </c>
      <c r="R44" s="14">
        <f t="shared" si="47"/>
        <v>7812</v>
      </c>
      <c r="S44" s="14">
        <f t="shared" si="47"/>
        <v>6688</v>
      </c>
      <c r="T44" s="14">
        <f t="shared" si="47"/>
        <v>5536</v>
      </c>
      <c r="U44" s="14">
        <f t="shared" si="47"/>
        <v>4357</v>
      </c>
      <c r="V44" s="14">
        <f t="shared" ref="V44:AC44" si="48">+V69-V19</f>
        <v>3148</v>
      </c>
      <c r="W44" s="14">
        <f t="shared" si="48"/>
        <v>1910</v>
      </c>
      <c r="X44" s="14">
        <f t="shared" si="48"/>
        <v>642</v>
      </c>
      <c r="Y44" s="14">
        <f t="shared" si="48"/>
        <v>0</v>
      </c>
      <c r="Z44" s="14">
        <f t="shared" si="48"/>
        <v>0</v>
      </c>
      <c r="AA44" s="14">
        <f t="shared" si="48"/>
        <v>0</v>
      </c>
      <c r="AB44" s="14">
        <f t="shared" si="48"/>
        <v>0</v>
      </c>
      <c r="AC44" s="14">
        <f t="shared" si="48"/>
        <v>0</v>
      </c>
      <c r="AD44" s="14">
        <f t="shared" si="44"/>
        <v>0</v>
      </c>
      <c r="AE44" s="14">
        <f t="shared" si="44"/>
        <v>0</v>
      </c>
      <c r="AF44" s="14">
        <f t="shared" si="44"/>
        <v>0</v>
      </c>
      <c r="AG44" s="14">
        <f t="shared" si="44"/>
        <v>0</v>
      </c>
      <c r="AH44" s="14">
        <f t="shared" si="44"/>
        <v>0</v>
      </c>
      <c r="AI44" s="14">
        <f t="shared" si="44"/>
        <v>0</v>
      </c>
      <c r="AJ44" s="14">
        <f t="shared" si="44"/>
        <v>0</v>
      </c>
    </row>
    <row r="45" spans="1:36" x14ac:dyDescent="0.2">
      <c r="A45" s="11" t="s">
        <v>1561</v>
      </c>
      <c r="B45" s="60" t="s">
        <v>1562</v>
      </c>
      <c r="C45" s="14">
        <f t="shared" si="41"/>
        <v>1354</v>
      </c>
      <c r="D45" s="14">
        <f t="shared" ref="D45:U45" si="49">+D70-D20</f>
        <v>1306</v>
      </c>
      <c r="E45" s="14">
        <f t="shared" si="49"/>
        <v>1256</v>
      </c>
      <c r="F45" s="14">
        <f t="shared" si="49"/>
        <v>1205</v>
      </c>
      <c r="G45" s="14">
        <f t="shared" si="49"/>
        <v>1152</v>
      </c>
      <c r="H45" s="14">
        <f t="shared" si="49"/>
        <v>1099</v>
      </c>
      <c r="I45" s="14">
        <f t="shared" si="49"/>
        <v>1044</v>
      </c>
      <c r="J45" s="14">
        <f t="shared" si="49"/>
        <v>988</v>
      </c>
      <c r="K45" s="14">
        <f t="shared" si="49"/>
        <v>870</v>
      </c>
      <c r="L45" s="14">
        <f t="shared" si="49"/>
        <v>871</v>
      </c>
      <c r="M45" s="14">
        <f t="shared" si="49"/>
        <v>811</v>
      </c>
      <c r="N45" s="14">
        <f t="shared" si="49"/>
        <v>749</v>
      </c>
      <c r="O45" s="14">
        <f t="shared" si="49"/>
        <v>685</v>
      </c>
      <c r="P45" s="14">
        <f t="shared" si="49"/>
        <v>620</v>
      </c>
      <c r="Q45" s="14">
        <f t="shared" si="49"/>
        <v>554</v>
      </c>
      <c r="R45" s="14">
        <f t="shared" si="49"/>
        <v>485</v>
      </c>
      <c r="S45" s="14">
        <f t="shared" si="49"/>
        <v>416</v>
      </c>
      <c r="T45" s="14">
        <f t="shared" si="49"/>
        <v>344</v>
      </c>
      <c r="U45" s="14">
        <f t="shared" si="49"/>
        <v>271</v>
      </c>
      <c r="V45" s="14">
        <f t="shared" ref="V45:AC45" si="50">+V70-V20</f>
        <v>196</v>
      </c>
      <c r="W45" s="14">
        <f t="shared" si="50"/>
        <v>119</v>
      </c>
      <c r="X45" s="14">
        <f t="shared" si="50"/>
        <v>40</v>
      </c>
      <c r="Y45" s="14">
        <f t="shared" si="50"/>
        <v>0</v>
      </c>
      <c r="Z45" s="14">
        <f t="shared" si="50"/>
        <v>0</v>
      </c>
      <c r="AA45" s="14">
        <f t="shared" si="50"/>
        <v>0</v>
      </c>
      <c r="AB45" s="14">
        <f t="shared" si="50"/>
        <v>0</v>
      </c>
      <c r="AC45" s="14">
        <f t="shared" si="50"/>
        <v>0</v>
      </c>
      <c r="AD45" s="14">
        <f t="shared" si="44"/>
        <v>0</v>
      </c>
      <c r="AE45" s="14">
        <f t="shared" si="44"/>
        <v>0</v>
      </c>
      <c r="AF45" s="14">
        <f t="shared" si="44"/>
        <v>0</v>
      </c>
      <c r="AG45" s="14">
        <f t="shared" si="44"/>
        <v>0</v>
      </c>
      <c r="AH45" s="14">
        <f t="shared" si="44"/>
        <v>0</v>
      </c>
      <c r="AI45" s="14">
        <f t="shared" si="44"/>
        <v>0</v>
      </c>
      <c r="AJ45" s="14">
        <f t="shared" si="44"/>
        <v>0</v>
      </c>
    </row>
    <row r="46" spans="1:36" x14ac:dyDescent="0.2">
      <c r="A46" s="11">
        <v>5932</v>
      </c>
      <c r="B46" s="60" t="s">
        <v>1540</v>
      </c>
      <c r="C46" s="14">
        <f t="shared" si="41"/>
        <v>24194</v>
      </c>
      <c r="D46" s="14">
        <f t="shared" ref="D46:U46" si="51">+D71-D21</f>
        <v>23789</v>
      </c>
      <c r="E46" s="14">
        <f t="shared" si="51"/>
        <v>23366</v>
      </c>
      <c r="F46" s="14">
        <f t="shared" si="51"/>
        <v>22925</v>
      </c>
      <c r="G46" s="14">
        <f t="shared" si="51"/>
        <v>16148</v>
      </c>
      <c r="H46" s="14">
        <f t="shared" si="51"/>
        <v>15154</v>
      </c>
      <c r="I46" s="14">
        <f t="shared" si="51"/>
        <v>14554</v>
      </c>
      <c r="J46" s="14">
        <f t="shared" si="51"/>
        <v>13954</v>
      </c>
      <c r="K46" s="14">
        <f t="shared" si="51"/>
        <v>13204</v>
      </c>
      <c r="L46" s="14">
        <f t="shared" si="51"/>
        <v>12454</v>
      </c>
      <c r="M46" s="14">
        <f t="shared" si="51"/>
        <v>11704</v>
      </c>
      <c r="N46" s="14">
        <f t="shared" si="51"/>
        <v>10954</v>
      </c>
      <c r="O46" s="14">
        <f t="shared" si="51"/>
        <v>10054</v>
      </c>
      <c r="P46" s="14">
        <f t="shared" si="51"/>
        <v>9154</v>
      </c>
      <c r="Q46" s="14">
        <f t="shared" si="51"/>
        <v>8254</v>
      </c>
      <c r="R46" s="14">
        <f t="shared" si="51"/>
        <v>7834</v>
      </c>
      <c r="S46" s="14">
        <f t="shared" si="51"/>
        <v>7414</v>
      </c>
      <c r="T46" s="14">
        <f t="shared" si="51"/>
        <v>6994</v>
      </c>
      <c r="U46" s="14">
        <f t="shared" si="51"/>
        <v>6548</v>
      </c>
      <c r="V46" s="14">
        <f t="shared" ref="V46:AC46" si="52">+V71-V21</f>
        <v>6101</v>
      </c>
      <c r="W46" s="14">
        <f t="shared" si="52"/>
        <v>5629</v>
      </c>
      <c r="X46" s="14">
        <f t="shared" si="52"/>
        <v>5130</v>
      </c>
      <c r="Y46" s="14">
        <f t="shared" si="52"/>
        <v>4560</v>
      </c>
      <c r="Z46" s="14">
        <f t="shared" si="52"/>
        <v>3990</v>
      </c>
      <c r="AA46" s="14">
        <f t="shared" si="52"/>
        <v>3390</v>
      </c>
      <c r="AB46" s="14">
        <f t="shared" si="52"/>
        <v>2790</v>
      </c>
      <c r="AC46" s="14">
        <f t="shared" si="52"/>
        <v>2160</v>
      </c>
      <c r="AD46" s="14">
        <f t="shared" si="44"/>
        <v>1451</v>
      </c>
      <c r="AE46" s="14">
        <f t="shared" si="44"/>
        <v>743</v>
      </c>
      <c r="AF46" s="14">
        <f t="shared" si="44"/>
        <v>0</v>
      </c>
      <c r="AG46" s="14">
        <f t="shared" si="44"/>
        <v>0</v>
      </c>
      <c r="AH46" s="14">
        <f t="shared" si="44"/>
        <v>0</v>
      </c>
      <c r="AI46" s="14">
        <f t="shared" si="44"/>
        <v>0</v>
      </c>
      <c r="AJ46" s="14">
        <f t="shared" si="44"/>
        <v>0</v>
      </c>
    </row>
    <row r="47" spans="1:36" ht="13.5" thickBot="1" x14ac:dyDescent="0.25">
      <c r="A47" s="11">
        <v>5933</v>
      </c>
      <c r="B47" s="60" t="s">
        <v>1541</v>
      </c>
      <c r="C47" s="16">
        <f t="shared" si="41"/>
        <v>22444</v>
      </c>
      <c r="D47" s="16">
        <f t="shared" ref="D47:U47" si="53">+D72-D22</f>
        <v>22094</v>
      </c>
      <c r="E47" s="16">
        <f t="shared" si="53"/>
        <v>21729</v>
      </c>
      <c r="F47" s="16">
        <f t="shared" si="53"/>
        <v>21350</v>
      </c>
      <c r="G47" s="16">
        <f t="shared" si="53"/>
        <v>20954</v>
      </c>
      <c r="H47" s="16">
        <f t="shared" si="53"/>
        <v>20543</v>
      </c>
      <c r="I47" s="16">
        <f t="shared" si="53"/>
        <v>20114</v>
      </c>
      <c r="J47" s="16">
        <f t="shared" si="53"/>
        <v>19669</v>
      </c>
      <c r="K47" s="16">
        <f t="shared" si="53"/>
        <v>19204</v>
      </c>
      <c r="L47" s="16">
        <f t="shared" si="53"/>
        <v>18720</v>
      </c>
      <c r="M47" s="16">
        <f t="shared" si="53"/>
        <v>18217</v>
      </c>
      <c r="N47" s="16">
        <f t="shared" si="53"/>
        <v>17692</v>
      </c>
      <c r="O47" s="16">
        <f t="shared" si="53"/>
        <v>17146</v>
      </c>
      <c r="P47" s="16">
        <f t="shared" si="53"/>
        <v>16577</v>
      </c>
      <c r="Q47" s="16">
        <f t="shared" si="53"/>
        <v>15985</v>
      </c>
      <c r="R47" s="16">
        <f t="shared" si="53"/>
        <v>15369</v>
      </c>
      <c r="S47" s="16">
        <f t="shared" si="53"/>
        <v>14727</v>
      </c>
      <c r="T47" s="16">
        <f t="shared" si="53"/>
        <v>14059</v>
      </c>
      <c r="U47" s="16">
        <f t="shared" si="53"/>
        <v>13363</v>
      </c>
      <c r="V47" s="16">
        <f t="shared" ref="V47:AC47" si="54">+V72-V22</f>
        <v>12638</v>
      </c>
      <c r="W47" s="16">
        <f t="shared" si="54"/>
        <v>11883</v>
      </c>
      <c r="X47" s="16">
        <f t="shared" si="54"/>
        <v>11098</v>
      </c>
      <c r="Y47" s="16">
        <f t="shared" si="54"/>
        <v>10280</v>
      </c>
      <c r="Z47" s="16">
        <f t="shared" si="54"/>
        <v>9428</v>
      </c>
      <c r="AA47" s="16">
        <f t="shared" si="54"/>
        <v>8540</v>
      </c>
      <c r="AB47" s="16">
        <f t="shared" si="54"/>
        <v>7617</v>
      </c>
      <c r="AC47" s="16">
        <f t="shared" si="54"/>
        <v>6655</v>
      </c>
      <c r="AD47" s="16">
        <f t="shared" si="44"/>
        <v>5654</v>
      </c>
      <c r="AE47" s="16">
        <f t="shared" si="44"/>
        <v>4612</v>
      </c>
      <c r="AF47" s="16">
        <f t="shared" si="44"/>
        <v>1726</v>
      </c>
      <c r="AG47" s="16">
        <f t="shared" si="44"/>
        <v>2395</v>
      </c>
      <c r="AH47" s="16">
        <f t="shared" si="44"/>
        <v>1218</v>
      </c>
      <c r="AI47" s="16">
        <f t="shared" si="44"/>
        <v>0</v>
      </c>
      <c r="AJ47" s="16">
        <f t="shared" si="44"/>
        <v>0</v>
      </c>
    </row>
    <row r="48" spans="1:36" x14ac:dyDescent="0.2">
      <c r="A48" s="11"/>
      <c r="B48" s="12"/>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row>
    <row r="49" spans="1:36" x14ac:dyDescent="0.2">
      <c r="A49" s="11"/>
      <c r="B49" s="17" t="s">
        <v>1557</v>
      </c>
      <c r="C49" s="19">
        <f>SUM(C41:C48)</f>
        <v>76880</v>
      </c>
      <c r="D49" s="19">
        <f t="shared" ref="D49:U49" si="55">SUM(D41:D48)</f>
        <v>75123</v>
      </c>
      <c r="E49" s="19">
        <f t="shared" si="55"/>
        <v>72419</v>
      </c>
      <c r="F49" s="19">
        <f t="shared" si="55"/>
        <v>70087</v>
      </c>
      <c r="G49" s="19">
        <f t="shared" si="55"/>
        <v>61368</v>
      </c>
      <c r="H49" s="19">
        <f t="shared" si="55"/>
        <v>58382</v>
      </c>
      <c r="I49" s="19">
        <f t="shared" si="55"/>
        <v>55737</v>
      </c>
      <c r="J49" s="19">
        <f t="shared" si="55"/>
        <v>53037</v>
      </c>
      <c r="K49" s="19">
        <f t="shared" si="55"/>
        <v>50071</v>
      </c>
      <c r="L49" s="19">
        <f t="shared" si="55"/>
        <v>47167</v>
      </c>
      <c r="M49" s="19">
        <f t="shared" si="55"/>
        <v>44386</v>
      </c>
      <c r="N49" s="19">
        <f t="shared" si="55"/>
        <v>41441.119999999995</v>
      </c>
      <c r="O49" s="19">
        <f t="shared" si="55"/>
        <v>38911</v>
      </c>
      <c r="P49" s="19">
        <f t="shared" si="55"/>
        <v>36331</v>
      </c>
      <c r="Q49" s="19">
        <f t="shared" si="55"/>
        <v>33702</v>
      </c>
      <c r="R49" s="19">
        <f t="shared" si="55"/>
        <v>31500</v>
      </c>
      <c r="S49" s="19">
        <f t="shared" si="55"/>
        <v>29245</v>
      </c>
      <c r="T49" s="19">
        <f t="shared" si="55"/>
        <v>26933</v>
      </c>
      <c r="U49" s="19">
        <f t="shared" si="55"/>
        <v>24539</v>
      </c>
      <c r="V49" s="19">
        <f t="shared" ref="V49:AJ49" si="56">SUM(V41:V48)</f>
        <v>22083</v>
      </c>
      <c r="W49" s="19">
        <f t="shared" si="56"/>
        <v>19541</v>
      </c>
      <c r="X49" s="19">
        <f t="shared" si="56"/>
        <v>16910</v>
      </c>
      <c r="Y49" s="19">
        <f t="shared" si="56"/>
        <v>14840</v>
      </c>
      <c r="Z49" s="19">
        <f t="shared" si="56"/>
        <v>13418</v>
      </c>
      <c r="AA49" s="19">
        <f t="shared" si="56"/>
        <v>11930</v>
      </c>
      <c r="AB49" s="19">
        <f t="shared" si="56"/>
        <v>10407</v>
      </c>
      <c r="AC49" s="19">
        <f t="shared" si="56"/>
        <v>8815</v>
      </c>
      <c r="AD49" s="19">
        <f t="shared" si="56"/>
        <v>7105</v>
      </c>
      <c r="AE49" s="19">
        <f t="shared" si="56"/>
        <v>5355</v>
      </c>
      <c r="AF49" s="19">
        <f t="shared" si="56"/>
        <v>1726</v>
      </c>
      <c r="AG49" s="19">
        <f t="shared" si="56"/>
        <v>2395</v>
      </c>
      <c r="AH49" s="19">
        <f t="shared" si="56"/>
        <v>1218</v>
      </c>
      <c r="AI49" s="19">
        <f t="shared" si="56"/>
        <v>0</v>
      </c>
      <c r="AJ49" s="19">
        <f t="shared" si="56"/>
        <v>0</v>
      </c>
    </row>
    <row r="50" spans="1:36" x14ac:dyDescent="0.2">
      <c r="A50" s="11"/>
      <c r="B50" s="12"/>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row>
    <row r="51" spans="1:36" x14ac:dyDescent="0.2">
      <c r="A51" s="11"/>
      <c r="B51" s="12" t="s">
        <v>1956</v>
      </c>
      <c r="C51" s="14">
        <f>+C49+C39</f>
        <v>154950</v>
      </c>
      <c r="D51" s="14">
        <f t="shared" ref="D51:U51" si="57">+D49+D39</f>
        <v>155301</v>
      </c>
      <c r="E51" s="14">
        <f t="shared" si="57"/>
        <v>154771</v>
      </c>
      <c r="F51" s="14">
        <f t="shared" si="57"/>
        <v>154675</v>
      </c>
      <c r="G51" s="14">
        <f t="shared" si="57"/>
        <v>149757</v>
      </c>
      <c r="H51" s="14">
        <f t="shared" si="57"/>
        <v>148178</v>
      </c>
      <c r="I51" s="14">
        <f t="shared" si="57"/>
        <v>147475</v>
      </c>
      <c r="J51" s="14">
        <f t="shared" si="57"/>
        <v>149770</v>
      </c>
      <c r="K51" s="14">
        <f t="shared" si="57"/>
        <v>148854</v>
      </c>
      <c r="L51" s="14">
        <f t="shared" si="57"/>
        <v>148053</v>
      </c>
      <c r="M51" s="14">
        <f t="shared" si="57"/>
        <v>147432</v>
      </c>
      <c r="N51" s="14">
        <f t="shared" si="57"/>
        <v>114444.12</v>
      </c>
      <c r="O51" s="14">
        <f t="shared" si="57"/>
        <v>113481</v>
      </c>
      <c r="P51" s="14">
        <f t="shared" si="57"/>
        <v>112516</v>
      </c>
      <c r="Q51" s="14">
        <f t="shared" si="57"/>
        <v>114550</v>
      </c>
      <c r="R51" s="14">
        <f t="shared" si="57"/>
        <v>114062</v>
      </c>
      <c r="S51" s="14">
        <f t="shared" si="57"/>
        <v>113573</v>
      </c>
      <c r="T51" s="14">
        <f t="shared" si="57"/>
        <v>113080</v>
      </c>
      <c r="U51" s="14">
        <f t="shared" si="57"/>
        <v>112562</v>
      </c>
      <c r="V51" s="14">
        <f t="shared" ref="V51:AC51" si="58">+V49+V39</f>
        <v>112039</v>
      </c>
      <c r="W51" s="14">
        <f t="shared" si="58"/>
        <v>111490</v>
      </c>
      <c r="X51" s="14">
        <f t="shared" si="58"/>
        <v>113913</v>
      </c>
      <c r="Y51" s="14">
        <f t="shared" si="58"/>
        <v>59491</v>
      </c>
      <c r="Z51" s="14">
        <f t="shared" si="58"/>
        <v>58921</v>
      </c>
      <c r="AA51" s="14">
        <f t="shared" si="58"/>
        <v>58320</v>
      </c>
      <c r="AB51" s="14">
        <f t="shared" si="58"/>
        <v>57721</v>
      </c>
      <c r="AC51" s="14">
        <f t="shared" si="58"/>
        <v>60090</v>
      </c>
      <c r="AD51" s="14">
        <f t="shared" ref="AD51:AJ51" si="59">+AD49+AD39</f>
        <v>59382</v>
      </c>
      <c r="AE51" s="14">
        <f t="shared" si="59"/>
        <v>58674</v>
      </c>
      <c r="AF51" s="14">
        <f t="shared" si="59"/>
        <v>29131</v>
      </c>
      <c r="AG51" s="14">
        <f t="shared" si="59"/>
        <v>30930</v>
      </c>
      <c r="AH51" s="14">
        <f t="shared" si="59"/>
        <v>30746</v>
      </c>
      <c r="AI51" s="14">
        <f t="shared" si="59"/>
        <v>0</v>
      </c>
      <c r="AJ51" s="14">
        <f t="shared" si="59"/>
        <v>0</v>
      </c>
    </row>
    <row r="52" spans="1:36" x14ac:dyDescent="0.2">
      <c r="A52" s="4"/>
      <c r="B52" s="4"/>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row>
    <row r="53" spans="1:36" ht="13.5" thickBot="1" x14ac:dyDescent="0.25"/>
    <row r="54" spans="1:36" ht="13.5" thickTop="1" x14ac:dyDescent="0.2">
      <c r="A54" s="5"/>
      <c r="B54" s="6"/>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row>
    <row r="55" spans="1:36" x14ac:dyDescent="0.2">
      <c r="A55" s="81"/>
      <c r="B55" s="74" t="s">
        <v>1957</v>
      </c>
      <c r="C55" s="45" t="s">
        <v>567</v>
      </c>
      <c r="D55" s="45" t="s">
        <v>568</v>
      </c>
      <c r="E55" s="45" t="s">
        <v>569</v>
      </c>
      <c r="F55" s="45" t="s">
        <v>570</v>
      </c>
      <c r="G55" s="45" t="s">
        <v>275</v>
      </c>
      <c r="H55" s="45" t="s">
        <v>276</v>
      </c>
      <c r="I55" s="45" t="s">
        <v>277</v>
      </c>
      <c r="J55" s="45" t="s">
        <v>571</v>
      </c>
      <c r="K55" s="45" t="s">
        <v>1508</v>
      </c>
      <c r="L55" s="45" t="s">
        <v>1509</v>
      </c>
      <c r="M55" s="45" t="s">
        <v>1510</v>
      </c>
      <c r="N55" s="45" t="s">
        <v>1511</v>
      </c>
      <c r="O55" s="45" t="s">
        <v>1512</v>
      </c>
      <c r="P55" s="45" t="s">
        <v>1513</v>
      </c>
      <c r="Q55" s="45" t="s">
        <v>1514</v>
      </c>
      <c r="R55" s="45" t="s">
        <v>1515</v>
      </c>
      <c r="S55" s="45" t="s">
        <v>1516</v>
      </c>
      <c r="T55" s="45" t="s">
        <v>1517</v>
      </c>
      <c r="U55" s="45" t="s">
        <v>1518</v>
      </c>
      <c r="V55" s="45" t="s">
        <v>1519</v>
      </c>
      <c r="W55" s="45" t="s">
        <v>1520</v>
      </c>
      <c r="X55" s="45" t="s">
        <v>1521</v>
      </c>
      <c r="Y55" s="45" t="s">
        <v>1522</v>
      </c>
      <c r="Z55" s="45" t="s">
        <v>1523</v>
      </c>
      <c r="AA55" s="45" t="s">
        <v>1524</v>
      </c>
      <c r="AB55" s="45" t="s">
        <v>1525</v>
      </c>
      <c r="AC55" s="45" t="s">
        <v>1526</v>
      </c>
      <c r="AD55" s="45" t="s">
        <v>1527</v>
      </c>
      <c r="AE55" s="45" t="s">
        <v>1528</v>
      </c>
      <c r="AF55" s="45" t="s">
        <v>1529</v>
      </c>
      <c r="AG55" s="45" t="s">
        <v>1530</v>
      </c>
      <c r="AH55" s="45" t="s">
        <v>1531</v>
      </c>
      <c r="AI55" s="45" t="s">
        <v>1532</v>
      </c>
      <c r="AJ55" s="45" t="s">
        <v>1533</v>
      </c>
    </row>
    <row r="56" spans="1:36" x14ac:dyDescent="0.2">
      <c r="A56" s="81"/>
      <c r="B56" s="74"/>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row>
    <row r="57" spans="1:36" ht="13.5" thickBot="1" x14ac:dyDescent="0.25">
      <c r="A57" s="8" t="s">
        <v>825</v>
      </c>
      <c r="B57" s="78"/>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row>
    <row r="58" spans="1:36" ht="13.5" thickTop="1" x14ac:dyDescent="0.2">
      <c r="A58" s="26"/>
      <c r="B58" s="27"/>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row>
    <row r="59" spans="1:36" x14ac:dyDescent="0.2">
      <c r="A59" s="11">
        <v>710</v>
      </c>
      <c r="B59" s="12" t="s">
        <v>1534</v>
      </c>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row>
    <row r="60" spans="1:36" x14ac:dyDescent="0.2">
      <c r="A60" s="11">
        <v>5930</v>
      </c>
      <c r="B60" s="102" t="s">
        <v>1538</v>
      </c>
      <c r="C60" s="14">
        <v>47163</v>
      </c>
      <c r="D60" s="14">
        <v>48115</v>
      </c>
      <c r="E60" s="14">
        <v>49087</v>
      </c>
      <c r="F60" s="14">
        <v>50079</v>
      </c>
      <c r="G60" s="14">
        <v>51901</v>
      </c>
      <c r="H60" s="14">
        <v>52123</v>
      </c>
      <c r="I60" s="14">
        <v>53176</v>
      </c>
      <c r="J60" s="14">
        <v>54250</v>
      </c>
      <c r="K60" s="14">
        <v>55346</v>
      </c>
      <c r="L60" s="14">
        <v>56464</v>
      </c>
      <c r="M60" s="14">
        <v>57605</v>
      </c>
      <c r="N60" s="14"/>
      <c r="O60" s="14"/>
      <c r="P60" s="14"/>
      <c r="Q60" s="14"/>
      <c r="R60" s="14"/>
      <c r="S60" s="14"/>
      <c r="T60" s="14"/>
      <c r="U60" s="14"/>
      <c r="V60" s="14"/>
      <c r="W60" s="14"/>
      <c r="X60" s="14"/>
      <c r="Y60" s="14"/>
      <c r="Z60" s="14"/>
      <c r="AA60" s="14"/>
      <c r="AB60" s="14"/>
      <c r="AC60" s="14"/>
      <c r="AD60" s="14"/>
      <c r="AE60" s="14"/>
      <c r="AF60" s="14"/>
      <c r="AG60" s="14"/>
      <c r="AH60" s="14"/>
      <c r="AI60" s="14"/>
      <c r="AJ60" s="14"/>
    </row>
    <row r="61" spans="1:36" x14ac:dyDescent="0.2">
      <c r="A61" s="11">
        <v>5931</v>
      </c>
      <c r="B61" s="60" t="s">
        <v>1539</v>
      </c>
      <c r="C61" s="14">
        <v>53375</v>
      </c>
      <c r="D61" s="14">
        <v>54679</v>
      </c>
      <c r="E61" s="14">
        <v>56016</v>
      </c>
      <c r="F61" s="14">
        <v>57384</v>
      </c>
      <c r="G61" s="14">
        <v>58786</v>
      </c>
      <c r="H61" s="14">
        <v>60223</v>
      </c>
      <c r="I61" s="14">
        <v>61694</v>
      </c>
      <c r="J61" s="14">
        <v>63202</v>
      </c>
      <c r="K61" s="14">
        <v>64746</v>
      </c>
      <c r="L61" s="14">
        <v>66328</v>
      </c>
      <c r="M61" s="14">
        <v>67949</v>
      </c>
      <c r="N61" s="14">
        <v>69609</v>
      </c>
      <c r="O61" s="14">
        <v>71310</v>
      </c>
      <c r="P61" s="14">
        <v>73053</v>
      </c>
      <c r="Q61" s="14">
        <v>74838</v>
      </c>
      <c r="R61" s="14">
        <v>76667</v>
      </c>
      <c r="S61" s="14">
        <v>78540</v>
      </c>
      <c r="T61" s="14">
        <v>80459</v>
      </c>
      <c r="U61" s="14">
        <v>82425</v>
      </c>
      <c r="V61" s="14">
        <v>84439</v>
      </c>
      <c r="W61" s="14">
        <v>86502</v>
      </c>
      <c r="X61" s="14">
        <v>88616</v>
      </c>
      <c r="Y61" s="14"/>
      <c r="Z61" s="14"/>
      <c r="AA61" s="14"/>
      <c r="AB61" s="14"/>
      <c r="AC61" s="14"/>
      <c r="AD61" s="14"/>
      <c r="AE61" s="14"/>
      <c r="AF61" s="14"/>
      <c r="AG61" s="14"/>
      <c r="AH61" s="14"/>
      <c r="AI61" s="14"/>
      <c r="AJ61" s="14"/>
    </row>
    <row r="62" spans="1:36" s="335" customFormat="1" x14ac:dyDescent="0.2">
      <c r="A62" s="622">
        <v>5932</v>
      </c>
      <c r="B62" s="613" t="s">
        <v>1540</v>
      </c>
      <c r="C62" s="610">
        <v>15434</v>
      </c>
      <c r="D62" s="610">
        <v>16109</v>
      </c>
      <c r="E62" s="610">
        <v>16814</v>
      </c>
      <c r="F62" s="610">
        <v>17550</v>
      </c>
      <c r="G62" s="610">
        <v>20000</v>
      </c>
      <c r="H62" s="610">
        <v>20000</v>
      </c>
      <c r="I62" s="610">
        <v>20000</v>
      </c>
      <c r="J62" s="610">
        <v>25000</v>
      </c>
      <c r="K62" s="610">
        <v>25000</v>
      </c>
      <c r="L62" s="610">
        <v>25000</v>
      </c>
      <c r="M62" s="610">
        <v>25000</v>
      </c>
      <c r="N62" s="610">
        <v>30000</v>
      </c>
      <c r="O62" s="610">
        <v>30000</v>
      </c>
      <c r="P62" s="610">
        <v>30000</v>
      </c>
      <c r="Q62" s="610">
        <v>35000</v>
      </c>
      <c r="R62" s="610">
        <v>35000</v>
      </c>
      <c r="S62" s="610">
        <v>35000</v>
      </c>
      <c r="T62" s="610">
        <v>35000</v>
      </c>
      <c r="U62" s="610">
        <v>35000</v>
      </c>
      <c r="V62" s="610">
        <v>35000</v>
      </c>
      <c r="W62" s="610">
        <v>35000</v>
      </c>
      <c r="X62" s="610">
        <v>40000</v>
      </c>
      <c r="Y62" s="610">
        <v>40000</v>
      </c>
      <c r="Z62" s="610">
        <v>40000</v>
      </c>
      <c r="AA62" s="610">
        <v>40000</v>
      </c>
      <c r="AB62" s="610">
        <v>40000</v>
      </c>
      <c r="AC62" s="610">
        <v>45000</v>
      </c>
      <c r="AD62" s="610">
        <v>45000</v>
      </c>
      <c r="AE62" s="610">
        <v>45000</v>
      </c>
      <c r="AF62" s="610"/>
      <c r="AG62" s="610"/>
      <c r="AH62" s="610"/>
      <c r="AI62" s="610"/>
      <c r="AJ62" s="610"/>
    </row>
    <row r="63" spans="1:36" ht="13.5" thickBot="1" x14ac:dyDescent="0.25">
      <c r="A63" s="11">
        <v>5933</v>
      </c>
      <c r="B63" s="60" t="s">
        <v>1541</v>
      </c>
      <c r="C63" s="16">
        <v>14145</v>
      </c>
      <c r="D63" s="16">
        <v>14728</v>
      </c>
      <c r="E63" s="16">
        <v>15336</v>
      </c>
      <c r="F63" s="16">
        <v>15968</v>
      </c>
      <c r="G63" s="16">
        <v>16627</v>
      </c>
      <c r="H63" s="16">
        <v>17313</v>
      </c>
      <c r="I63" s="16">
        <v>18027</v>
      </c>
      <c r="J63" s="16">
        <v>18770</v>
      </c>
      <c r="K63" s="16">
        <v>19545</v>
      </c>
      <c r="L63" s="16">
        <v>20351</v>
      </c>
      <c r="M63" s="16">
        <v>21190</v>
      </c>
      <c r="N63" s="16">
        <v>22064</v>
      </c>
      <c r="O63" s="16">
        <v>22974</v>
      </c>
      <c r="P63" s="16">
        <v>23922</v>
      </c>
      <c r="Q63" s="16">
        <v>24909</v>
      </c>
      <c r="R63" s="16">
        <v>25936</v>
      </c>
      <c r="S63" s="16">
        <v>27006</v>
      </c>
      <c r="T63" s="16">
        <v>28120</v>
      </c>
      <c r="U63" s="16">
        <v>29280</v>
      </c>
      <c r="V63" s="16">
        <v>30488</v>
      </c>
      <c r="W63" s="16">
        <v>31746</v>
      </c>
      <c r="X63" s="16">
        <v>33055</v>
      </c>
      <c r="Y63" s="16">
        <v>34418</v>
      </c>
      <c r="Z63" s="16">
        <v>35838</v>
      </c>
      <c r="AA63" s="16">
        <v>37317</v>
      </c>
      <c r="AB63" s="16">
        <v>38856</v>
      </c>
      <c r="AC63" s="16">
        <v>40459</v>
      </c>
      <c r="AD63" s="16">
        <v>42128</v>
      </c>
      <c r="AE63" s="16">
        <v>43865</v>
      </c>
      <c r="AF63" s="16">
        <v>45675</v>
      </c>
      <c r="AG63" s="16">
        <v>47559</v>
      </c>
      <c r="AH63" s="16">
        <v>49213</v>
      </c>
      <c r="AI63" s="16"/>
      <c r="AJ63" s="16"/>
    </row>
    <row r="64" spans="1:36" x14ac:dyDescent="0.2">
      <c r="A64" s="11"/>
      <c r="B64" s="17" t="s">
        <v>1534</v>
      </c>
      <c r="C64" s="19">
        <f>SUM(C59:C63)</f>
        <v>130117</v>
      </c>
      <c r="D64" s="19">
        <f t="shared" ref="D64:U64" si="60">SUM(D59:D63)</f>
        <v>133631</v>
      </c>
      <c r="E64" s="19">
        <f t="shared" si="60"/>
        <v>137253</v>
      </c>
      <c r="F64" s="19">
        <f t="shared" si="60"/>
        <v>140981</v>
      </c>
      <c r="G64" s="19">
        <f t="shared" si="60"/>
        <v>147314</v>
      </c>
      <c r="H64" s="19">
        <f t="shared" si="60"/>
        <v>149659</v>
      </c>
      <c r="I64" s="19">
        <f t="shared" si="60"/>
        <v>152897</v>
      </c>
      <c r="J64" s="19">
        <f t="shared" si="60"/>
        <v>161222</v>
      </c>
      <c r="K64" s="19">
        <f t="shared" si="60"/>
        <v>164637</v>
      </c>
      <c r="L64" s="19">
        <f t="shared" si="60"/>
        <v>168143</v>
      </c>
      <c r="M64" s="19">
        <f t="shared" si="60"/>
        <v>171744</v>
      </c>
      <c r="N64" s="19">
        <f t="shared" si="60"/>
        <v>121673</v>
      </c>
      <c r="O64" s="19">
        <f t="shared" si="60"/>
        <v>124284</v>
      </c>
      <c r="P64" s="19">
        <f t="shared" si="60"/>
        <v>126975</v>
      </c>
      <c r="Q64" s="19">
        <f t="shared" si="60"/>
        <v>134747</v>
      </c>
      <c r="R64" s="19">
        <f t="shared" si="60"/>
        <v>137603</v>
      </c>
      <c r="S64" s="19">
        <f t="shared" si="60"/>
        <v>140546</v>
      </c>
      <c r="T64" s="19">
        <f t="shared" si="60"/>
        <v>143579</v>
      </c>
      <c r="U64" s="19">
        <f t="shared" si="60"/>
        <v>146705</v>
      </c>
      <c r="V64" s="19">
        <f t="shared" ref="V64:AJ64" si="61">SUM(V59:V63)</f>
        <v>149927</v>
      </c>
      <c r="W64" s="19">
        <f t="shared" si="61"/>
        <v>153248</v>
      </c>
      <c r="X64" s="19">
        <f t="shared" si="61"/>
        <v>161671</v>
      </c>
      <c r="Y64" s="19">
        <f t="shared" si="61"/>
        <v>74418</v>
      </c>
      <c r="Z64" s="19">
        <f t="shared" si="61"/>
        <v>75838</v>
      </c>
      <c r="AA64" s="19">
        <f t="shared" si="61"/>
        <v>77317</v>
      </c>
      <c r="AB64" s="19">
        <f t="shared" si="61"/>
        <v>78856</v>
      </c>
      <c r="AC64" s="19">
        <f t="shared" si="61"/>
        <v>85459</v>
      </c>
      <c r="AD64" s="19">
        <f t="shared" si="61"/>
        <v>87128</v>
      </c>
      <c r="AE64" s="19">
        <f t="shared" si="61"/>
        <v>88865</v>
      </c>
      <c r="AF64" s="19">
        <f t="shared" si="61"/>
        <v>45675</v>
      </c>
      <c r="AG64" s="19">
        <f t="shared" si="61"/>
        <v>47559</v>
      </c>
      <c r="AH64" s="19">
        <f t="shared" si="61"/>
        <v>49213</v>
      </c>
      <c r="AI64" s="19">
        <f t="shared" si="61"/>
        <v>0</v>
      </c>
      <c r="AJ64" s="19">
        <f t="shared" si="61"/>
        <v>0</v>
      </c>
    </row>
    <row r="65" spans="1:36" x14ac:dyDescent="0.2">
      <c r="A65" s="11"/>
      <c r="B65" s="1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c r="AJ65" s="152"/>
    </row>
    <row r="66" spans="1:36" x14ac:dyDescent="0.2">
      <c r="A66" s="11">
        <v>751</v>
      </c>
      <c r="B66" s="12" t="s">
        <v>1557</v>
      </c>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row>
    <row r="67" spans="1:36" x14ac:dyDescent="0.2">
      <c r="A67" s="11">
        <v>5930</v>
      </c>
      <c r="B67" s="60" t="s">
        <v>1538</v>
      </c>
      <c r="C67" s="14">
        <v>11019</v>
      </c>
      <c r="D67" s="14">
        <v>10666</v>
      </c>
      <c r="E67" s="14">
        <v>9094</v>
      </c>
      <c r="F67" s="14">
        <v>8102</v>
      </c>
      <c r="G67" s="14">
        <v>7091</v>
      </c>
      <c r="H67" s="14">
        <v>6059</v>
      </c>
      <c r="I67" s="14">
        <v>5006</v>
      </c>
      <c r="J67" s="14">
        <v>3931</v>
      </c>
      <c r="K67" s="14">
        <v>2835</v>
      </c>
      <c r="L67" s="14">
        <v>1717</v>
      </c>
      <c r="M67" s="14">
        <v>577</v>
      </c>
      <c r="N67" s="14"/>
      <c r="O67" s="14"/>
      <c r="P67" s="14"/>
      <c r="Q67" s="14"/>
      <c r="R67" s="14"/>
      <c r="S67" s="14"/>
      <c r="T67" s="14"/>
      <c r="U67" s="14"/>
      <c r="V67" s="14"/>
      <c r="W67" s="14"/>
      <c r="X67" s="14"/>
      <c r="Y67" s="14"/>
      <c r="Z67" s="14"/>
      <c r="AA67" s="14"/>
      <c r="AB67" s="14"/>
      <c r="AC67" s="14"/>
      <c r="AD67" s="14"/>
      <c r="AE67" s="14"/>
      <c r="AF67" s="14"/>
      <c r="AG67" s="14"/>
      <c r="AH67" s="14"/>
      <c r="AI67" s="14"/>
      <c r="AJ67" s="14"/>
    </row>
    <row r="68" spans="1:36" x14ac:dyDescent="0.2">
      <c r="A68" s="11" t="s">
        <v>1559</v>
      </c>
      <c r="B68" s="60" t="s">
        <v>1560</v>
      </c>
      <c r="C68" s="14">
        <v>817</v>
      </c>
      <c r="D68" s="14">
        <v>755</v>
      </c>
      <c r="E68" s="14">
        <v>683</v>
      </c>
      <c r="F68" s="14">
        <v>608</v>
      </c>
      <c r="G68" s="14">
        <v>532</v>
      </c>
      <c r="H68" s="14">
        <v>455</v>
      </c>
      <c r="I68" s="14">
        <v>376</v>
      </c>
      <c r="J68" s="14">
        <v>295</v>
      </c>
      <c r="K68" s="14">
        <v>213</v>
      </c>
      <c r="L68" s="14">
        <v>129</v>
      </c>
      <c r="M68" s="14">
        <v>444</v>
      </c>
      <c r="N68" s="14"/>
      <c r="O68" s="14"/>
      <c r="P68" s="14"/>
      <c r="Q68" s="14"/>
      <c r="R68" s="14"/>
      <c r="S68" s="14"/>
      <c r="T68" s="14"/>
      <c r="U68" s="14"/>
      <c r="V68" s="14"/>
      <c r="W68" s="14"/>
      <c r="X68" s="14"/>
      <c r="Y68" s="14"/>
      <c r="Z68" s="14"/>
      <c r="AA68" s="14"/>
      <c r="AB68" s="14"/>
      <c r="AC68" s="14"/>
      <c r="AD68" s="14"/>
      <c r="AE68" s="14"/>
      <c r="AF68" s="14"/>
      <c r="AG68" s="14"/>
      <c r="AH68" s="14"/>
      <c r="AI68" s="14"/>
      <c r="AJ68" s="14"/>
    </row>
    <row r="69" spans="1:36" x14ac:dyDescent="0.2">
      <c r="A69" s="11">
        <v>5931</v>
      </c>
      <c r="B69" s="60" t="s">
        <v>1539</v>
      </c>
      <c r="C69" s="14">
        <v>36311</v>
      </c>
      <c r="D69" s="14">
        <v>35135</v>
      </c>
      <c r="E69" s="14">
        <v>33670</v>
      </c>
      <c r="F69" s="14">
        <v>32302</v>
      </c>
      <c r="G69" s="14">
        <v>30900</v>
      </c>
      <c r="H69" s="14">
        <v>29463</v>
      </c>
      <c r="I69" s="14">
        <v>27992</v>
      </c>
      <c r="J69" s="14">
        <v>26484</v>
      </c>
      <c r="K69" s="14">
        <v>24940</v>
      </c>
      <c r="L69" s="14">
        <v>23358</v>
      </c>
      <c r="M69" s="14">
        <v>21737</v>
      </c>
      <c r="N69" s="14">
        <v>20076.12</v>
      </c>
      <c r="O69" s="14">
        <v>18376</v>
      </c>
      <c r="P69" s="14">
        <v>16633</v>
      </c>
      <c r="Q69" s="14">
        <v>14848</v>
      </c>
      <c r="R69" s="14">
        <v>13020</v>
      </c>
      <c r="S69" s="14">
        <v>11146</v>
      </c>
      <c r="T69" s="14">
        <v>9227</v>
      </c>
      <c r="U69" s="14">
        <v>7261</v>
      </c>
      <c r="V69" s="14">
        <v>5247</v>
      </c>
      <c r="W69" s="14">
        <v>3184</v>
      </c>
      <c r="X69" s="14">
        <v>1070</v>
      </c>
      <c r="Y69" s="14"/>
      <c r="Z69" s="14"/>
      <c r="AA69" s="14"/>
      <c r="AB69" s="14"/>
      <c r="AC69" s="14"/>
      <c r="AD69" s="14"/>
      <c r="AE69" s="14"/>
      <c r="AF69" s="14"/>
      <c r="AG69" s="14"/>
      <c r="AH69" s="14"/>
      <c r="AI69" s="14"/>
      <c r="AJ69" s="14"/>
    </row>
    <row r="70" spans="1:36" x14ac:dyDescent="0.2">
      <c r="A70" s="11" t="s">
        <v>1561</v>
      </c>
      <c r="B70" s="60" t="s">
        <v>1562</v>
      </c>
      <c r="C70" s="14">
        <v>2257</v>
      </c>
      <c r="D70" s="14">
        <v>2176</v>
      </c>
      <c r="E70" s="14">
        <v>2093</v>
      </c>
      <c r="F70" s="14">
        <v>2008</v>
      </c>
      <c r="G70" s="14">
        <v>1920</v>
      </c>
      <c r="H70" s="14">
        <v>1831</v>
      </c>
      <c r="I70" s="14">
        <v>1740</v>
      </c>
      <c r="J70" s="14">
        <v>1646</v>
      </c>
      <c r="K70" s="14">
        <v>1450</v>
      </c>
      <c r="L70" s="14">
        <v>1452</v>
      </c>
      <c r="M70" s="14">
        <v>1351</v>
      </c>
      <c r="N70" s="14">
        <v>1248</v>
      </c>
      <c r="O70" s="14">
        <v>1142</v>
      </c>
      <c r="P70" s="14">
        <v>1034</v>
      </c>
      <c r="Q70" s="14">
        <v>923</v>
      </c>
      <c r="R70" s="14">
        <v>809</v>
      </c>
      <c r="S70" s="14">
        <v>693</v>
      </c>
      <c r="T70" s="14">
        <v>574</v>
      </c>
      <c r="U70" s="14">
        <v>452</v>
      </c>
      <c r="V70" s="14">
        <v>327</v>
      </c>
      <c r="W70" s="14">
        <v>198</v>
      </c>
      <c r="X70" s="14">
        <v>67</v>
      </c>
      <c r="Y70" s="14"/>
      <c r="Z70" s="14"/>
      <c r="AA70" s="14"/>
      <c r="AB70" s="14"/>
      <c r="AC70" s="14"/>
      <c r="AD70" s="14"/>
      <c r="AE70" s="14"/>
      <c r="AF70" s="14"/>
      <c r="AG70" s="14"/>
      <c r="AH70" s="14"/>
      <c r="AI70" s="14"/>
      <c r="AJ70" s="14"/>
    </row>
    <row r="71" spans="1:36" s="335" customFormat="1" x14ac:dyDescent="0.2">
      <c r="A71" s="622">
        <v>5932</v>
      </c>
      <c r="B71" s="613" t="s">
        <v>1540</v>
      </c>
      <c r="C71" s="610">
        <v>40324</v>
      </c>
      <c r="D71" s="610">
        <v>39649</v>
      </c>
      <c r="E71" s="610">
        <v>38944</v>
      </c>
      <c r="F71" s="610">
        <v>38208</v>
      </c>
      <c r="G71" s="610">
        <v>26913</v>
      </c>
      <c r="H71" s="610">
        <v>25257</v>
      </c>
      <c r="I71" s="610">
        <v>24257</v>
      </c>
      <c r="J71" s="610">
        <v>23257</v>
      </c>
      <c r="K71" s="610">
        <v>22007</v>
      </c>
      <c r="L71" s="610">
        <v>20757</v>
      </c>
      <c r="M71" s="610">
        <v>19507</v>
      </c>
      <c r="N71" s="610">
        <v>18257</v>
      </c>
      <c r="O71" s="610">
        <v>16757</v>
      </c>
      <c r="P71" s="610">
        <v>15257</v>
      </c>
      <c r="Q71" s="610">
        <v>13757</v>
      </c>
      <c r="R71" s="610">
        <v>13057</v>
      </c>
      <c r="S71" s="610">
        <v>12357</v>
      </c>
      <c r="T71" s="610">
        <v>11657</v>
      </c>
      <c r="U71" s="610">
        <v>10913</v>
      </c>
      <c r="V71" s="610">
        <v>10169</v>
      </c>
      <c r="W71" s="610">
        <v>9382</v>
      </c>
      <c r="X71" s="610">
        <v>8550</v>
      </c>
      <c r="Y71" s="610">
        <v>7600</v>
      </c>
      <c r="Z71" s="610">
        <v>6650</v>
      </c>
      <c r="AA71" s="610">
        <v>5650</v>
      </c>
      <c r="AB71" s="610">
        <v>4650</v>
      </c>
      <c r="AC71" s="610">
        <v>3600</v>
      </c>
      <c r="AD71" s="610">
        <v>2419</v>
      </c>
      <c r="AE71" s="610">
        <v>1238</v>
      </c>
      <c r="AF71" s="610"/>
      <c r="AG71" s="610"/>
      <c r="AH71" s="610"/>
      <c r="AI71" s="610"/>
      <c r="AJ71" s="610"/>
    </row>
    <row r="72" spans="1:36" ht="13.5" thickBot="1" x14ac:dyDescent="0.25">
      <c r="A72" s="11">
        <v>5933</v>
      </c>
      <c r="B72" s="60" t="s">
        <v>1541</v>
      </c>
      <c r="C72" s="16">
        <v>37406</v>
      </c>
      <c r="D72" s="16">
        <v>36823</v>
      </c>
      <c r="E72" s="16">
        <v>36215</v>
      </c>
      <c r="F72" s="16">
        <v>35583</v>
      </c>
      <c r="G72" s="16">
        <v>34924</v>
      </c>
      <c r="H72" s="16">
        <v>34238</v>
      </c>
      <c r="I72" s="16">
        <v>33524</v>
      </c>
      <c r="J72" s="16">
        <v>32781</v>
      </c>
      <c r="K72" s="16">
        <v>32006</v>
      </c>
      <c r="L72" s="16">
        <v>31200</v>
      </c>
      <c r="M72" s="16">
        <v>30361</v>
      </c>
      <c r="N72" s="16">
        <v>29487</v>
      </c>
      <c r="O72" s="16">
        <v>28577</v>
      </c>
      <c r="P72" s="16">
        <v>27629</v>
      </c>
      <c r="Q72" s="16">
        <v>26642</v>
      </c>
      <c r="R72" s="16">
        <v>25615</v>
      </c>
      <c r="S72" s="16">
        <v>24545</v>
      </c>
      <c r="T72" s="16">
        <v>23431</v>
      </c>
      <c r="U72" s="16">
        <v>22271</v>
      </c>
      <c r="V72" s="16">
        <v>21063</v>
      </c>
      <c r="W72" s="16">
        <v>19805</v>
      </c>
      <c r="X72" s="16">
        <v>18496</v>
      </c>
      <c r="Y72" s="16">
        <v>17133</v>
      </c>
      <c r="Z72" s="16">
        <v>15713</v>
      </c>
      <c r="AA72" s="16">
        <v>14234</v>
      </c>
      <c r="AB72" s="16">
        <v>12695</v>
      </c>
      <c r="AC72" s="16">
        <v>11092</v>
      </c>
      <c r="AD72" s="16">
        <v>9423</v>
      </c>
      <c r="AE72" s="16">
        <v>7686</v>
      </c>
      <c r="AF72" s="16">
        <v>2876</v>
      </c>
      <c r="AG72" s="16">
        <v>3992</v>
      </c>
      <c r="AH72" s="16">
        <v>2030</v>
      </c>
      <c r="AI72" s="16"/>
      <c r="AJ72" s="16"/>
    </row>
    <row r="73" spans="1:36" x14ac:dyDescent="0.2">
      <c r="A73" s="11"/>
      <c r="B73" s="12"/>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row>
    <row r="74" spans="1:36" x14ac:dyDescent="0.2">
      <c r="A74" s="11"/>
      <c r="B74" s="17" t="s">
        <v>1557</v>
      </c>
      <c r="C74" s="19">
        <f>SUM(C66:C73)</f>
        <v>128134</v>
      </c>
      <c r="D74" s="19">
        <f t="shared" ref="D74:U74" si="62">SUM(D66:D73)</f>
        <v>125204</v>
      </c>
      <c r="E74" s="19">
        <f t="shared" si="62"/>
        <v>120699</v>
      </c>
      <c r="F74" s="19">
        <f t="shared" si="62"/>
        <v>116811</v>
      </c>
      <c r="G74" s="19">
        <f t="shared" si="62"/>
        <v>102280</v>
      </c>
      <c r="H74" s="19">
        <f t="shared" si="62"/>
        <v>97303</v>
      </c>
      <c r="I74" s="19">
        <f t="shared" si="62"/>
        <v>92895</v>
      </c>
      <c r="J74" s="19">
        <f t="shared" si="62"/>
        <v>88394</v>
      </c>
      <c r="K74" s="19">
        <f t="shared" si="62"/>
        <v>83451</v>
      </c>
      <c r="L74" s="19">
        <f t="shared" si="62"/>
        <v>78613</v>
      </c>
      <c r="M74" s="19">
        <f t="shared" si="62"/>
        <v>73977</v>
      </c>
      <c r="N74" s="19">
        <f t="shared" si="62"/>
        <v>69068.12</v>
      </c>
      <c r="O74" s="19">
        <f t="shared" si="62"/>
        <v>64852</v>
      </c>
      <c r="P74" s="19">
        <f t="shared" si="62"/>
        <v>60553</v>
      </c>
      <c r="Q74" s="19">
        <f t="shared" si="62"/>
        <v>56170</v>
      </c>
      <c r="R74" s="19">
        <f t="shared" si="62"/>
        <v>52501</v>
      </c>
      <c r="S74" s="19">
        <f t="shared" si="62"/>
        <v>48741</v>
      </c>
      <c r="T74" s="19">
        <f t="shared" si="62"/>
        <v>44889</v>
      </c>
      <c r="U74" s="19">
        <f t="shared" si="62"/>
        <v>40897</v>
      </c>
      <c r="V74" s="19">
        <f t="shared" ref="V74:AJ74" si="63">SUM(V66:V73)</f>
        <v>36806</v>
      </c>
      <c r="W74" s="19">
        <f t="shared" si="63"/>
        <v>32569</v>
      </c>
      <c r="X74" s="19">
        <f t="shared" si="63"/>
        <v>28183</v>
      </c>
      <c r="Y74" s="19">
        <f t="shared" si="63"/>
        <v>24733</v>
      </c>
      <c r="Z74" s="19">
        <f t="shared" si="63"/>
        <v>22363</v>
      </c>
      <c r="AA74" s="19">
        <f t="shared" si="63"/>
        <v>19884</v>
      </c>
      <c r="AB74" s="19">
        <f t="shared" si="63"/>
        <v>17345</v>
      </c>
      <c r="AC74" s="19">
        <f t="shared" si="63"/>
        <v>14692</v>
      </c>
      <c r="AD74" s="19">
        <f t="shared" si="63"/>
        <v>11842</v>
      </c>
      <c r="AE74" s="19">
        <f t="shared" si="63"/>
        <v>8924</v>
      </c>
      <c r="AF74" s="19">
        <f t="shared" si="63"/>
        <v>2876</v>
      </c>
      <c r="AG74" s="19">
        <f t="shared" si="63"/>
        <v>3992</v>
      </c>
      <c r="AH74" s="19">
        <f t="shared" si="63"/>
        <v>2030</v>
      </c>
      <c r="AI74" s="19">
        <f t="shared" si="63"/>
        <v>0</v>
      </c>
      <c r="AJ74" s="19">
        <f t="shared" si="63"/>
        <v>0</v>
      </c>
    </row>
    <row r="75" spans="1:36" x14ac:dyDescent="0.2">
      <c r="A75" s="11"/>
      <c r="B75" s="12"/>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row>
    <row r="76" spans="1:36" x14ac:dyDescent="0.2">
      <c r="B76" s="12" t="s">
        <v>1958</v>
      </c>
      <c r="C76" s="14">
        <f>+C74+C64</f>
        <v>258251</v>
      </c>
      <c r="D76" s="14">
        <f t="shared" ref="D76:U76" si="64">+D74+D64</f>
        <v>258835</v>
      </c>
      <c r="E76" s="14">
        <f t="shared" si="64"/>
        <v>257952</v>
      </c>
      <c r="F76" s="14">
        <f t="shared" si="64"/>
        <v>257792</v>
      </c>
      <c r="G76" s="14">
        <f t="shared" si="64"/>
        <v>249594</v>
      </c>
      <c r="H76" s="14">
        <f t="shared" si="64"/>
        <v>246962</v>
      </c>
      <c r="I76" s="14">
        <f t="shared" si="64"/>
        <v>245792</v>
      </c>
      <c r="J76" s="14">
        <f t="shared" si="64"/>
        <v>249616</v>
      </c>
      <c r="K76" s="14">
        <f t="shared" si="64"/>
        <v>248088</v>
      </c>
      <c r="L76" s="14">
        <f t="shared" si="64"/>
        <v>246756</v>
      </c>
      <c r="M76" s="14">
        <f t="shared" si="64"/>
        <v>245721</v>
      </c>
      <c r="N76" s="14">
        <f t="shared" si="64"/>
        <v>190741.12</v>
      </c>
      <c r="O76" s="14">
        <f t="shared" si="64"/>
        <v>189136</v>
      </c>
      <c r="P76" s="14">
        <f t="shared" si="64"/>
        <v>187528</v>
      </c>
      <c r="Q76" s="14">
        <f t="shared" si="64"/>
        <v>190917</v>
      </c>
      <c r="R76" s="14">
        <f t="shared" si="64"/>
        <v>190104</v>
      </c>
      <c r="S76" s="14">
        <f t="shared" si="64"/>
        <v>189287</v>
      </c>
      <c r="T76" s="14">
        <f t="shared" si="64"/>
        <v>188468</v>
      </c>
      <c r="U76" s="14">
        <f t="shared" si="64"/>
        <v>187602</v>
      </c>
      <c r="V76" s="14">
        <f t="shared" ref="V76:AC76" si="65">+V74+V64</f>
        <v>186733</v>
      </c>
      <c r="W76" s="14">
        <f t="shared" si="65"/>
        <v>185817</v>
      </c>
      <c r="X76" s="14">
        <f t="shared" si="65"/>
        <v>189854</v>
      </c>
      <c r="Y76" s="14">
        <f t="shared" si="65"/>
        <v>99151</v>
      </c>
      <c r="Z76" s="14">
        <f t="shared" si="65"/>
        <v>98201</v>
      </c>
      <c r="AA76" s="14">
        <f t="shared" si="65"/>
        <v>97201</v>
      </c>
      <c r="AB76" s="14">
        <f t="shared" si="65"/>
        <v>96201</v>
      </c>
      <c r="AC76" s="14">
        <f t="shared" si="65"/>
        <v>100151</v>
      </c>
      <c r="AD76" s="14">
        <f t="shared" ref="AD76:AJ76" si="66">+AD74+AD64</f>
        <v>98970</v>
      </c>
      <c r="AE76" s="14">
        <f t="shared" si="66"/>
        <v>97789</v>
      </c>
      <c r="AF76" s="14">
        <f t="shared" si="66"/>
        <v>48551</v>
      </c>
      <c r="AG76" s="14">
        <f t="shared" si="66"/>
        <v>51551</v>
      </c>
      <c r="AH76" s="14">
        <f t="shared" si="66"/>
        <v>51243</v>
      </c>
      <c r="AI76" s="14">
        <f t="shared" si="66"/>
        <v>0</v>
      </c>
      <c r="AJ76" s="14">
        <f t="shared" si="66"/>
        <v>0</v>
      </c>
    </row>
    <row r="78" spans="1:36" x14ac:dyDescent="0.2">
      <c r="B78" t="s">
        <v>1954</v>
      </c>
      <c r="C78" s="2">
        <f>+C26</f>
        <v>103301</v>
      </c>
      <c r="D78" s="2">
        <f t="shared" ref="D78:U78" si="67">+D26</f>
        <v>103534</v>
      </c>
      <c r="E78" s="2">
        <f t="shared" si="67"/>
        <v>103181</v>
      </c>
      <c r="F78" s="2">
        <f t="shared" si="67"/>
        <v>103117</v>
      </c>
      <c r="G78" s="2">
        <f t="shared" si="67"/>
        <v>99837</v>
      </c>
      <c r="H78" s="2">
        <f t="shared" si="67"/>
        <v>98784</v>
      </c>
      <c r="I78" s="2">
        <f t="shared" si="67"/>
        <v>98317</v>
      </c>
      <c r="J78" s="2">
        <f t="shared" si="67"/>
        <v>99846</v>
      </c>
      <c r="K78" s="2">
        <f t="shared" si="67"/>
        <v>99234</v>
      </c>
      <c r="L78" s="2">
        <f t="shared" si="67"/>
        <v>98703</v>
      </c>
      <c r="M78" s="2">
        <f t="shared" si="67"/>
        <v>98289</v>
      </c>
      <c r="N78" s="2">
        <f t="shared" si="67"/>
        <v>76297</v>
      </c>
      <c r="O78" s="2">
        <f t="shared" si="67"/>
        <v>75655</v>
      </c>
      <c r="P78" s="2">
        <f t="shared" si="67"/>
        <v>75012</v>
      </c>
      <c r="Q78" s="2">
        <f t="shared" si="67"/>
        <v>76367</v>
      </c>
      <c r="R78" s="2">
        <f t="shared" si="67"/>
        <v>76042</v>
      </c>
      <c r="S78" s="2">
        <f t="shared" si="67"/>
        <v>75714</v>
      </c>
      <c r="T78" s="2">
        <f t="shared" si="67"/>
        <v>75388</v>
      </c>
      <c r="U78" s="2">
        <f t="shared" si="67"/>
        <v>75040</v>
      </c>
      <c r="V78" s="2">
        <f t="shared" ref="V78:AC78" si="68">+V26</f>
        <v>74694</v>
      </c>
      <c r="W78" s="2">
        <f t="shared" si="68"/>
        <v>74327</v>
      </c>
      <c r="X78" s="2">
        <f t="shared" si="68"/>
        <v>75941</v>
      </c>
      <c r="Y78" s="2">
        <f t="shared" si="68"/>
        <v>39660</v>
      </c>
      <c r="Z78" s="2">
        <f t="shared" si="68"/>
        <v>39280</v>
      </c>
      <c r="AA78" s="2">
        <f t="shared" si="68"/>
        <v>38881</v>
      </c>
      <c r="AB78" s="2">
        <f t="shared" si="68"/>
        <v>38480</v>
      </c>
      <c r="AC78" s="2">
        <f t="shared" si="68"/>
        <v>40061</v>
      </c>
      <c r="AD78" s="2">
        <f t="shared" ref="AD78:AJ78" si="69">+AD26</f>
        <v>39588</v>
      </c>
      <c r="AE78" s="2">
        <f t="shared" si="69"/>
        <v>39115</v>
      </c>
      <c r="AF78" s="2">
        <f t="shared" si="69"/>
        <v>19420</v>
      </c>
      <c r="AG78" s="2">
        <f t="shared" si="69"/>
        <v>20621</v>
      </c>
      <c r="AH78" s="2">
        <f t="shared" si="69"/>
        <v>20497</v>
      </c>
      <c r="AI78" s="2">
        <f t="shared" si="69"/>
        <v>0</v>
      </c>
      <c r="AJ78" s="2">
        <f t="shared" si="69"/>
        <v>0</v>
      </c>
    </row>
    <row r="79" spans="1:36" ht="15" x14ac:dyDescent="0.35">
      <c r="B79" t="s">
        <v>1956</v>
      </c>
      <c r="C79" s="305">
        <f>+C51</f>
        <v>154950</v>
      </c>
      <c r="D79" s="305">
        <f t="shared" ref="D79:U79" si="70">+D51</f>
        <v>155301</v>
      </c>
      <c r="E79" s="305">
        <f t="shared" si="70"/>
        <v>154771</v>
      </c>
      <c r="F79" s="305">
        <f t="shared" si="70"/>
        <v>154675</v>
      </c>
      <c r="G79" s="305">
        <f t="shared" si="70"/>
        <v>149757</v>
      </c>
      <c r="H79" s="305">
        <f t="shared" si="70"/>
        <v>148178</v>
      </c>
      <c r="I79" s="305">
        <f t="shared" si="70"/>
        <v>147475</v>
      </c>
      <c r="J79" s="305">
        <f t="shared" si="70"/>
        <v>149770</v>
      </c>
      <c r="K79" s="305">
        <f t="shared" si="70"/>
        <v>148854</v>
      </c>
      <c r="L79" s="305">
        <f t="shared" si="70"/>
        <v>148053</v>
      </c>
      <c r="M79" s="305">
        <f t="shared" si="70"/>
        <v>147432</v>
      </c>
      <c r="N79" s="305">
        <f t="shared" si="70"/>
        <v>114444.12</v>
      </c>
      <c r="O79" s="305">
        <f t="shared" si="70"/>
        <v>113481</v>
      </c>
      <c r="P79" s="305">
        <f t="shared" si="70"/>
        <v>112516</v>
      </c>
      <c r="Q79" s="305">
        <f t="shared" si="70"/>
        <v>114550</v>
      </c>
      <c r="R79" s="305">
        <f t="shared" si="70"/>
        <v>114062</v>
      </c>
      <c r="S79" s="305">
        <f t="shared" si="70"/>
        <v>113573</v>
      </c>
      <c r="T79" s="305">
        <f t="shared" si="70"/>
        <v>113080</v>
      </c>
      <c r="U79" s="305">
        <f t="shared" si="70"/>
        <v>112562</v>
      </c>
      <c r="V79" s="305">
        <f t="shared" ref="V79:AC79" si="71">+V51</f>
        <v>112039</v>
      </c>
      <c r="W79" s="305">
        <f t="shared" si="71"/>
        <v>111490</v>
      </c>
      <c r="X79" s="305">
        <f t="shared" si="71"/>
        <v>113913</v>
      </c>
      <c r="Y79" s="305">
        <f t="shared" si="71"/>
        <v>59491</v>
      </c>
      <c r="Z79" s="305">
        <f t="shared" si="71"/>
        <v>58921</v>
      </c>
      <c r="AA79" s="305">
        <f t="shared" si="71"/>
        <v>58320</v>
      </c>
      <c r="AB79" s="305">
        <f t="shared" si="71"/>
        <v>57721</v>
      </c>
      <c r="AC79" s="305">
        <f t="shared" si="71"/>
        <v>60090</v>
      </c>
      <c r="AD79" s="305">
        <f t="shared" ref="AD79:AJ79" si="72">+AD51</f>
        <v>59382</v>
      </c>
      <c r="AE79" s="305">
        <f t="shared" si="72"/>
        <v>58674</v>
      </c>
      <c r="AF79" s="305">
        <f t="shared" si="72"/>
        <v>29131</v>
      </c>
      <c r="AG79" s="305">
        <f t="shared" si="72"/>
        <v>30930</v>
      </c>
      <c r="AH79" s="305">
        <f t="shared" si="72"/>
        <v>30746</v>
      </c>
      <c r="AI79" s="305">
        <f t="shared" si="72"/>
        <v>0</v>
      </c>
      <c r="AJ79" s="305">
        <f t="shared" si="72"/>
        <v>0</v>
      </c>
    </row>
    <row r="80" spans="1:36" x14ac:dyDescent="0.2">
      <c r="B80" t="s">
        <v>1958</v>
      </c>
      <c r="C80" s="2">
        <f>SUM(C78:C79)</f>
        <v>258251</v>
      </c>
      <c r="D80" s="2">
        <f t="shared" ref="D80:U80" si="73">SUM(D78:D79)</f>
        <v>258835</v>
      </c>
      <c r="E80" s="2">
        <f t="shared" si="73"/>
        <v>257952</v>
      </c>
      <c r="F80" s="2">
        <f t="shared" si="73"/>
        <v>257792</v>
      </c>
      <c r="G80" s="2">
        <f t="shared" si="73"/>
        <v>249594</v>
      </c>
      <c r="H80" s="2">
        <f t="shared" si="73"/>
        <v>246962</v>
      </c>
      <c r="I80" s="2">
        <f t="shared" si="73"/>
        <v>245792</v>
      </c>
      <c r="J80" s="2">
        <f t="shared" si="73"/>
        <v>249616</v>
      </c>
      <c r="K80" s="2">
        <f t="shared" si="73"/>
        <v>248088</v>
      </c>
      <c r="L80" s="2">
        <f t="shared" si="73"/>
        <v>246756</v>
      </c>
      <c r="M80" s="2">
        <f t="shared" si="73"/>
        <v>245721</v>
      </c>
      <c r="N80" s="2">
        <f t="shared" si="73"/>
        <v>190741.12</v>
      </c>
      <c r="O80" s="2">
        <f t="shared" si="73"/>
        <v>189136</v>
      </c>
      <c r="P80" s="2">
        <f t="shared" si="73"/>
        <v>187528</v>
      </c>
      <c r="Q80" s="2">
        <f t="shared" si="73"/>
        <v>190917</v>
      </c>
      <c r="R80" s="2">
        <f t="shared" si="73"/>
        <v>190104</v>
      </c>
      <c r="S80" s="2">
        <f t="shared" si="73"/>
        <v>189287</v>
      </c>
      <c r="T80" s="2">
        <f t="shared" si="73"/>
        <v>188468</v>
      </c>
      <c r="U80" s="2">
        <f t="shared" si="73"/>
        <v>187602</v>
      </c>
      <c r="V80" s="2">
        <f t="shared" ref="V80:AJ80" si="74">SUM(V78:V79)</f>
        <v>186733</v>
      </c>
      <c r="W80" s="2">
        <f t="shared" si="74"/>
        <v>185817</v>
      </c>
      <c r="X80" s="2">
        <f t="shared" si="74"/>
        <v>189854</v>
      </c>
      <c r="Y80" s="2">
        <f t="shared" si="74"/>
        <v>99151</v>
      </c>
      <c r="Z80" s="2">
        <f t="shared" si="74"/>
        <v>98201</v>
      </c>
      <c r="AA80" s="2">
        <f t="shared" si="74"/>
        <v>97201</v>
      </c>
      <c r="AB80" s="2">
        <f t="shared" si="74"/>
        <v>96201</v>
      </c>
      <c r="AC80" s="2">
        <f t="shared" si="74"/>
        <v>100151</v>
      </c>
      <c r="AD80" s="2">
        <f t="shared" si="74"/>
        <v>98970</v>
      </c>
      <c r="AE80" s="2">
        <f t="shared" si="74"/>
        <v>97789</v>
      </c>
      <c r="AF80" s="2">
        <f t="shared" si="74"/>
        <v>48551</v>
      </c>
      <c r="AG80" s="2">
        <f t="shared" si="74"/>
        <v>51551</v>
      </c>
      <c r="AH80" s="2">
        <f t="shared" si="74"/>
        <v>51243</v>
      </c>
      <c r="AI80" s="2">
        <f t="shared" si="74"/>
        <v>0</v>
      </c>
      <c r="AJ80" s="2">
        <f t="shared" si="74"/>
        <v>0</v>
      </c>
    </row>
    <row r="82" spans="2:36" x14ac:dyDescent="0.2">
      <c r="B82" s="220" t="s">
        <v>1959</v>
      </c>
      <c r="C82" s="2">
        <f>+C80-C76</f>
        <v>0</v>
      </c>
      <c r="D82" s="2">
        <f t="shared" ref="D82:U82" si="75">+D80-D76</f>
        <v>0</v>
      </c>
      <c r="E82" s="2">
        <f t="shared" si="75"/>
        <v>0</v>
      </c>
      <c r="F82" s="2">
        <f t="shared" si="75"/>
        <v>0</v>
      </c>
      <c r="G82" s="2">
        <f t="shared" si="75"/>
        <v>0</v>
      </c>
      <c r="H82" s="2">
        <f t="shared" si="75"/>
        <v>0</v>
      </c>
      <c r="I82" s="2">
        <f t="shared" si="75"/>
        <v>0</v>
      </c>
      <c r="J82" s="2">
        <f t="shared" si="75"/>
        <v>0</v>
      </c>
      <c r="K82" s="2">
        <f t="shared" si="75"/>
        <v>0</v>
      </c>
      <c r="L82" s="2">
        <f t="shared" si="75"/>
        <v>0</v>
      </c>
      <c r="M82" s="2">
        <f t="shared" si="75"/>
        <v>0</v>
      </c>
      <c r="N82" s="2">
        <f t="shared" si="75"/>
        <v>0</v>
      </c>
      <c r="O82" s="2">
        <f t="shared" si="75"/>
        <v>0</v>
      </c>
      <c r="P82" s="2">
        <f t="shared" si="75"/>
        <v>0</v>
      </c>
      <c r="Q82" s="2">
        <f t="shared" si="75"/>
        <v>0</v>
      </c>
      <c r="R82" s="2">
        <f t="shared" si="75"/>
        <v>0</v>
      </c>
      <c r="S82" s="2">
        <f t="shared" si="75"/>
        <v>0</v>
      </c>
      <c r="T82" s="2">
        <f t="shared" si="75"/>
        <v>0</v>
      </c>
      <c r="U82" s="2">
        <f t="shared" si="75"/>
        <v>0</v>
      </c>
      <c r="V82" s="2">
        <f t="shared" ref="V82:AC82" si="76">+V80-V76</f>
        <v>0</v>
      </c>
      <c r="W82" s="2">
        <f t="shared" si="76"/>
        <v>0</v>
      </c>
      <c r="X82" s="2">
        <f t="shared" si="76"/>
        <v>0</v>
      </c>
      <c r="Y82" s="2">
        <f t="shared" si="76"/>
        <v>0</v>
      </c>
      <c r="Z82" s="2">
        <f t="shared" si="76"/>
        <v>0</v>
      </c>
      <c r="AA82" s="2">
        <f t="shared" si="76"/>
        <v>0</v>
      </c>
      <c r="AB82" s="2">
        <f t="shared" si="76"/>
        <v>0</v>
      </c>
      <c r="AC82" s="2">
        <f t="shared" si="76"/>
        <v>0</v>
      </c>
      <c r="AD82" s="2">
        <f t="shared" ref="AD82:AJ82" si="77">+AD80-AD76</f>
        <v>0</v>
      </c>
      <c r="AE82" s="2">
        <f t="shared" si="77"/>
        <v>0</v>
      </c>
      <c r="AF82" s="2">
        <f t="shared" si="77"/>
        <v>0</v>
      </c>
      <c r="AG82" s="2">
        <f t="shared" si="77"/>
        <v>0</v>
      </c>
      <c r="AH82" s="2">
        <f t="shared" si="77"/>
        <v>0</v>
      </c>
      <c r="AI82" s="2">
        <f t="shared" si="77"/>
        <v>0</v>
      </c>
      <c r="AJ82" s="2">
        <f t="shared" si="77"/>
        <v>0</v>
      </c>
    </row>
  </sheetData>
  <hyperlinks>
    <hyperlink ref="A1" location="'Table of Contents'!A1" display="TOC" xr:uid="{00000000-0004-0000-4400-000000000000}"/>
  </hyperlinks>
  <pageMargins left="0.7" right="0.7" top="0.75" bottom="0.75" header="0.3" footer="0.3"/>
  <pageSetup orientation="portrait" r:id="rId1"/>
  <headerFooter>
    <oddFooter>&amp;L&amp;D &amp;T&amp;C&amp;F&amp;R&amp;A &amp;P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92D050"/>
  </sheetPr>
  <dimension ref="A1:AI210"/>
  <sheetViews>
    <sheetView workbookViewId="0"/>
  </sheetViews>
  <sheetFormatPr defaultRowHeight="12.75" x14ac:dyDescent="0.2"/>
  <cols>
    <col min="2" max="2" width="39.33203125" customWidth="1"/>
    <col min="3" max="3" width="12" hidden="1" customWidth="1"/>
    <col min="4" max="13" width="12" customWidth="1"/>
    <col min="14" max="30" width="10.6640625" customWidth="1"/>
    <col min="31" max="32" width="10.1640625" customWidth="1"/>
  </cols>
  <sheetData>
    <row r="1" spans="1:35" x14ac:dyDescent="0.2">
      <c r="A1" s="308" t="s">
        <v>197</v>
      </c>
      <c r="B1" s="7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row>
    <row r="2" spans="1:35" x14ac:dyDescent="0.2">
      <c r="A2" s="74"/>
      <c r="B2" s="74"/>
    </row>
    <row r="3" spans="1:35" ht="13.5" thickBot="1" x14ac:dyDescent="0.25">
      <c r="B3" s="8" t="s">
        <v>825</v>
      </c>
      <c r="C3" s="9" t="s">
        <v>568</v>
      </c>
      <c r="D3" s="9" t="s">
        <v>569</v>
      </c>
      <c r="E3" s="9" t="s">
        <v>570</v>
      </c>
      <c r="F3" s="9" t="s">
        <v>275</v>
      </c>
      <c r="G3" s="9" t="s">
        <v>276</v>
      </c>
      <c r="H3" s="9" t="s">
        <v>277</v>
      </c>
      <c r="I3" s="9" t="s">
        <v>571</v>
      </c>
      <c r="J3" s="9" t="s">
        <v>1508</v>
      </c>
      <c r="K3" s="9" t="s">
        <v>1509</v>
      </c>
      <c r="L3" s="9" t="s">
        <v>1510</v>
      </c>
      <c r="M3" s="9" t="s">
        <v>1511</v>
      </c>
      <c r="N3" s="9" t="s">
        <v>1512</v>
      </c>
      <c r="O3" s="9" t="s">
        <v>1513</v>
      </c>
      <c r="P3" s="9" t="s">
        <v>1514</v>
      </c>
      <c r="Q3" s="9" t="s">
        <v>1515</v>
      </c>
      <c r="R3" s="9" t="s">
        <v>1516</v>
      </c>
      <c r="S3" s="9" t="s">
        <v>1517</v>
      </c>
      <c r="T3" s="9" t="s">
        <v>1518</v>
      </c>
      <c r="U3" s="9" t="s">
        <v>1519</v>
      </c>
      <c r="V3" s="9" t="s">
        <v>1520</v>
      </c>
      <c r="W3" s="9" t="s">
        <v>1521</v>
      </c>
      <c r="X3" s="9" t="s">
        <v>1522</v>
      </c>
      <c r="Y3" s="9" t="s">
        <v>1523</v>
      </c>
      <c r="Z3" s="9" t="s">
        <v>1524</v>
      </c>
      <c r="AA3" s="9" t="s">
        <v>1525</v>
      </c>
      <c r="AB3" s="9" t="s">
        <v>1526</v>
      </c>
      <c r="AC3" s="9" t="s">
        <v>1527</v>
      </c>
      <c r="AD3" s="9" t="s">
        <v>1528</v>
      </c>
      <c r="AE3" s="9" t="s">
        <v>1529</v>
      </c>
      <c r="AF3" s="9" t="s">
        <v>1530</v>
      </c>
      <c r="AG3" s="9" t="s">
        <v>1531</v>
      </c>
      <c r="AH3" s="9" t="s">
        <v>1532</v>
      </c>
      <c r="AI3" s="9" t="s">
        <v>1533</v>
      </c>
    </row>
    <row r="4" spans="1:35" ht="13.5" thickTop="1" x14ac:dyDescent="0.2">
      <c r="B4" s="81" t="s">
        <v>1960</v>
      </c>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row>
    <row r="5" spans="1:35" x14ac:dyDescent="0.2">
      <c r="A5" s="26"/>
      <c r="B5" s="27"/>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row>
    <row r="6" spans="1:35" x14ac:dyDescent="0.2">
      <c r="A6" s="11">
        <v>5910</v>
      </c>
      <c r="B6" s="12" t="s">
        <v>1535</v>
      </c>
      <c r="C6" s="19"/>
      <c r="D6" s="19">
        <f t="shared" ref="D6:AI6" si="0">+D50+D69</f>
        <v>37940</v>
      </c>
      <c r="E6" s="19">
        <f t="shared" si="0"/>
        <v>35980</v>
      </c>
      <c r="F6" s="19">
        <f t="shared" si="0"/>
        <v>0</v>
      </c>
      <c r="G6" s="19">
        <f t="shared" si="0"/>
        <v>0</v>
      </c>
      <c r="H6" s="19">
        <f t="shared" si="0"/>
        <v>0</v>
      </c>
      <c r="I6" s="19">
        <f t="shared" si="0"/>
        <v>0</v>
      </c>
      <c r="J6" s="19">
        <f t="shared" si="0"/>
        <v>0</v>
      </c>
      <c r="K6" s="19">
        <f t="shared" si="0"/>
        <v>0</v>
      </c>
      <c r="L6" s="19">
        <f t="shared" si="0"/>
        <v>0</v>
      </c>
      <c r="M6" s="19">
        <f t="shared" si="0"/>
        <v>0</v>
      </c>
      <c r="N6" s="19">
        <f t="shared" si="0"/>
        <v>0</v>
      </c>
      <c r="O6" s="19">
        <f t="shared" si="0"/>
        <v>0</v>
      </c>
      <c r="P6" s="19">
        <f t="shared" si="0"/>
        <v>0</v>
      </c>
      <c r="Q6" s="19">
        <f t="shared" si="0"/>
        <v>0</v>
      </c>
      <c r="R6" s="19">
        <f t="shared" si="0"/>
        <v>0</v>
      </c>
      <c r="S6" s="19">
        <f t="shared" si="0"/>
        <v>0</v>
      </c>
      <c r="T6" s="19">
        <f t="shared" si="0"/>
        <v>0</v>
      </c>
      <c r="U6" s="19">
        <f t="shared" si="0"/>
        <v>0</v>
      </c>
      <c r="V6" s="19">
        <f t="shared" si="0"/>
        <v>0</v>
      </c>
      <c r="W6" s="19">
        <f t="shared" si="0"/>
        <v>0</v>
      </c>
      <c r="X6" s="19">
        <f t="shared" si="0"/>
        <v>0</v>
      </c>
      <c r="Y6" s="19">
        <f t="shared" si="0"/>
        <v>0</v>
      </c>
      <c r="Z6" s="19">
        <f t="shared" si="0"/>
        <v>0</v>
      </c>
      <c r="AA6" s="19">
        <f t="shared" si="0"/>
        <v>0</v>
      </c>
      <c r="AB6" s="19">
        <f t="shared" si="0"/>
        <v>0</v>
      </c>
      <c r="AC6" s="19">
        <f t="shared" si="0"/>
        <v>0</v>
      </c>
      <c r="AD6" s="19">
        <f t="shared" si="0"/>
        <v>0</v>
      </c>
      <c r="AE6" s="19">
        <f t="shared" si="0"/>
        <v>0</v>
      </c>
      <c r="AF6" s="19">
        <f t="shared" si="0"/>
        <v>0</v>
      </c>
      <c r="AG6" s="19">
        <f t="shared" si="0"/>
        <v>0</v>
      </c>
      <c r="AH6" s="19">
        <f t="shared" si="0"/>
        <v>0</v>
      </c>
      <c r="AI6" s="19">
        <f t="shared" si="0"/>
        <v>0</v>
      </c>
    </row>
    <row r="7" spans="1:35" x14ac:dyDescent="0.2">
      <c r="A7" s="11">
        <v>5916</v>
      </c>
      <c r="B7" s="12" t="s">
        <v>1536</v>
      </c>
      <c r="C7" s="19"/>
      <c r="D7" s="19">
        <f t="shared" ref="D7:AI7" si="1">+D51+D70</f>
        <v>25400</v>
      </c>
      <c r="E7" s="19">
        <f t="shared" si="1"/>
        <v>24600</v>
      </c>
      <c r="F7" s="19">
        <f t="shared" si="1"/>
        <v>18900</v>
      </c>
      <c r="G7" s="19">
        <f t="shared" si="1"/>
        <v>18300</v>
      </c>
      <c r="H7" s="19">
        <f t="shared" si="1"/>
        <v>17700</v>
      </c>
      <c r="I7" s="19">
        <f t="shared" si="1"/>
        <v>17100</v>
      </c>
      <c r="J7" s="19">
        <f t="shared" si="1"/>
        <v>16500</v>
      </c>
      <c r="K7" s="19">
        <f t="shared" si="1"/>
        <v>15900</v>
      </c>
      <c r="L7" s="19">
        <f t="shared" si="1"/>
        <v>15300</v>
      </c>
      <c r="M7" s="19">
        <f t="shared" si="1"/>
        <v>0</v>
      </c>
      <c r="N7" s="19">
        <f t="shared" si="1"/>
        <v>0</v>
      </c>
      <c r="O7" s="19">
        <f t="shared" si="1"/>
        <v>0</v>
      </c>
      <c r="P7" s="19">
        <f t="shared" si="1"/>
        <v>0</v>
      </c>
      <c r="Q7" s="19">
        <f t="shared" si="1"/>
        <v>0</v>
      </c>
      <c r="R7" s="19">
        <f t="shared" si="1"/>
        <v>0</v>
      </c>
      <c r="S7" s="19">
        <f t="shared" si="1"/>
        <v>0</v>
      </c>
      <c r="T7" s="19">
        <f t="shared" si="1"/>
        <v>0</v>
      </c>
      <c r="U7" s="19">
        <f t="shared" si="1"/>
        <v>0</v>
      </c>
      <c r="V7" s="19">
        <f t="shared" si="1"/>
        <v>0</v>
      </c>
      <c r="W7" s="19">
        <f t="shared" si="1"/>
        <v>0</v>
      </c>
      <c r="X7" s="19">
        <f t="shared" si="1"/>
        <v>0</v>
      </c>
      <c r="Y7" s="19">
        <f t="shared" si="1"/>
        <v>0</v>
      </c>
      <c r="Z7" s="19">
        <f t="shared" si="1"/>
        <v>0</v>
      </c>
      <c r="AA7" s="19">
        <f t="shared" si="1"/>
        <v>0</v>
      </c>
      <c r="AB7" s="19">
        <f t="shared" si="1"/>
        <v>0</v>
      </c>
      <c r="AC7" s="19">
        <f t="shared" si="1"/>
        <v>0</v>
      </c>
      <c r="AD7" s="19">
        <f t="shared" si="1"/>
        <v>0</v>
      </c>
      <c r="AE7" s="19">
        <f t="shared" si="1"/>
        <v>0</v>
      </c>
      <c r="AF7" s="19">
        <f t="shared" si="1"/>
        <v>0</v>
      </c>
      <c r="AG7" s="19">
        <f t="shared" si="1"/>
        <v>0</v>
      </c>
      <c r="AH7" s="19">
        <f t="shared" si="1"/>
        <v>0</v>
      </c>
      <c r="AI7" s="19">
        <f t="shared" si="1"/>
        <v>0</v>
      </c>
    </row>
    <row r="8" spans="1:35" x14ac:dyDescent="0.2">
      <c r="A8" s="11">
        <v>5920</v>
      </c>
      <c r="B8" s="12" t="s">
        <v>1537</v>
      </c>
      <c r="C8" s="19"/>
      <c r="D8" s="19">
        <f t="shared" ref="D8:AI8" si="2">+D52+D71</f>
        <v>395800</v>
      </c>
      <c r="E8" s="19">
        <f t="shared" si="2"/>
        <v>395000</v>
      </c>
      <c r="F8" s="19">
        <f t="shared" si="2"/>
        <v>398700</v>
      </c>
      <c r="G8" s="19">
        <f t="shared" si="2"/>
        <v>396900</v>
      </c>
      <c r="H8" s="19">
        <f t="shared" si="2"/>
        <v>399600</v>
      </c>
      <c r="I8" s="19">
        <f t="shared" si="2"/>
        <v>401700</v>
      </c>
      <c r="J8" s="19">
        <f t="shared" si="2"/>
        <v>403200</v>
      </c>
      <c r="K8" s="19">
        <f t="shared" si="2"/>
        <v>403200</v>
      </c>
      <c r="L8" s="19">
        <f t="shared" si="2"/>
        <v>401663</v>
      </c>
      <c r="M8" s="19">
        <f t="shared" si="2"/>
        <v>414113</v>
      </c>
      <c r="N8" s="19">
        <f t="shared" si="2"/>
        <v>0</v>
      </c>
      <c r="O8" s="19">
        <f t="shared" si="2"/>
        <v>0</v>
      </c>
      <c r="P8" s="19">
        <f t="shared" si="2"/>
        <v>0</v>
      </c>
      <c r="Q8" s="19">
        <f t="shared" si="2"/>
        <v>0</v>
      </c>
      <c r="R8" s="19">
        <f t="shared" si="2"/>
        <v>0</v>
      </c>
      <c r="S8" s="19">
        <f t="shared" si="2"/>
        <v>0</v>
      </c>
      <c r="T8" s="19">
        <f t="shared" si="2"/>
        <v>0</v>
      </c>
      <c r="U8" s="19">
        <f t="shared" si="2"/>
        <v>0</v>
      </c>
      <c r="V8" s="19">
        <f t="shared" si="2"/>
        <v>0</v>
      </c>
      <c r="W8" s="19">
        <f t="shared" si="2"/>
        <v>0</v>
      </c>
      <c r="X8" s="19">
        <f t="shared" si="2"/>
        <v>0</v>
      </c>
      <c r="Y8" s="19">
        <f t="shared" si="2"/>
        <v>0</v>
      </c>
      <c r="Z8" s="19">
        <f t="shared" si="2"/>
        <v>0</v>
      </c>
      <c r="AA8" s="19">
        <f t="shared" si="2"/>
        <v>0</v>
      </c>
      <c r="AB8" s="19">
        <f t="shared" si="2"/>
        <v>0</v>
      </c>
      <c r="AC8" s="19">
        <f t="shared" si="2"/>
        <v>0</v>
      </c>
      <c r="AD8" s="19">
        <f t="shared" si="2"/>
        <v>0</v>
      </c>
      <c r="AE8" s="19">
        <f t="shared" si="2"/>
        <v>0</v>
      </c>
      <c r="AF8" s="19">
        <f t="shared" si="2"/>
        <v>0</v>
      </c>
      <c r="AG8" s="19">
        <f t="shared" si="2"/>
        <v>0</v>
      </c>
      <c r="AH8" s="19">
        <f t="shared" si="2"/>
        <v>0</v>
      </c>
      <c r="AI8" s="19">
        <f t="shared" si="2"/>
        <v>0</v>
      </c>
    </row>
    <row r="9" spans="1:35" x14ac:dyDescent="0.2">
      <c r="A9" s="11">
        <v>5930</v>
      </c>
      <c r="B9" s="102" t="s">
        <v>1538</v>
      </c>
      <c r="C9" s="19"/>
      <c r="D9" s="19">
        <f>+D151+D157+D158</f>
        <v>23546</v>
      </c>
      <c r="E9" s="19">
        <f t="shared" ref="E9:AI9" si="3">+E151+E157+E158</f>
        <v>23516</v>
      </c>
      <c r="F9" s="19">
        <f t="shared" si="3"/>
        <v>23809</v>
      </c>
      <c r="G9" s="19">
        <f t="shared" si="3"/>
        <v>23455</v>
      </c>
      <c r="H9" s="19">
        <f t="shared" si="3"/>
        <v>23422</v>
      </c>
      <c r="I9" s="19">
        <f t="shared" si="3"/>
        <v>23390</v>
      </c>
      <c r="J9" s="19">
        <f t="shared" si="3"/>
        <v>23357</v>
      </c>
      <c r="K9" s="19">
        <f t="shared" si="3"/>
        <v>23325</v>
      </c>
      <c r="L9" s="19">
        <f t="shared" si="3"/>
        <v>23451</v>
      </c>
      <c r="M9" s="19">
        <f t="shared" si="3"/>
        <v>0</v>
      </c>
      <c r="N9" s="19">
        <f t="shared" si="3"/>
        <v>0</v>
      </c>
      <c r="O9" s="19">
        <f t="shared" si="3"/>
        <v>0</v>
      </c>
      <c r="P9" s="19">
        <f t="shared" si="3"/>
        <v>0</v>
      </c>
      <c r="Q9" s="19">
        <f t="shared" si="3"/>
        <v>0</v>
      </c>
      <c r="R9" s="19">
        <f t="shared" si="3"/>
        <v>0</v>
      </c>
      <c r="S9" s="19">
        <f t="shared" si="3"/>
        <v>0</v>
      </c>
      <c r="T9" s="19">
        <f t="shared" si="3"/>
        <v>0</v>
      </c>
      <c r="U9" s="19">
        <f t="shared" si="3"/>
        <v>0</v>
      </c>
      <c r="V9" s="19">
        <f t="shared" si="3"/>
        <v>0</v>
      </c>
      <c r="W9" s="19">
        <f t="shared" si="3"/>
        <v>0</v>
      </c>
      <c r="X9" s="19">
        <f t="shared" si="3"/>
        <v>0</v>
      </c>
      <c r="Y9" s="19">
        <f t="shared" si="3"/>
        <v>0</v>
      </c>
      <c r="Z9" s="19">
        <f t="shared" si="3"/>
        <v>0</v>
      </c>
      <c r="AA9" s="19">
        <f t="shared" si="3"/>
        <v>0</v>
      </c>
      <c r="AB9" s="19">
        <f t="shared" si="3"/>
        <v>0</v>
      </c>
      <c r="AC9" s="19">
        <f t="shared" si="3"/>
        <v>0</v>
      </c>
      <c r="AD9" s="19">
        <f t="shared" si="3"/>
        <v>0</v>
      </c>
      <c r="AE9" s="19">
        <f t="shared" si="3"/>
        <v>0</v>
      </c>
      <c r="AF9" s="19">
        <f t="shared" si="3"/>
        <v>0</v>
      </c>
      <c r="AG9" s="19">
        <f t="shared" si="3"/>
        <v>0</v>
      </c>
      <c r="AH9" s="19">
        <f t="shared" si="3"/>
        <v>0</v>
      </c>
      <c r="AI9" s="19">
        <f t="shared" si="3"/>
        <v>0</v>
      </c>
    </row>
    <row r="10" spans="1:35" x14ac:dyDescent="0.2">
      <c r="A10" s="11">
        <v>5931</v>
      </c>
      <c r="B10" s="60" t="s">
        <v>1539</v>
      </c>
      <c r="C10" s="19"/>
      <c r="D10" s="19">
        <f>+D152+D159+D160</f>
        <v>36711</v>
      </c>
      <c r="E10" s="19">
        <f t="shared" ref="E10:AI10" si="4">+E152+E159+E160</f>
        <v>36678</v>
      </c>
      <c r="F10" s="19">
        <f t="shared" si="4"/>
        <v>36642</v>
      </c>
      <c r="G10" s="19">
        <f t="shared" si="4"/>
        <v>36606</v>
      </c>
      <c r="H10" s="19">
        <f t="shared" si="4"/>
        <v>36571</v>
      </c>
      <c r="I10" s="19">
        <f t="shared" si="4"/>
        <v>36533</v>
      </c>
      <c r="J10" s="19">
        <f t="shared" si="4"/>
        <v>36454</v>
      </c>
      <c r="K10" s="19">
        <f t="shared" si="4"/>
        <v>36455</v>
      </c>
      <c r="L10" s="19">
        <f t="shared" si="4"/>
        <v>36415</v>
      </c>
      <c r="M10" s="19">
        <f t="shared" si="4"/>
        <v>36374</v>
      </c>
      <c r="N10" s="19">
        <f t="shared" si="4"/>
        <v>36331</v>
      </c>
      <c r="O10" s="19">
        <f t="shared" si="4"/>
        <v>36288</v>
      </c>
      <c r="P10" s="19">
        <f t="shared" si="4"/>
        <v>36243</v>
      </c>
      <c r="Q10" s="19">
        <f t="shared" si="4"/>
        <v>36199</v>
      </c>
      <c r="R10" s="19">
        <f t="shared" si="4"/>
        <v>36151</v>
      </c>
      <c r="S10" s="19">
        <f t="shared" si="4"/>
        <v>36105</v>
      </c>
      <c r="T10" s="19">
        <f t="shared" si="4"/>
        <v>36055</v>
      </c>
      <c r="U10" s="19">
        <f t="shared" si="4"/>
        <v>36006</v>
      </c>
      <c r="V10" s="19">
        <f t="shared" si="4"/>
        <v>35954</v>
      </c>
      <c r="W10" s="19">
        <f t="shared" si="4"/>
        <v>35901</v>
      </c>
      <c r="X10" s="19">
        <f t="shared" si="4"/>
        <v>0</v>
      </c>
      <c r="Y10" s="19">
        <f t="shared" si="4"/>
        <v>0</v>
      </c>
      <c r="Z10" s="19">
        <f t="shared" si="4"/>
        <v>0</v>
      </c>
      <c r="AA10" s="19">
        <f t="shared" si="4"/>
        <v>0</v>
      </c>
      <c r="AB10" s="19">
        <f t="shared" si="4"/>
        <v>0</v>
      </c>
      <c r="AC10" s="19">
        <f t="shared" si="4"/>
        <v>0</v>
      </c>
      <c r="AD10" s="19">
        <f t="shared" si="4"/>
        <v>0</v>
      </c>
      <c r="AE10" s="19">
        <f t="shared" si="4"/>
        <v>0</v>
      </c>
      <c r="AF10" s="19">
        <f t="shared" si="4"/>
        <v>0</v>
      </c>
      <c r="AG10" s="19">
        <f t="shared" si="4"/>
        <v>0</v>
      </c>
      <c r="AH10" s="19">
        <f t="shared" si="4"/>
        <v>0</v>
      </c>
      <c r="AI10" s="19">
        <f t="shared" si="4"/>
        <v>0</v>
      </c>
    </row>
    <row r="11" spans="1:35" x14ac:dyDescent="0.2">
      <c r="A11" s="11">
        <v>5932</v>
      </c>
      <c r="B11" s="60" t="s">
        <v>1540</v>
      </c>
      <c r="C11" s="19"/>
      <c r="D11" s="19">
        <f>+D153+D161</f>
        <v>22304</v>
      </c>
      <c r="E11" s="19">
        <f t="shared" ref="E11:AI11" si="5">+E153+E161</f>
        <v>22303</v>
      </c>
      <c r="F11" s="19">
        <f t="shared" si="5"/>
        <v>22303</v>
      </c>
      <c r="G11" s="19">
        <f t="shared" si="5"/>
        <v>22303</v>
      </c>
      <c r="H11" s="19">
        <f t="shared" si="5"/>
        <v>22303</v>
      </c>
      <c r="I11" s="19">
        <f t="shared" si="5"/>
        <v>22303</v>
      </c>
      <c r="J11" s="19">
        <f t="shared" si="5"/>
        <v>22304</v>
      </c>
      <c r="K11" s="19">
        <f t="shared" si="5"/>
        <v>22303</v>
      </c>
      <c r="L11" s="19">
        <f t="shared" si="5"/>
        <v>22303</v>
      </c>
      <c r="M11" s="19">
        <f t="shared" si="5"/>
        <v>22304</v>
      </c>
      <c r="N11" s="19">
        <f t="shared" si="5"/>
        <v>22303</v>
      </c>
      <c r="O11" s="19">
        <f t="shared" si="5"/>
        <v>22304</v>
      </c>
      <c r="P11" s="19">
        <f t="shared" si="5"/>
        <v>22303</v>
      </c>
      <c r="Q11" s="19">
        <f t="shared" si="5"/>
        <v>22303</v>
      </c>
      <c r="R11" s="19">
        <f t="shared" si="5"/>
        <v>22303</v>
      </c>
      <c r="S11" s="19">
        <f t="shared" si="5"/>
        <v>22303</v>
      </c>
      <c r="T11" s="19">
        <f t="shared" si="5"/>
        <v>22304</v>
      </c>
      <c r="U11" s="19">
        <f t="shared" si="5"/>
        <v>22303</v>
      </c>
      <c r="V11" s="19">
        <f t="shared" si="5"/>
        <v>22303</v>
      </c>
      <c r="W11" s="19">
        <f t="shared" si="5"/>
        <v>22303</v>
      </c>
      <c r="X11" s="19">
        <f t="shared" si="5"/>
        <v>22303</v>
      </c>
      <c r="Y11" s="19">
        <f t="shared" si="5"/>
        <v>22303</v>
      </c>
      <c r="Z11" s="19">
        <f t="shared" si="5"/>
        <v>22303</v>
      </c>
      <c r="AA11" s="19">
        <f t="shared" si="5"/>
        <v>22303</v>
      </c>
      <c r="AB11" s="19">
        <f t="shared" si="5"/>
        <v>22303</v>
      </c>
      <c r="AC11" s="19">
        <f t="shared" si="5"/>
        <v>22303</v>
      </c>
      <c r="AD11" s="19">
        <f t="shared" si="5"/>
        <v>22303</v>
      </c>
      <c r="AE11" s="19">
        <f t="shared" si="5"/>
        <v>22234</v>
      </c>
      <c r="AF11" s="19">
        <f t="shared" si="5"/>
        <v>0</v>
      </c>
      <c r="AG11" s="19">
        <f t="shared" si="5"/>
        <v>0</v>
      </c>
      <c r="AH11" s="19">
        <f t="shared" si="5"/>
        <v>0</v>
      </c>
      <c r="AI11" s="19">
        <f t="shared" si="5"/>
        <v>0</v>
      </c>
    </row>
    <row r="12" spans="1:35" x14ac:dyDescent="0.2">
      <c r="A12" s="11">
        <v>5933</v>
      </c>
      <c r="B12" s="60" t="s">
        <v>1541</v>
      </c>
      <c r="C12" s="19"/>
      <c r="D12" s="19">
        <f>+D154+D162</f>
        <v>20620</v>
      </c>
      <c r="E12" s="19">
        <f t="shared" ref="E12:AI12" si="6">+E154+E162</f>
        <v>20620</v>
      </c>
      <c r="F12" s="19">
        <f t="shared" si="6"/>
        <v>20621</v>
      </c>
      <c r="G12" s="19">
        <f t="shared" si="6"/>
        <v>20620</v>
      </c>
      <c r="H12" s="19">
        <f t="shared" si="6"/>
        <v>20621</v>
      </c>
      <c r="I12" s="19">
        <f t="shared" si="6"/>
        <v>20620</v>
      </c>
      <c r="J12" s="19">
        <f t="shared" si="6"/>
        <v>20620</v>
      </c>
      <c r="K12" s="19">
        <f t="shared" si="6"/>
        <v>20620</v>
      </c>
      <c r="L12" s="19">
        <f t="shared" si="6"/>
        <v>20620</v>
      </c>
      <c r="M12" s="19">
        <f t="shared" si="6"/>
        <v>20621</v>
      </c>
      <c r="N12" s="19">
        <f t="shared" si="6"/>
        <v>20621</v>
      </c>
      <c r="O12" s="19">
        <f t="shared" si="6"/>
        <v>20621</v>
      </c>
      <c r="P12" s="19">
        <f t="shared" si="6"/>
        <v>20621</v>
      </c>
      <c r="Q12" s="19">
        <f t="shared" si="6"/>
        <v>20620</v>
      </c>
      <c r="R12" s="19">
        <f t="shared" si="6"/>
        <v>20620</v>
      </c>
      <c r="S12" s="19">
        <f t="shared" si="6"/>
        <v>20620</v>
      </c>
      <c r="T12" s="19">
        <f t="shared" si="6"/>
        <v>20620</v>
      </c>
      <c r="U12" s="19">
        <f t="shared" si="6"/>
        <v>20620</v>
      </c>
      <c r="V12" s="19">
        <f t="shared" si="6"/>
        <v>20620</v>
      </c>
      <c r="W12" s="19">
        <f t="shared" si="6"/>
        <v>20620</v>
      </c>
      <c r="X12" s="19">
        <f t="shared" si="6"/>
        <v>20620</v>
      </c>
      <c r="Y12" s="19">
        <f t="shared" si="6"/>
        <v>20620</v>
      </c>
      <c r="Z12" s="19">
        <f t="shared" si="6"/>
        <v>20621</v>
      </c>
      <c r="AA12" s="19">
        <f t="shared" si="6"/>
        <v>20620</v>
      </c>
      <c r="AB12" s="19">
        <f t="shared" si="6"/>
        <v>20621</v>
      </c>
      <c r="AC12" s="19">
        <f t="shared" si="6"/>
        <v>20620</v>
      </c>
      <c r="AD12" s="19">
        <f t="shared" si="6"/>
        <v>20620</v>
      </c>
      <c r="AE12" s="19">
        <f t="shared" si="6"/>
        <v>20620</v>
      </c>
      <c r="AF12" s="19">
        <f t="shared" si="6"/>
        <v>20621</v>
      </c>
      <c r="AG12" s="19">
        <f t="shared" si="6"/>
        <v>20497</v>
      </c>
      <c r="AH12" s="19">
        <f t="shared" si="6"/>
        <v>0</v>
      </c>
      <c r="AI12" s="19">
        <f t="shared" si="6"/>
        <v>0</v>
      </c>
    </row>
    <row r="13" spans="1:35" x14ac:dyDescent="0.2">
      <c r="A13" s="11">
        <v>5934</v>
      </c>
      <c r="B13" s="12" t="s">
        <v>1542</v>
      </c>
      <c r="C13" s="19"/>
      <c r="D13" s="19">
        <f t="shared" ref="D13:AI13" si="7">+D57+D78</f>
        <v>6975</v>
      </c>
      <c r="E13" s="19">
        <f t="shared" si="7"/>
        <v>6775</v>
      </c>
      <c r="F13" s="19">
        <f t="shared" si="7"/>
        <v>6575</v>
      </c>
      <c r="G13" s="19">
        <f t="shared" si="7"/>
        <v>6375</v>
      </c>
      <c r="H13" s="19">
        <f t="shared" si="7"/>
        <v>6175</v>
      </c>
      <c r="I13" s="19">
        <f t="shared" si="7"/>
        <v>5975</v>
      </c>
      <c r="J13" s="19">
        <f t="shared" si="7"/>
        <v>5775</v>
      </c>
      <c r="K13" s="19">
        <f t="shared" si="7"/>
        <v>5563</v>
      </c>
      <c r="L13" s="19">
        <f t="shared" si="7"/>
        <v>5338</v>
      </c>
      <c r="M13" s="19">
        <f t="shared" si="7"/>
        <v>5113</v>
      </c>
      <c r="N13" s="19">
        <f t="shared" si="7"/>
        <v>0</v>
      </c>
      <c r="O13" s="19">
        <f t="shared" si="7"/>
        <v>0</v>
      </c>
      <c r="P13" s="19">
        <f t="shared" si="7"/>
        <v>0</v>
      </c>
      <c r="Q13" s="19">
        <f t="shared" si="7"/>
        <v>0</v>
      </c>
      <c r="R13" s="19">
        <f t="shared" si="7"/>
        <v>0</v>
      </c>
      <c r="S13" s="19">
        <f t="shared" si="7"/>
        <v>0</v>
      </c>
      <c r="T13" s="19">
        <f t="shared" si="7"/>
        <v>0</v>
      </c>
      <c r="U13" s="19">
        <f t="shared" si="7"/>
        <v>0</v>
      </c>
      <c r="V13" s="19">
        <f t="shared" si="7"/>
        <v>0</v>
      </c>
      <c r="W13" s="19">
        <f t="shared" si="7"/>
        <v>0</v>
      </c>
      <c r="X13" s="19">
        <f t="shared" si="7"/>
        <v>0</v>
      </c>
      <c r="Y13" s="19">
        <f t="shared" si="7"/>
        <v>0</v>
      </c>
      <c r="Z13" s="19">
        <f t="shared" si="7"/>
        <v>0</v>
      </c>
      <c r="AA13" s="19">
        <f t="shared" si="7"/>
        <v>0</v>
      </c>
      <c r="AB13" s="19">
        <f t="shared" si="7"/>
        <v>0</v>
      </c>
      <c r="AC13" s="19">
        <f t="shared" si="7"/>
        <v>0</v>
      </c>
      <c r="AD13" s="19">
        <f t="shared" si="7"/>
        <v>0</v>
      </c>
      <c r="AE13" s="19">
        <f t="shared" si="7"/>
        <v>0</v>
      </c>
      <c r="AF13" s="19">
        <f t="shared" si="7"/>
        <v>0</v>
      </c>
      <c r="AG13" s="19">
        <f t="shared" si="7"/>
        <v>0</v>
      </c>
      <c r="AH13" s="19">
        <f t="shared" si="7"/>
        <v>0</v>
      </c>
      <c r="AI13" s="19">
        <f t="shared" si="7"/>
        <v>0</v>
      </c>
    </row>
    <row r="14" spans="1:35" x14ac:dyDescent="0.2">
      <c r="A14" s="11">
        <v>5936</v>
      </c>
      <c r="B14" s="12" t="s">
        <v>1544</v>
      </c>
      <c r="C14" s="19"/>
      <c r="D14" s="19">
        <f t="shared" ref="D14:AI14" si="8">+D58+D79</f>
        <v>8263</v>
      </c>
      <c r="E14" s="19">
        <f t="shared" si="8"/>
        <v>8263</v>
      </c>
      <c r="F14" s="19">
        <f t="shared" si="8"/>
        <v>8263</v>
      </c>
      <c r="G14" s="19">
        <f t="shared" si="8"/>
        <v>8263</v>
      </c>
      <c r="H14" s="19">
        <f t="shared" si="8"/>
        <v>8263</v>
      </c>
      <c r="I14" s="19">
        <f t="shared" si="8"/>
        <v>8263</v>
      </c>
      <c r="J14" s="19">
        <f t="shared" si="8"/>
        <v>8263</v>
      </c>
      <c r="K14" s="19">
        <f t="shared" si="8"/>
        <v>8264</v>
      </c>
      <c r="L14" s="19">
        <f t="shared" si="8"/>
        <v>8263</v>
      </c>
      <c r="M14" s="19">
        <f t="shared" si="8"/>
        <v>8263</v>
      </c>
      <c r="N14" s="19">
        <f t="shared" si="8"/>
        <v>8263</v>
      </c>
      <c r="O14" s="19">
        <f t="shared" si="8"/>
        <v>8263</v>
      </c>
      <c r="P14" s="19">
        <f t="shared" si="8"/>
        <v>8263</v>
      </c>
      <c r="Q14" s="19">
        <f t="shared" si="8"/>
        <v>8264</v>
      </c>
      <c r="R14" s="19">
        <f t="shared" si="8"/>
        <v>8263</v>
      </c>
      <c r="S14" s="19">
        <f t="shared" si="8"/>
        <v>0</v>
      </c>
      <c r="T14" s="19">
        <f t="shared" si="8"/>
        <v>0</v>
      </c>
      <c r="U14" s="19">
        <f t="shared" si="8"/>
        <v>0</v>
      </c>
      <c r="V14" s="19">
        <f t="shared" si="8"/>
        <v>0</v>
      </c>
      <c r="W14" s="19">
        <f t="shared" si="8"/>
        <v>0</v>
      </c>
      <c r="X14" s="19">
        <f t="shared" si="8"/>
        <v>0</v>
      </c>
      <c r="Y14" s="19">
        <f t="shared" si="8"/>
        <v>0</v>
      </c>
      <c r="Z14" s="19">
        <f t="shared" si="8"/>
        <v>0</v>
      </c>
      <c r="AA14" s="19">
        <f t="shared" si="8"/>
        <v>0</v>
      </c>
      <c r="AB14" s="19">
        <f t="shared" si="8"/>
        <v>0</v>
      </c>
      <c r="AC14" s="19">
        <f t="shared" si="8"/>
        <v>0</v>
      </c>
      <c r="AD14" s="19">
        <f t="shared" si="8"/>
        <v>0</v>
      </c>
      <c r="AE14" s="19">
        <f t="shared" si="8"/>
        <v>0</v>
      </c>
      <c r="AF14" s="19">
        <f t="shared" si="8"/>
        <v>0</v>
      </c>
      <c r="AG14" s="19">
        <f t="shared" si="8"/>
        <v>0</v>
      </c>
      <c r="AH14" s="19">
        <f t="shared" si="8"/>
        <v>0</v>
      </c>
      <c r="AI14" s="19">
        <f t="shared" si="8"/>
        <v>0</v>
      </c>
    </row>
    <row r="15" spans="1:35" x14ac:dyDescent="0.2">
      <c r="A15" s="26">
        <v>5937</v>
      </c>
      <c r="B15" s="12" t="s">
        <v>1545</v>
      </c>
      <c r="C15" s="19"/>
      <c r="D15" s="19">
        <f t="shared" ref="D15:AI15" si="9">+D59+D80</f>
        <v>7825</v>
      </c>
      <c r="E15" s="19">
        <f t="shared" si="9"/>
        <v>7675</v>
      </c>
      <c r="F15" s="19">
        <f t="shared" si="9"/>
        <v>7525</v>
      </c>
      <c r="G15" s="19">
        <f t="shared" si="9"/>
        <v>7375</v>
      </c>
      <c r="H15" s="19">
        <f t="shared" si="9"/>
        <v>7225</v>
      </c>
      <c r="I15" s="19">
        <f t="shared" si="9"/>
        <v>7075</v>
      </c>
      <c r="J15" s="19">
        <f t="shared" si="9"/>
        <v>6925</v>
      </c>
      <c r="K15" s="19">
        <f t="shared" si="9"/>
        <v>6738</v>
      </c>
      <c r="L15" s="19">
        <f t="shared" si="9"/>
        <v>6550</v>
      </c>
      <c r="M15" s="19">
        <f t="shared" si="9"/>
        <v>6363</v>
      </c>
      <c r="N15" s="19">
        <f t="shared" si="9"/>
        <v>6175</v>
      </c>
      <c r="O15" s="19">
        <f t="shared" si="9"/>
        <v>5988</v>
      </c>
      <c r="P15" s="19">
        <f t="shared" si="9"/>
        <v>5800</v>
      </c>
      <c r="Q15" s="19">
        <f t="shared" si="9"/>
        <v>5600</v>
      </c>
      <c r="R15" s="19">
        <f t="shared" si="9"/>
        <v>5400</v>
      </c>
      <c r="S15" s="19">
        <f t="shared" si="9"/>
        <v>5200</v>
      </c>
      <c r="T15" s="19">
        <f t="shared" si="9"/>
        <v>0</v>
      </c>
      <c r="U15" s="19">
        <f t="shared" si="9"/>
        <v>0</v>
      </c>
      <c r="V15" s="19">
        <f t="shared" si="9"/>
        <v>0</v>
      </c>
      <c r="W15" s="19">
        <f t="shared" si="9"/>
        <v>0</v>
      </c>
      <c r="X15" s="19">
        <f t="shared" si="9"/>
        <v>0</v>
      </c>
      <c r="Y15" s="19">
        <f t="shared" si="9"/>
        <v>0</v>
      </c>
      <c r="Z15" s="19">
        <f t="shared" si="9"/>
        <v>0</v>
      </c>
      <c r="AA15" s="19">
        <f t="shared" si="9"/>
        <v>0</v>
      </c>
      <c r="AB15" s="19">
        <f t="shared" si="9"/>
        <v>0</v>
      </c>
      <c r="AC15" s="19">
        <f t="shared" si="9"/>
        <v>0</v>
      </c>
      <c r="AD15" s="19">
        <f t="shared" si="9"/>
        <v>0</v>
      </c>
      <c r="AE15" s="19">
        <f t="shared" si="9"/>
        <v>0</v>
      </c>
      <c r="AF15" s="19">
        <f t="shared" si="9"/>
        <v>0</v>
      </c>
      <c r="AG15" s="19">
        <f t="shared" si="9"/>
        <v>0</v>
      </c>
      <c r="AH15" s="19">
        <f t="shared" si="9"/>
        <v>0</v>
      </c>
      <c r="AI15" s="19">
        <f t="shared" si="9"/>
        <v>0</v>
      </c>
    </row>
    <row r="16" spans="1:35" x14ac:dyDescent="0.2">
      <c r="A16" s="26">
        <v>5938</v>
      </c>
      <c r="B16" s="12" t="s">
        <v>1546</v>
      </c>
      <c r="C16" s="19"/>
      <c r="D16" s="19">
        <f t="shared" ref="D16:AI16" si="10">+D60+D81</f>
        <v>10645</v>
      </c>
      <c r="E16" s="19">
        <f t="shared" si="10"/>
        <v>10430</v>
      </c>
      <c r="F16" s="19">
        <f t="shared" si="10"/>
        <v>10215</v>
      </c>
      <c r="G16" s="19">
        <f t="shared" si="10"/>
        <v>0</v>
      </c>
      <c r="H16" s="19">
        <f t="shared" si="10"/>
        <v>0</v>
      </c>
      <c r="I16" s="19">
        <f t="shared" si="10"/>
        <v>0</v>
      </c>
      <c r="J16" s="19">
        <f t="shared" si="10"/>
        <v>0</v>
      </c>
      <c r="K16" s="19">
        <f t="shared" si="10"/>
        <v>0</v>
      </c>
      <c r="L16" s="19">
        <f t="shared" si="10"/>
        <v>0</v>
      </c>
      <c r="M16" s="19">
        <f t="shared" si="10"/>
        <v>0</v>
      </c>
      <c r="N16" s="19">
        <f t="shared" si="10"/>
        <v>0</v>
      </c>
      <c r="O16" s="19">
        <f t="shared" si="10"/>
        <v>0</v>
      </c>
      <c r="P16" s="19">
        <f t="shared" si="10"/>
        <v>0</v>
      </c>
      <c r="Q16" s="19">
        <f t="shared" si="10"/>
        <v>0</v>
      </c>
      <c r="R16" s="19">
        <f t="shared" si="10"/>
        <v>0</v>
      </c>
      <c r="S16" s="19">
        <f t="shared" si="10"/>
        <v>0</v>
      </c>
      <c r="T16" s="19">
        <f t="shared" si="10"/>
        <v>0</v>
      </c>
      <c r="U16" s="19">
        <f t="shared" si="10"/>
        <v>0</v>
      </c>
      <c r="V16" s="19">
        <f t="shared" si="10"/>
        <v>0</v>
      </c>
      <c r="W16" s="19">
        <f t="shared" si="10"/>
        <v>0</v>
      </c>
      <c r="X16" s="19">
        <f t="shared" si="10"/>
        <v>0</v>
      </c>
      <c r="Y16" s="19">
        <f t="shared" si="10"/>
        <v>0</v>
      </c>
      <c r="Z16" s="19">
        <f t="shared" si="10"/>
        <v>0</v>
      </c>
      <c r="AA16" s="19">
        <f t="shared" si="10"/>
        <v>0</v>
      </c>
      <c r="AB16" s="19">
        <f t="shared" si="10"/>
        <v>0</v>
      </c>
      <c r="AC16" s="19">
        <f t="shared" si="10"/>
        <v>0</v>
      </c>
      <c r="AD16" s="19">
        <f t="shared" si="10"/>
        <v>0</v>
      </c>
      <c r="AE16" s="19">
        <f t="shared" si="10"/>
        <v>0</v>
      </c>
      <c r="AF16" s="19">
        <f t="shared" si="10"/>
        <v>0</v>
      </c>
      <c r="AG16" s="19">
        <f t="shared" si="10"/>
        <v>0</v>
      </c>
      <c r="AH16" s="19">
        <f t="shared" si="10"/>
        <v>0</v>
      </c>
      <c r="AI16" s="19">
        <f t="shared" si="10"/>
        <v>0</v>
      </c>
    </row>
    <row r="17" spans="1:35" x14ac:dyDescent="0.2">
      <c r="A17" s="26">
        <v>5939</v>
      </c>
      <c r="B17" s="12" t="s">
        <v>1547</v>
      </c>
      <c r="C17" s="19"/>
      <c r="D17" s="19">
        <f t="shared" ref="D17:AI17" si="11">+D61+D82</f>
        <v>10645</v>
      </c>
      <c r="E17" s="19">
        <f t="shared" si="11"/>
        <v>10430</v>
      </c>
      <c r="F17" s="19">
        <f t="shared" si="11"/>
        <v>10215</v>
      </c>
      <c r="G17" s="19">
        <f t="shared" si="11"/>
        <v>0</v>
      </c>
      <c r="H17" s="19">
        <f t="shared" si="11"/>
        <v>0</v>
      </c>
      <c r="I17" s="19">
        <f t="shared" si="11"/>
        <v>0</v>
      </c>
      <c r="J17" s="19">
        <f t="shared" si="11"/>
        <v>0</v>
      </c>
      <c r="K17" s="19">
        <f t="shared" si="11"/>
        <v>0</v>
      </c>
      <c r="L17" s="19">
        <f t="shared" si="11"/>
        <v>0</v>
      </c>
      <c r="M17" s="19">
        <f t="shared" si="11"/>
        <v>0</v>
      </c>
      <c r="N17" s="19">
        <f t="shared" si="11"/>
        <v>0</v>
      </c>
      <c r="O17" s="19">
        <f t="shared" si="11"/>
        <v>0</v>
      </c>
      <c r="P17" s="19">
        <f t="shared" si="11"/>
        <v>0</v>
      </c>
      <c r="Q17" s="19">
        <f t="shared" si="11"/>
        <v>0</v>
      </c>
      <c r="R17" s="19">
        <f t="shared" si="11"/>
        <v>0</v>
      </c>
      <c r="S17" s="19">
        <f t="shared" si="11"/>
        <v>0</v>
      </c>
      <c r="T17" s="19">
        <f t="shared" si="11"/>
        <v>0</v>
      </c>
      <c r="U17" s="19">
        <f t="shared" si="11"/>
        <v>0</v>
      </c>
      <c r="V17" s="19">
        <f t="shared" si="11"/>
        <v>0</v>
      </c>
      <c r="W17" s="19">
        <f t="shared" si="11"/>
        <v>0</v>
      </c>
      <c r="X17" s="19">
        <f t="shared" si="11"/>
        <v>0</v>
      </c>
      <c r="Y17" s="19">
        <f t="shared" si="11"/>
        <v>0</v>
      </c>
      <c r="Z17" s="19">
        <f t="shared" si="11"/>
        <v>0</v>
      </c>
      <c r="AA17" s="19">
        <f t="shared" si="11"/>
        <v>0</v>
      </c>
      <c r="AB17" s="19">
        <f t="shared" si="11"/>
        <v>0</v>
      </c>
      <c r="AC17" s="19">
        <f t="shared" si="11"/>
        <v>0</v>
      </c>
      <c r="AD17" s="19">
        <f t="shared" si="11"/>
        <v>0</v>
      </c>
      <c r="AE17" s="19">
        <f t="shared" si="11"/>
        <v>0</v>
      </c>
      <c r="AF17" s="19">
        <f t="shared" si="11"/>
        <v>0</v>
      </c>
      <c r="AG17" s="19">
        <f t="shared" si="11"/>
        <v>0</v>
      </c>
      <c r="AH17" s="19">
        <f t="shared" si="11"/>
        <v>0</v>
      </c>
      <c r="AI17" s="19">
        <f t="shared" si="11"/>
        <v>0</v>
      </c>
    </row>
    <row r="18" spans="1:35" x14ac:dyDescent="0.2">
      <c r="A18" s="26">
        <v>5944</v>
      </c>
      <c r="B18" s="12" t="s">
        <v>1548</v>
      </c>
      <c r="C18" s="19"/>
      <c r="D18" s="19">
        <f t="shared" ref="D18:AI18" si="12">+D62+D83</f>
        <v>0</v>
      </c>
      <c r="E18" s="19">
        <f t="shared" si="12"/>
        <v>0</v>
      </c>
      <c r="F18" s="19">
        <f t="shared" si="12"/>
        <v>0</v>
      </c>
      <c r="G18" s="19">
        <f t="shared" si="12"/>
        <v>0</v>
      </c>
      <c r="H18" s="19">
        <f t="shared" si="12"/>
        <v>0</v>
      </c>
      <c r="I18" s="19">
        <f t="shared" si="12"/>
        <v>0</v>
      </c>
      <c r="J18" s="19">
        <f t="shared" si="12"/>
        <v>0</v>
      </c>
      <c r="K18" s="19">
        <f t="shared" si="12"/>
        <v>0</v>
      </c>
      <c r="L18" s="19">
        <f t="shared" si="12"/>
        <v>0</v>
      </c>
      <c r="M18" s="19">
        <f t="shared" si="12"/>
        <v>0</v>
      </c>
      <c r="N18" s="19">
        <f t="shared" si="12"/>
        <v>0</v>
      </c>
      <c r="O18" s="19">
        <f t="shared" si="12"/>
        <v>0</v>
      </c>
      <c r="P18" s="19">
        <f t="shared" si="12"/>
        <v>0</v>
      </c>
      <c r="Q18" s="19">
        <f t="shared" si="12"/>
        <v>0</v>
      </c>
      <c r="R18" s="19">
        <f t="shared" si="12"/>
        <v>0</v>
      </c>
      <c r="S18" s="19">
        <f t="shared" si="12"/>
        <v>0</v>
      </c>
      <c r="T18" s="19">
        <f t="shared" si="12"/>
        <v>0</v>
      </c>
      <c r="U18" s="19">
        <f t="shared" si="12"/>
        <v>0</v>
      </c>
      <c r="V18" s="19">
        <f t="shared" si="12"/>
        <v>0</v>
      </c>
      <c r="W18" s="19">
        <f t="shared" si="12"/>
        <v>0</v>
      </c>
      <c r="X18" s="19">
        <f t="shared" si="12"/>
        <v>0</v>
      </c>
      <c r="Y18" s="19">
        <f t="shared" si="12"/>
        <v>0</v>
      </c>
      <c r="Z18" s="19">
        <f t="shared" si="12"/>
        <v>0</v>
      </c>
      <c r="AA18" s="19">
        <f t="shared" si="12"/>
        <v>0</v>
      </c>
      <c r="AB18" s="19">
        <f t="shared" si="12"/>
        <v>0</v>
      </c>
      <c r="AC18" s="19">
        <f t="shared" si="12"/>
        <v>0</v>
      </c>
      <c r="AD18" s="19">
        <f t="shared" si="12"/>
        <v>0</v>
      </c>
      <c r="AE18" s="19">
        <f t="shared" si="12"/>
        <v>0</v>
      </c>
      <c r="AF18" s="19">
        <f t="shared" si="12"/>
        <v>0</v>
      </c>
      <c r="AG18" s="19">
        <f t="shared" si="12"/>
        <v>0</v>
      </c>
      <c r="AH18" s="19">
        <f t="shared" si="12"/>
        <v>0</v>
      </c>
      <c r="AI18" s="19">
        <f t="shared" si="12"/>
        <v>0</v>
      </c>
    </row>
    <row r="19" spans="1:35" x14ac:dyDescent="0.2">
      <c r="A19" s="26">
        <v>5947</v>
      </c>
      <c r="B19" s="12" t="s">
        <v>1549</v>
      </c>
      <c r="C19" s="19"/>
      <c r="D19" s="19">
        <f t="shared" ref="D19:AI19" si="13">+D63+D83</f>
        <v>3100</v>
      </c>
      <c r="E19" s="19">
        <f t="shared" si="13"/>
        <v>0</v>
      </c>
      <c r="F19" s="19">
        <f t="shared" si="13"/>
        <v>0</v>
      </c>
      <c r="G19" s="19">
        <f t="shared" si="13"/>
        <v>0</v>
      </c>
      <c r="H19" s="19">
        <f t="shared" si="13"/>
        <v>0</v>
      </c>
      <c r="I19" s="19">
        <f t="shared" si="13"/>
        <v>0</v>
      </c>
      <c r="J19" s="19">
        <f t="shared" si="13"/>
        <v>0</v>
      </c>
      <c r="K19" s="19">
        <f t="shared" si="13"/>
        <v>0</v>
      </c>
      <c r="L19" s="19">
        <f t="shared" si="13"/>
        <v>0</v>
      </c>
      <c r="M19" s="19">
        <f t="shared" si="13"/>
        <v>0</v>
      </c>
      <c r="N19" s="19">
        <f t="shared" si="13"/>
        <v>0</v>
      </c>
      <c r="O19" s="19">
        <f t="shared" si="13"/>
        <v>0</v>
      </c>
      <c r="P19" s="19">
        <f t="shared" si="13"/>
        <v>0</v>
      </c>
      <c r="Q19" s="19">
        <f t="shared" si="13"/>
        <v>0</v>
      </c>
      <c r="R19" s="19">
        <f t="shared" si="13"/>
        <v>0</v>
      </c>
      <c r="S19" s="19">
        <f t="shared" si="13"/>
        <v>0</v>
      </c>
      <c r="T19" s="19">
        <f t="shared" si="13"/>
        <v>0</v>
      </c>
      <c r="U19" s="19">
        <f t="shared" si="13"/>
        <v>0</v>
      </c>
      <c r="V19" s="19">
        <f t="shared" si="13"/>
        <v>0</v>
      </c>
      <c r="W19" s="19">
        <f t="shared" si="13"/>
        <v>0</v>
      </c>
      <c r="X19" s="19">
        <f t="shared" si="13"/>
        <v>0</v>
      </c>
      <c r="Y19" s="19">
        <f t="shared" si="13"/>
        <v>0</v>
      </c>
      <c r="Z19" s="19">
        <f t="shared" si="13"/>
        <v>0</v>
      </c>
      <c r="AA19" s="19">
        <f t="shared" si="13"/>
        <v>0</v>
      </c>
      <c r="AB19" s="19">
        <f t="shared" si="13"/>
        <v>0</v>
      </c>
      <c r="AC19" s="19">
        <f t="shared" si="13"/>
        <v>0</v>
      </c>
      <c r="AD19" s="19">
        <f t="shared" si="13"/>
        <v>0</v>
      </c>
      <c r="AE19" s="19">
        <f t="shared" si="13"/>
        <v>0</v>
      </c>
      <c r="AF19" s="19">
        <f t="shared" si="13"/>
        <v>0</v>
      </c>
      <c r="AG19" s="19">
        <f t="shared" si="13"/>
        <v>0</v>
      </c>
      <c r="AH19" s="19">
        <f t="shared" si="13"/>
        <v>0</v>
      </c>
      <c r="AI19" s="19">
        <f t="shared" si="13"/>
        <v>0</v>
      </c>
    </row>
    <row r="20" spans="1:35" x14ac:dyDescent="0.2">
      <c r="A20" s="26"/>
      <c r="B20" s="27"/>
      <c r="C20" s="19"/>
      <c r="D20" s="19">
        <f>+D64+D84</f>
        <v>0</v>
      </c>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1:35" x14ac:dyDescent="0.2">
      <c r="A21" s="26"/>
      <c r="B21" s="27" t="s">
        <v>1961</v>
      </c>
      <c r="C21" s="19"/>
      <c r="D21" s="19">
        <f>+D65+D86</f>
        <v>132560</v>
      </c>
      <c r="E21" s="19">
        <f t="shared" ref="E21:AI21" si="14">+E65+E86</f>
        <v>128312</v>
      </c>
      <c r="F21" s="19">
        <f t="shared" si="14"/>
        <v>124016</v>
      </c>
      <c r="G21" s="19">
        <f t="shared" si="14"/>
        <v>119719</v>
      </c>
      <c r="H21" s="19">
        <f t="shared" si="14"/>
        <v>115325</v>
      </c>
      <c r="I21" s="19">
        <f t="shared" si="14"/>
        <v>110930</v>
      </c>
      <c r="J21" s="19">
        <f t="shared" si="14"/>
        <v>106536</v>
      </c>
      <c r="K21" s="19">
        <f t="shared" si="14"/>
        <v>102142</v>
      </c>
      <c r="L21" s="19">
        <f t="shared" si="14"/>
        <v>0</v>
      </c>
      <c r="M21" s="19">
        <f t="shared" si="14"/>
        <v>0</v>
      </c>
      <c r="N21" s="19">
        <f t="shared" si="14"/>
        <v>0</v>
      </c>
      <c r="O21" s="19">
        <f t="shared" si="14"/>
        <v>0</v>
      </c>
      <c r="P21" s="19">
        <f t="shared" si="14"/>
        <v>0</v>
      </c>
      <c r="Q21" s="19">
        <f t="shared" si="14"/>
        <v>0</v>
      </c>
      <c r="R21" s="19">
        <f t="shared" si="14"/>
        <v>0</v>
      </c>
      <c r="S21" s="19">
        <f t="shared" si="14"/>
        <v>0</v>
      </c>
      <c r="T21" s="19">
        <f t="shared" si="14"/>
        <v>0</v>
      </c>
      <c r="U21" s="19">
        <f t="shared" si="14"/>
        <v>0</v>
      </c>
      <c r="V21" s="19">
        <f t="shared" si="14"/>
        <v>0</v>
      </c>
      <c r="W21" s="19">
        <f t="shared" si="14"/>
        <v>0</v>
      </c>
      <c r="X21" s="19">
        <f t="shared" si="14"/>
        <v>0</v>
      </c>
      <c r="Y21" s="19">
        <f t="shared" si="14"/>
        <v>0</v>
      </c>
      <c r="Z21" s="19">
        <f t="shared" si="14"/>
        <v>0</v>
      </c>
      <c r="AA21" s="19">
        <f t="shared" si="14"/>
        <v>0</v>
      </c>
      <c r="AB21" s="19">
        <f t="shared" si="14"/>
        <v>0</v>
      </c>
      <c r="AC21" s="19">
        <f t="shared" si="14"/>
        <v>0</v>
      </c>
      <c r="AD21" s="19">
        <f t="shared" si="14"/>
        <v>0</v>
      </c>
      <c r="AE21" s="19">
        <f t="shared" si="14"/>
        <v>0</v>
      </c>
      <c r="AF21" s="19">
        <f t="shared" si="14"/>
        <v>0</v>
      </c>
      <c r="AG21" s="19">
        <f t="shared" si="14"/>
        <v>0</v>
      </c>
      <c r="AH21" s="19">
        <f t="shared" si="14"/>
        <v>0</v>
      </c>
      <c r="AI21" s="19">
        <f t="shared" si="14"/>
        <v>0</v>
      </c>
    </row>
    <row r="22" spans="1:35" x14ac:dyDescent="0.2">
      <c r="A22" s="26"/>
      <c r="B22" s="27" t="s">
        <v>1962</v>
      </c>
      <c r="C22" s="19"/>
      <c r="D22" s="19">
        <f>+D66+D87</f>
        <v>66552</v>
      </c>
      <c r="E22" s="19">
        <f t="shared" ref="E22:AI22" si="15">+E66+E87</f>
        <v>64914</v>
      </c>
      <c r="F22" s="19">
        <f t="shared" si="15"/>
        <v>63276</v>
      </c>
      <c r="G22" s="19">
        <f t="shared" si="15"/>
        <v>61638</v>
      </c>
      <c r="H22" s="19">
        <f t="shared" si="15"/>
        <v>0</v>
      </c>
      <c r="I22" s="19">
        <f t="shared" si="15"/>
        <v>0</v>
      </c>
      <c r="J22" s="19">
        <f t="shared" si="15"/>
        <v>0</v>
      </c>
      <c r="K22" s="19">
        <f t="shared" si="15"/>
        <v>0</v>
      </c>
      <c r="L22" s="19">
        <f t="shared" si="15"/>
        <v>0</v>
      </c>
      <c r="M22" s="19">
        <f t="shared" si="15"/>
        <v>0</v>
      </c>
      <c r="N22" s="19">
        <f t="shared" si="15"/>
        <v>0</v>
      </c>
      <c r="O22" s="19">
        <f t="shared" si="15"/>
        <v>0</v>
      </c>
      <c r="P22" s="19">
        <f t="shared" si="15"/>
        <v>0</v>
      </c>
      <c r="Q22" s="19">
        <f t="shared" si="15"/>
        <v>0</v>
      </c>
      <c r="R22" s="19">
        <f t="shared" si="15"/>
        <v>0</v>
      </c>
      <c r="S22" s="19">
        <f t="shared" si="15"/>
        <v>0</v>
      </c>
      <c r="T22" s="19">
        <f t="shared" si="15"/>
        <v>0</v>
      </c>
      <c r="U22" s="19">
        <f t="shared" si="15"/>
        <v>0</v>
      </c>
      <c r="V22" s="19">
        <f t="shared" si="15"/>
        <v>0</v>
      </c>
      <c r="W22" s="19">
        <f t="shared" si="15"/>
        <v>0</v>
      </c>
      <c r="X22" s="19">
        <f t="shared" si="15"/>
        <v>0</v>
      </c>
      <c r="Y22" s="19">
        <f t="shared" si="15"/>
        <v>0</v>
      </c>
      <c r="Z22" s="19">
        <f t="shared" si="15"/>
        <v>0</v>
      </c>
      <c r="AA22" s="19">
        <f t="shared" si="15"/>
        <v>0</v>
      </c>
      <c r="AB22" s="19">
        <f t="shared" si="15"/>
        <v>0</v>
      </c>
      <c r="AC22" s="19">
        <f t="shared" si="15"/>
        <v>0</v>
      </c>
      <c r="AD22" s="19">
        <f t="shared" si="15"/>
        <v>0</v>
      </c>
      <c r="AE22" s="19">
        <f t="shared" si="15"/>
        <v>0</v>
      </c>
      <c r="AF22" s="19">
        <f t="shared" si="15"/>
        <v>0</v>
      </c>
      <c r="AG22" s="19">
        <f t="shared" si="15"/>
        <v>0</v>
      </c>
      <c r="AH22" s="19">
        <f t="shared" si="15"/>
        <v>0</v>
      </c>
      <c r="AI22" s="19">
        <f t="shared" si="15"/>
        <v>0</v>
      </c>
    </row>
    <row r="23" spans="1:35" ht="13.5" thickBot="1" x14ac:dyDescent="0.25">
      <c r="A23" s="26"/>
      <c r="B23" s="27"/>
      <c r="C23" s="1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row>
    <row r="24" spans="1:35" ht="13.5" thickBot="1" x14ac:dyDescent="0.25">
      <c r="A24" s="26"/>
      <c r="B24" s="27" t="s">
        <v>1963</v>
      </c>
      <c r="C24" s="19"/>
      <c r="D24" s="485">
        <f t="shared" ref="D24:AI24" si="16">SUM(D6:D23)</f>
        <v>808886</v>
      </c>
      <c r="E24" s="485">
        <f t="shared" si="16"/>
        <v>795496</v>
      </c>
      <c r="F24" s="485">
        <f t="shared" si="16"/>
        <v>751060</v>
      </c>
      <c r="G24" s="485">
        <f t="shared" si="16"/>
        <v>721554</v>
      </c>
      <c r="H24" s="485">
        <f t="shared" si="16"/>
        <v>657205</v>
      </c>
      <c r="I24" s="485">
        <f t="shared" si="16"/>
        <v>653889</v>
      </c>
      <c r="J24" s="485">
        <f t="shared" si="16"/>
        <v>649934</v>
      </c>
      <c r="K24" s="485">
        <f t="shared" si="16"/>
        <v>644510</v>
      </c>
      <c r="L24" s="485">
        <f t="shared" si="16"/>
        <v>539903</v>
      </c>
      <c r="M24" s="485">
        <f t="shared" si="16"/>
        <v>513151</v>
      </c>
      <c r="N24" s="485">
        <f t="shared" si="16"/>
        <v>93693</v>
      </c>
      <c r="O24" s="485">
        <f t="shared" si="16"/>
        <v>93464</v>
      </c>
      <c r="P24" s="485">
        <f t="shared" si="16"/>
        <v>93230</v>
      </c>
      <c r="Q24" s="485">
        <f t="shared" si="16"/>
        <v>92986</v>
      </c>
      <c r="R24" s="485">
        <f t="shared" si="16"/>
        <v>92737</v>
      </c>
      <c r="S24" s="485">
        <f t="shared" si="16"/>
        <v>84228</v>
      </c>
      <c r="T24" s="485">
        <f t="shared" si="16"/>
        <v>78979</v>
      </c>
      <c r="U24" s="485">
        <f t="shared" si="16"/>
        <v>78929</v>
      </c>
      <c r="V24" s="485">
        <f t="shared" si="16"/>
        <v>78877</v>
      </c>
      <c r="W24" s="485">
        <f t="shared" si="16"/>
        <v>78824</v>
      </c>
      <c r="X24" s="485">
        <f t="shared" si="16"/>
        <v>42923</v>
      </c>
      <c r="Y24" s="485">
        <f t="shared" si="16"/>
        <v>42923</v>
      </c>
      <c r="Z24" s="485">
        <f t="shared" si="16"/>
        <v>42924</v>
      </c>
      <c r="AA24" s="485">
        <f t="shared" si="16"/>
        <v>42923</v>
      </c>
      <c r="AB24" s="485">
        <f t="shared" si="16"/>
        <v>42924</v>
      </c>
      <c r="AC24" s="485">
        <f t="shared" si="16"/>
        <v>42923</v>
      </c>
      <c r="AD24" s="485">
        <f t="shared" si="16"/>
        <v>42923</v>
      </c>
      <c r="AE24" s="485">
        <f t="shared" si="16"/>
        <v>42854</v>
      </c>
      <c r="AF24" s="485">
        <f t="shared" si="16"/>
        <v>20621</v>
      </c>
      <c r="AG24" s="485">
        <f t="shared" si="16"/>
        <v>20497</v>
      </c>
      <c r="AH24" s="485">
        <f t="shared" si="16"/>
        <v>0</v>
      </c>
      <c r="AI24" s="485">
        <f t="shared" si="16"/>
        <v>0</v>
      </c>
    </row>
    <row r="25" spans="1:35" x14ac:dyDescent="0.2">
      <c r="A25" s="26"/>
      <c r="B25" s="27"/>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1:35" x14ac:dyDescent="0.2">
      <c r="B26" s="484" t="s">
        <v>1964</v>
      </c>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row>
    <row r="27" spans="1:35" x14ac:dyDescent="0.2">
      <c r="A27" s="26"/>
      <c r="B27" s="27"/>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row>
    <row r="28" spans="1:35" x14ac:dyDescent="0.2">
      <c r="A28" s="11" t="s">
        <v>1741</v>
      </c>
      <c r="B28" s="12" t="s">
        <v>1742</v>
      </c>
      <c r="C28" s="19"/>
      <c r="D28" s="19">
        <f t="shared" ref="D28:AI28" si="17">+D92+D109</f>
        <v>36675</v>
      </c>
      <c r="E28" s="19">
        <f t="shared" si="17"/>
        <v>35250</v>
      </c>
      <c r="F28" s="19">
        <f t="shared" si="17"/>
        <v>28750</v>
      </c>
      <c r="G28" s="19">
        <f t="shared" si="17"/>
        <v>27500</v>
      </c>
      <c r="H28" s="19">
        <f t="shared" si="17"/>
        <v>26250</v>
      </c>
      <c r="I28" s="19">
        <f t="shared" si="17"/>
        <v>0</v>
      </c>
      <c r="J28" s="19">
        <f t="shared" si="17"/>
        <v>0</v>
      </c>
      <c r="K28" s="19">
        <f t="shared" si="17"/>
        <v>0</v>
      </c>
      <c r="L28" s="19">
        <f t="shared" si="17"/>
        <v>0</v>
      </c>
      <c r="M28" s="19">
        <f t="shared" si="17"/>
        <v>0</v>
      </c>
      <c r="N28" s="19">
        <f t="shared" si="17"/>
        <v>0</v>
      </c>
      <c r="O28" s="19">
        <f t="shared" si="17"/>
        <v>0</v>
      </c>
      <c r="P28" s="19">
        <f t="shared" si="17"/>
        <v>0</v>
      </c>
      <c r="Q28" s="19">
        <f t="shared" si="17"/>
        <v>0</v>
      </c>
      <c r="R28" s="19">
        <f t="shared" si="17"/>
        <v>0</v>
      </c>
      <c r="S28" s="19">
        <f t="shared" si="17"/>
        <v>0</v>
      </c>
      <c r="T28" s="19">
        <f t="shared" si="17"/>
        <v>0</v>
      </c>
      <c r="U28" s="19">
        <f t="shared" si="17"/>
        <v>0</v>
      </c>
      <c r="V28" s="19">
        <f t="shared" si="17"/>
        <v>0</v>
      </c>
      <c r="W28" s="19">
        <f t="shared" si="17"/>
        <v>0</v>
      </c>
      <c r="X28" s="19">
        <f t="shared" si="17"/>
        <v>0</v>
      </c>
      <c r="Y28" s="19">
        <f t="shared" si="17"/>
        <v>0</v>
      </c>
      <c r="Z28" s="19">
        <f t="shared" si="17"/>
        <v>0</v>
      </c>
      <c r="AA28" s="19">
        <f t="shared" si="17"/>
        <v>0</v>
      </c>
      <c r="AB28" s="19">
        <f t="shared" si="17"/>
        <v>0</v>
      </c>
      <c r="AC28" s="19">
        <f t="shared" si="17"/>
        <v>0</v>
      </c>
      <c r="AD28" s="19">
        <f t="shared" si="17"/>
        <v>0</v>
      </c>
      <c r="AE28" s="19">
        <f t="shared" si="17"/>
        <v>0</v>
      </c>
      <c r="AF28" s="19">
        <f t="shared" si="17"/>
        <v>0</v>
      </c>
      <c r="AG28" s="19">
        <f t="shared" si="17"/>
        <v>0</v>
      </c>
      <c r="AH28" s="19">
        <f t="shared" si="17"/>
        <v>0</v>
      </c>
      <c r="AI28" s="19">
        <f t="shared" si="17"/>
        <v>0</v>
      </c>
    </row>
    <row r="29" spans="1:35" x14ac:dyDescent="0.2">
      <c r="A29" s="11" t="s">
        <v>1743</v>
      </c>
      <c r="B29" s="12" t="s">
        <v>1744</v>
      </c>
      <c r="C29" s="19"/>
      <c r="D29" s="19">
        <f t="shared" ref="D29:AI29" si="18">+D93+D110</f>
        <v>5988</v>
      </c>
      <c r="E29" s="19">
        <f t="shared" si="18"/>
        <v>5750</v>
      </c>
      <c r="F29" s="19">
        <f t="shared" si="18"/>
        <v>5500</v>
      </c>
      <c r="G29" s="19">
        <f t="shared" si="18"/>
        <v>5250</v>
      </c>
      <c r="H29" s="19">
        <f t="shared" si="18"/>
        <v>0</v>
      </c>
      <c r="I29" s="19">
        <f t="shared" si="18"/>
        <v>0</v>
      </c>
      <c r="J29" s="19">
        <f t="shared" si="18"/>
        <v>0</v>
      </c>
      <c r="K29" s="19">
        <f t="shared" si="18"/>
        <v>0</v>
      </c>
      <c r="L29" s="19">
        <f t="shared" si="18"/>
        <v>0</v>
      </c>
      <c r="M29" s="19">
        <f t="shared" si="18"/>
        <v>0</v>
      </c>
      <c r="N29" s="19">
        <f t="shared" si="18"/>
        <v>0</v>
      </c>
      <c r="O29" s="19">
        <f t="shared" si="18"/>
        <v>0</v>
      </c>
      <c r="P29" s="19">
        <f t="shared" si="18"/>
        <v>0</v>
      </c>
      <c r="Q29" s="19">
        <f t="shared" si="18"/>
        <v>0</v>
      </c>
      <c r="R29" s="19">
        <f t="shared" si="18"/>
        <v>0</v>
      </c>
      <c r="S29" s="19">
        <f t="shared" si="18"/>
        <v>0</v>
      </c>
      <c r="T29" s="19">
        <f t="shared" si="18"/>
        <v>0</v>
      </c>
      <c r="U29" s="19">
        <f t="shared" si="18"/>
        <v>0</v>
      </c>
      <c r="V29" s="19">
        <f t="shared" si="18"/>
        <v>0</v>
      </c>
      <c r="W29" s="19">
        <f t="shared" si="18"/>
        <v>0</v>
      </c>
      <c r="X29" s="19">
        <f t="shared" si="18"/>
        <v>0</v>
      </c>
      <c r="Y29" s="19">
        <f t="shared" si="18"/>
        <v>0</v>
      </c>
      <c r="Z29" s="19">
        <f t="shared" si="18"/>
        <v>0</v>
      </c>
      <c r="AA29" s="19">
        <f t="shared" si="18"/>
        <v>0</v>
      </c>
      <c r="AB29" s="19">
        <f t="shared" si="18"/>
        <v>0</v>
      </c>
      <c r="AC29" s="19">
        <f t="shared" si="18"/>
        <v>0</v>
      </c>
      <c r="AD29" s="19">
        <f t="shared" si="18"/>
        <v>0</v>
      </c>
      <c r="AE29" s="19">
        <f t="shared" si="18"/>
        <v>0</v>
      </c>
      <c r="AF29" s="19">
        <f t="shared" si="18"/>
        <v>0</v>
      </c>
      <c r="AG29" s="19">
        <f t="shared" si="18"/>
        <v>0</v>
      </c>
      <c r="AH29" s="19">
        <f t="shared" si="18"/>
        <v>0</v>
      </c>
      <c r="AI29" s="19">
        <f t="shared" si="18"/>
        <v>0</v>
      </c>
    </row>
    <row r="30" spans="1:35" x14ac:dyDescent="0.2">
      <c r="A30" s="11" t="s">
        <v>1747</v>
      </c>
      <c r="B30" s="12" t="s">
        <v>1748</v>
      </c>
      <c r="C30" s="19"/>
      <c r="D30" s="19">
        <f>+D95+D113</f>
        <v>18900</v>
      </c>
      <c r="E30" s="19">
        <f t="shared" ref="E30:AI30" si="19">+E95+E112</f>
        <v>15000</v>
      </c>
      <c r="F30" s="19">
        <f t="shared" si="19"/>
        <v>15000</v>
      </c>
      <c r="G30" s="19">
        <f t="shared" si="19"/>
        <v>10000</v>
      </c>
      <c r="H30" s="19">
        <f t="shared" si="19"/>
        <v>10000</v>
      </c>
      <c r="I30" s="19">
        <f t="shared" si="19"/>
        <v>10000</v>
      </c>
      <c r="J30" s="19">
        <f t="shared" si="19"/>
        <v>10000</v>
      </c>
      <c r="K30" s="19">
        <f t="shared" si="19"/>
        <v>10000</v>
      </c>
      <c r="L30" s="19">
        <f t="shared" si="19"/>
        <v>10000</v>
      </c>
      <c r="M30" s="19">
        <f t="shared" si="19"/>
        <v>0</v>
      </c>
      <c r="N30" s="19">
        <f t="shared" si="19"/>
        <v>0</v>
      </c>
      <c r="O30" s="19">
        <f t="shared" si="19"/>
        <v>0</v>
      </c>
      <c r="P30" s="19">
        <f t="shared" si="19"/>
        <v>0</v>
      </c>
      <c r="Q30" s="19">
        <f t="shared" si="19"/>
        <v>0</v>
      </c>
      <c r="R30" s="19">
        <f t="shared" si="19"/>
        <v>0</v>
      </c>
      <c r="S30" s="19">
        <f t="shared" si="19"/>
        <v>0</v>
      </c>
      <c r="T30" s="19">
        <f t="shared" si="19"/>
        <v>0</v>
      </c>
      <c r="U30" s="19">
        <f t="shared" si="19"/>
        <v>0</v>
      </c>
      <c r="V30" s="19">
        <f t="shared" si="19"/>
        <v>0</v>
      </c>
      <c r="W30" s="19">
        <f t="shared" si="19"/>
        <v>0</v>
      </c>
      <c r="X30" s="19">
        <f t="shared" si="19"/>
        <v>0</v>
      </c>
      <c r="Y30" s="19">
        <f t="shared" si="19"/>
        <v>0</v>
      </c>
      <c r="Z30" s="19">
        <f t="shared" si="19"/>
        <v>0</v>
      </c>
      <c r="AA30" s="19">
        <f t="shared" si="19"/>
        <v>0</v>
      </c>
      <c r="AB30" s="19">
        <f t="shared" si="19"/>
        <v>0</v>
      </c>
      <c r="AC30" s="19">
        <f t="shared" si="19"/>
        <v>0</v>
      </c>
      <c r="AD30" s="19">
        <f t="shared" si="19"/>
        <v>0</v>
      </c>
      <c r="AE30" s="19">
        <f t="shared" si="19"/>
        <v>0</v>
      </c>
      <c r="AF30" s="19">
        <f t="shared" si="19"/>
        <v>0</v>
      </c>
      <c r="AG30" s="19">
        <f t="shared" si="19"/>
        <v>0</v>
      </c>
      <c r="AH30" s="19">
        <f t="shared" si="19"/>
        <v>0</v>
      </c>
      <c r="AI30" s="19">
        <f t="shared" si="19"/>
        <v>0</v>
      </c>
    </row>
    <row r="31" spans="1:35" x14ac:dyDescent="0.2">
      <c r="A31" s="11" t="s">
        <v>1749</v>
      </c>
      <c r="B31" s="60" t="s">
        <v>1538</v>
      </c>
      <c r="C31" s="19"/>
      <c r="D31" s="19">
        <f>+D96+D114+D115</f>
        <v>35318</v>
      </c>
      <c r="E31" s="19">
        <f t="shared" ref="E31:AI31" si="20">+E96+E114+E115</f>
        <v>35273</v>
      </c>
      <c r="F31" s="19">
        <f t="shared" si="20"/>
        <v>35715</v>
      </c>
      <c r="G31" s="19">
        <f t="shared" si="20"/>
        <v>35182</v>
      </c>
      <c r="H31" s="19">
        <f t="shared" si="20"/>
        <v>35136</v>
      </c>
      <c r="I31" s="19">
        <f t="shared" si="20"/>
        <v>35086</v>
      </c>
      <c r="J31" s="19">
        <f t="shared" si="20"/>
        <v>35037</v>
      </c>
      <c r="K31" s="19">
        <f t="shared" si="20"/>
        <v>34985</v>
      </c>
      <c r="L31" s="19">
        <f t="shared" si="20"/>
        <v>35175</v>
      </c>
      <c r="M31" s="19">
        <f t="shared" si="20"/>
        <v>0</v>
      </c>
      <c r="N31" s="19">
        <f t="shared" si="20"/>
        <v>0</v>
      </c>
      <c r="O31" s="19">
        <f t="shared" si="20"/>
        <v>0</v>
      </c>
      <c r="P31" s="19">
        <f t="shared" si="20"/>
        <v>0</v>
      </c>
      <c r="Q31" s="19">
        <f t="shared" si="20"/>
        <v>0</v>
      </c>
      <c r="R31" s="19">
        <f t="shared" si="20"/>
        <v>0</v>
      </c>
      <c r="S31" s="19">
        <f t="shared" si="20"/>
        <v>0</v>
      </c>
      <c r="T31" s="19">
        <f t="shared" si="20"/>
        <v>0</v>
      </c>
      <c r="U31" s="19">
        <f t="shared" si="20"/>
        <v>0</v>
      </c>
      <c r="V31" s="19">
        <f t="shared" si="20"/>
        <v>0</v>
      </c>
      <c r="W31" s="19">
        <f t="shared" si="20"/>
        <v>0</v>
      </c>
      <c r="X31" s="19">
        <f t="shared" si="20"/>
        <v>0</v>
      </c>
      <c r="Y31" s="19">
        <f t="shared" si="20"/>
        <v>0</v>
      </c>
      <c r="Z31" s="19">
        <f t="shared" si="20"/>
        <v>0</v>
      </c>
      <c r="AA31" s="19">
        <f t="shared" si="20"/>
        <v>0</v>
      </c>
      <c r="AB31" s="19">
        <f t="shared" si="20"/>
        <v>0</v>
      </c>
      <c r="AC31" s="19">
        <f t="shared" si="20"/>
        <v>0</v>
      </c>
      <c r="AD31" s="19">
        <f t="shared" si="20"/>
        <v>0</v>
      </c>
      <c r="AE31" s="19">
        <f t="shared" si="20"/>
        <v>0</v>
      </c>
      <c r="AF31" s="19">
        <f t="shared" si="20"/>
        <v>0</v>
      </c>
      <c r="AG31" s="19">
        <f t="shared" si="20"/>
        <v>0</v>
      </c>
      <c r="AH31" s="19">
        <f t="shared" si="20"/>
        <v>0</v>
      </c>
      <c r="AI31" s="19">
        <f t="shared" si="20"/>
        <v>0</v>
      </c>
    </row>
    <row r="32" spans="1:35" x14ac:dyDescent="0.2">
      <c r="A32" s="11" t="s">
        <v>1750</v>
      </c>
      <c r="B32" s="60" t="s">
        <v>1539</v>
      </c>
      <c r="C32" s="19"/>
      <c r="D32" s="19">
        <f>+D168+D175+D176</f>
        <v>55068</v>
      </c>
      <c r="E32" s="19">
        <f t="shared" ref="E32:AI32" si="21">+E168+E175+E176</f>
        <v>55016</v>
      </c>
      <c r="F32" s="19">
        <f t="shared" si="21"/>
        <v>54964</v>
      </c>
      <c r="G32" s="19">
        <f t="shared" si="21"/>
        <v>54911</v>
      </c>
      <c r="H32" s="19">
        <f t="shared" si="21"/>
        <v>54855</v>
      </c>
      <c r="I32" s="19">
        <f t="shared" si="21"/>
        <v>54799</v>
      </c>
      <c r="J32" s="19">
        <f t="shared" si="21"/>
        <v>54682</v>
      </c>
      <c r="K32" s="19">
        <f t="shared" si="21"/>
        <v>54683</v>
      </c>
      <c r="L32" s="19">
        <f t="shared" si="21"/>
        <v>54622</v>
      </c>
      <c r="M32" s="19">
        <f t="shared" si="21"/>
        <v>54560</v>
      </c>
      <c r="N32" s="19">
        <f t="shared" si="21"/>
        <v>54497</v>
      </c>
      <c r="O32" s="19">
        <f t="shared" si="21"/>
        <v>54432</v>
      </c>
      <c r="P32" s="19">
        <f t="shared" si="21"/>
        <v>54366</v>
      </c>
      <c r="Q32" s="19">
        <f t="shared" si="21"/>
        <v>54297</v>
      </c>
      <c r="R32" s="19">
        <f t="shared" si="21"/>
        <v>54228</v>
      </c>
      <c r="S32" s="19">
        <f t="shared" si="21"/>
        <v>54155</v>
      </c>
      <c r="T32" s="19">
        <f t="shared" si="21"/>
        <v>54083</v>
      </c>
      <c r="U32" s="19">
        <f t="shared" si="21"/>
        <v>54007</v>
      </c>
      <c r="V32" s="19">
        <f t="shared" si="21"/>
        <v>53930</v>
      </c>
      <c r="W32" s="19">
        <f t="shared" si="21"/>
        <v>53852</v>
      </c>
      <c r="X32" s="19">
        <f t="shared" si="21"/>
        <v>0</v>
      </c>
      <c r="Y32" s="19">
        <f t="shared" si="21"/>
        <v>0</v>
      </c>
      <c r="Z32" s="19">
        <f t="shared" si="21"/>
        <v>0</v>
      </c>
      <c r="AA32" s="19">
        <f t="shared" si="21"/>
        <v>0</v>
      </c>
      <c r="AB32" s="19">
        <f t="shared" si="21"/>
        <v>0</v>
      </c>
      <c r="AC32" s="19">
        <f t="shared" si="21"/>
        <v>0</v>
      </c>
      <c r="AD32" s="19">
        <f t="shared" si="21"/>
        <v>0</v>
      </c>
      <c r="AE32" s="19">
        <f t="shared" si="21"/>
        <v>0</v>
      </c>
      <c r="AF32" s="19">
        <f t="shared" si="21"/>
        <v>0</v>
      </c>
      <c r="AG32" s="19">
        <f t="shared" si="21"/>
        <v>0</v>
      </c>
      <c r="AH32" s="19">
        <f t="shared" si="21"/>
        <v>0</v>
      </c>
      <c r="AI32" s="19">
        <f t="shared" si="21"/>
        <v>0</v>
      </c>
    </row>
    <row r="33" spans="1:35" x14ac:dyDescent="0.2">
      <c r="A33" s="11" t="s">
        <v>1751</v>
      </c>
      <c r="B33" s="60" t="s">
        <v>1540</v>
      </c>
      <c r="C33" s="19"/>
      <c r="D33" s="19">
        <f>+D169+D177</f>
        <v>33454</v>
      </c>
      <c r="E33" s="19">
        <f t="shared" ref="E33:AI33" si="22">+E169+E177</f>
        <v>33455</v>
      </c>
      <c r="F33" s="19">
        <f t="shared" si="22"/>
        <v>33455</v>
      </c>
      <c r="G33" s="19">
        <f t="shared" si="22"/>
        <v>33454</v>
      </c>
      <c r="H33" s="19">
        <f t="shared" si="22"/>
        <v>33455</v>
      </c>
      <c r="I33" s="19">
        <f t="shared" si="22"/>
        <v>33455</v>
      </c>
      <c r="J33" s="19">
        <f t="shared" si="22"/>
        <v>33454</v>
      </c>
      <c r="K33" s="19">
        <f t="shared" si="22"/>
        <v>33455</v>
      </c>
      <c r="L33" s="19">
        <f t="shared" si="22"/>
        <v>33455</v>
      </c>
      <c r="M33" s="19">
        <f t="shared" si="22"/>
        <v>33454</v>
      </c>
      <c r="N33" s="19">
        <f t="shared" si="22"/>
        <v>33455</v>
      </c>
      <c r="O33" s="19">
        <f t="shared" si="22"/>
        <v>33454</v>
      </c>
      <c r="P33" s="19">
        <f t="shared" si="22"/>
        <v>33454</v>
      </c>
      <c r="Q33" s="19">
        <f t="shared" si="22"/>
        <v>33455</v>
      </c>
      <c r="R33" s="19">
        <f t="shared" si="22"/>
        <v>33455</v>
      </c>
      <c r="S33" s="19">
        <f t="shared" si="22"/>
        <v>33455</v>
      </c>
      <c r="T33" s="19">
        <f t="shared" si="22"/>
        <v>33454</v>
      </c>
      <c r="U33" s="19">
        <f t="shared" si="22"/>
        <v>33455</v>
      </c>
      <c r="V33" s="19">
        <f t="shared" si="22"/>
        <v>33455</v>
      </c>
      <c r="W33" s="19">
        <f t="shared" si="22"/>
        <v>33455</v>
      </c>
      <c r="X33" s="19">
        <f t="shared" si="22"/>
        <v>33455</v>
      </c>
      <c r="Y33" s="19">
        <f t="shared" si="22"/>
        <v>33455</v>
      </c>
      <c r="Z33" s="19">
        <f t="shared" si="22"/>
        <v>33455</v>
      </c>
      <c r="AA33" s="19">
        <f t="shared" si="22"/>
        <v>33455</v>
      </c>
      <c r="AB33" s="19">
        <f t="shared" si="22"/>
        <v>33455</v>
      </c>
      <c r="AC33" s="19">
        <f t="shared" si="22"/>
        <v>33455</v>
      </c>
      <c r="AD33" s="19">
        <f t="shared" si="22"/>
        <v>33455</v>
      </c>
      <c r="AE33" s="19">
        <f t="shared" si="22"/>
        <v>33351</v>
      </c>
      <c r="AF33" s="19">
        <f t="shared" si="22"/>
        <v>0</v>
      </c>
      <c r="AG33" s="19">
        <f t="shared" si="22"/>
        <v>0</v>
      </c>
      <c r="AH33" s="19">
        <f t="shared" si="22"/>
        <v>0</v>
      </c>
      <c r="AI33" s="19">
        <f t="shared" si="22"/>
        <v>0</v>
      </c>
    </row>
    <row r="34" spans="1:35" x14ac:dyDescent="0.2">
      <c r="A34" s="11" t="s">
        <v>1752</v>
      </c>
      <c r="B34" s="60" t="s">
        <v>1541</v>
      </c>
      <c r="C34" s="19"/>
      <c r="D34" s="19">
        <f>+D99+D119</f>
        <v>30931</v>
      </c>
      <c r="E34" s="19">
        <f t="shared" ref="E34:AI34" si="23">+E162+E178</f>
        <v>35583</v>
      </c>
      <c r="F34" s="19">
        <f t="shared" si="23"/>
        <v>34924</v>
      </c>
      <c r="G34" s="19">
        <f t="shared" si="23"/>
        <v>34238</v>
      </c>
      <c r="H34" s="19">
        <f t="shared" si="23"/>
        <v>33524</v>
      </c>
      <c r="I34" s="19">
        <f t="shared" si="23"/>
        <v>32781</v>
      </c>
      <c r="J34" s="19">
        <f t="shared" si="23"/>
        <v>32006</v>
      </c>
      <c r="K34" s="19">
        <f t="shared" si="23"/>
        <v>31200</v>
      </c>
      <c r="L34" s="19">
        <f t="shared" si="23"/>
        <v>30361</v>
      </c>
      <c r="M34" s="19">
        <f t="shared" si="23"/>
        <v>29487</v>
      </c>
      <c r="N34" s="19">
        <f t="shared" si="23"/>
        <v>28577</v>
      </c>
      <c r="O34" s="19">
        <f t="shared" si="23"/>
        <v>27629</v>
      </c>
      <c r="P34" s="19">
        <f t="shared" si="23"/>
        <v>26642</v>
      </c>
      <c r="Q34" s="19">
        <f t="shared" si="23"/>
        <v>25615</v>
      </c>
      <c r="R34" s="19">
        <f t="shared" si="23"/>
        <v>24545</v>
      </c>
      <c r="S34" s="19">
        <f t="shared" si="23"/>
        <v>23431</v>
      </c>
      <c r="T34" s="19">
        <f t="shared" si="23"/>
        <v>22271</v>
      </c>
      <c r="U34" s="19">
        <f t="shared" si="23"/>
        <v>21063</v>
      </c>
      <c r="V34" s="19">
        <f t="shared" si="23"/>
        <v>19805</v>
      </c>
      <c r="W34" s="19">
        <f t="shared" si="23"/>
        <v>18496</v>
      </c>
      <c r="X34" s="19">
        <f t="shared" si="23"/>
        <v>17133</v>
      </c>
      <c r="Y34" s="19">
        <f t="shared" si="23"/>
        <v>15713</v>
      </c>
      <c r="Z34" s="19">
        <f t="shared" si="23"/>
        <v>14234</v>
      </c>
      <c r="AA34" s="19">
        <f t="shared" si="23"/>
        <v>12695</v>
      </c>
      <c r="AB34" s="19">
        <f t="shared" si="23"/>
        <v>11092</v>
      </c>
      <c r="AC34" s="19">
        <f t="shared" si="23"/>
        <v>9423</v>
      </c>
      <c r="AD34" s="19">
        <f t="shared" si="23"/>
        <v>7686</v>
      </c>
      <c r="AE34" s="19">
        <f t="shared" si="23"/>
        <v>5876</v>
      </c>
      <c r="AF34" s="19">
        <f t="shared" si="23"/>
        <v>3992</v>
      </c>
      <c r="AG34" s="19">
        <f t="shared" si="23"/>
        <v>2030</v>
      </c>
      <c r="AH34" s="19">
        <f t="shared" si="23"/>
        <v>0</v>
      </c>
      <c r="AI34" s="19">
        <f t="shared" si="23"/>
        <v>0</v>
      </c>
    </row>
    <row r="35" spans="1:35" x14ac:dyDescent="0.2">
      <c r="A35" s="11" t="s">
        <v>1753</v>
      </c>
      <c r="B35" s="12" t="s">
        <v>1754</v>
      </c>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row>
    <row r="36" spans="1:35" x14ac:dyDescent="0.2">
      <c r="A36" s="11" t="s">
        <v>1755</v>
      </c>
      <c r="B36" s="12" t="s">
        <v>1756</v>
      </c>
      <c r="C36" s="19"/>
      <c r="D36" s="19">
        <f>+D101+D122</f>
        <v>107300</v>
      </c>
      <c r="E36" s="19">
        <f t="shared" ref="E36:AI36" si="24">+E101+E122</f>
        <v>110500</v>
      </c>
      <c r="F36" s="19">
        <f t="shared" si="24"/>
        <v>108550</v>
      </c>
      <c r="G36" s="19">
        <f t="shared" si="24"/>
        <v>111600</v>
      </c>
      <c r="H36" s="19">
        <f t="shared" si="24"/>
        <v>109500</v>
      </c>
      <c r="I36" s="19">
        <f t="shared" si="24"/>
        <v>112400</v>
      </c>
      <c r="J36" s="19">
        <f t="shared" si="24"/>
        <v>110150</v>
      </c>
      <c r="K36" s="19">
        <f t="shared" si="24"/>
        <v>112338</v>
      </c>
      <c r="L36" s="19">
        <f t="shared" si="24"/>
        <v>109338</v>
      </c>
      <c r="M36" s="19">
        <f t="shared" si="24"/>
        <v>111338</v>
      </c>
      <c r="N36" s="19">
        <f t="shared" si="24"/>
        <v>113150</v>
      </c>
      <c r="O36" s="19">
        <f t="shared" si="24"/>
        <v>109775</v>
      </c>
      <c r="P36" s="19">
        <f t="shared" si="24"/>
        <v>111400</v>
      </c>
      <c r="Q36" s="19">
        <f t="shared" si="24"/>
        <v>112600</v>
      </c>
      <c r="R36" s="19">
        <f t="shared" si="24"/>
        <v>113600</v>
      </c>
      <c r="S36" s="19">
        <f t="shared" si="24"/>
        <v>114400</v>
      </c>
      <c r="T36" s="19">
        <f t="shared" si="24"/>
        <v>0</v>
      </c>
      <c r="U36" s="19">
        <f t="shared" si="24"/>
        <v>0</v>
      </c>
      <c r="V36" s="19">
        <f t="shared" si="24"/>
        <v>0</v>
      </c>
      <c r="W36" s="19">
        <f t="shared" si="24"/>
        <v>0</v>
      </c>
      <c r="X36" s="19">
        <f t="shared" si="24"/>
        <v>0</v>
      </c>
      <c r="Y36" s="19">
        <f t="shared" si="24"/>
        <v>0</v>
      </c>
      <c r="Z36" s="19">
        <f t="shared" si="24"/>
        <v>0</v>
      </c>
      <c r="AA36" s="19">
        <f t="shared" si="24"/>
        <v>0</v>
      </c>
      <c r="AB36" s="19">
        <f t="shared" si="24"/>
        <v>0</v>
      </c>
      <c r="AC36" s="19">
        <f t="shared" si="24"/>
        <v>0</v>
      </c>
      <c r="AD36" s="19">
        <f t="shared" si="24"/>
        <v>0</v>
      </c>
      <c r="AE36" s="19">
        <f t="shared" si="24"/>
        <v>0</v>
      </c>
      <c r="AF36" s="19">
        <f t="shared" si="24"/>
        <v>0</v>
      </c>
      <c r="AG36" s="19">
        <f t="shared" si="24"/>
        <v>0</v>
      </c>
      <c r="AH36" s="19">
        <f t="shared" si="24"/>
        <v>0</v>
      </c>
      <c r="AI36" s="19">
        <f t="shared" si="24"/>
        <v>0</v>
      </c>
    </row>
    <row r="37" spans="1:35" x14ac:dyDescent="0.2">
      <c r="A37" s="11" t="s">
        <v>1757</v>
      </c>
      <c r="B37" s="12" t="s">
        <v>1965</v>
      </c>
      <c r="C37" s="19"/>
      <c r="D37" s="19">
        <f>+D102+D123+D124</f>
        <v>101503</v>
      </c>
      <c r="E37" s="19">
        <f t="shared" ref="E37:AI37" si="25">+E102+E123+E124</f>
        <v>98088</v>
      </c>
      <c r="F37" s="19">
        <f t="shared" si="25"/>
        <v>98103</v>
      </c>
      <c r="G37" s="19">
        <f t="shared" si="25"/>
        <v>98118</v>
      </c>
      <c r="H37" s="19">
        <f t="shared" si="25"/>
        <v>98134</v>
      </c>
      <c r="I37" s="19">
        <f t="shared" si="25"/>
        <v>98150</v>
      </c>
      <c r="J37" s="19">
        <f t="shared" si="25"/>
        <v>98166</v>
      </c>
      <c r="K37" s="19">
        <f t="shared" si="25"/>
        <v>98184</v>
      </c>
      <c r="L37" s="19">
        <f t="shared" si="25"/>
        <v>98201</v>
      </c>
      <c r="M37" s="19">
        <f t="shared" si="25"/>
        <v>98218</v>
      </c>
      <c r="N37" s="19">
        <f t="shared" si="25"/>
        <v>98237</v>
      </c>
      <c r="O37" s="19">
        <f t="shared" si="25"/>
        <v>25256</v>
      </c>
      <c r="P37" s="19">
        <f t="shared" si="25"/>
        <v>98275</v>
      </c>
      <c r="Q37" s="19">
        <f t="shared" si="25"/>
        <v>98294</v>
      </c>
      <c r="R37" s="19">
        <f t="shared" si="25"/>
        <v>98314</v>
      </c>
      <c r="S37" s="19">
        <f t="shared" si="25"/>
        <v>98334</v>
      </c>
      <c r="T37" s="19">
        <f t="shared" si="25"/>
        <v>98354.32</v>
      </c>
      <c r="U37" s="19">
        <f t="shared" si="25"/>
        <v>98376</v>
      </c>
      <c r="V37" s="19">
        <f t="shared" si="25"/>
        <v>96777</v>
      </c>
      <c r="W37" s="19">
        <f t="shared" si="25"/>
        <v>98298.94</v>
      </c>
      <c r="X37" s="19">
        <f t="shared" si="25"/>
        <v>0</v>
      </c>
      <c r="Y37" s="19">
        <f t="shared" si="25"/>
        <v>0</v>
      </c>
      <c r="Z37" s="19">
        <f t="shared" si="25"/>
        <v>0</v>
      </c>
      <c r="AA37" s="19">
        <f t="shared" si="25"/>
        <v>0</v>
      </c>
      <c r="AB37" s="19">
        <f t="shared" si="25"/>
        <v>0</v>
      </c>
      <c r="AC37" s="19">
        <f t="shared" si="25"/>
        <v>0</v>
      </c>
      <c r="AD37" s="19">
        <f t="shared" si="25"/>
        <v>0</v>
      </c>
      <c r="AE37" s="19">
        <f t="shared" si="25"/>
        <v>0</v>
      </c>
      <c r="AF37" s="19">
        <f t="shared" si="25"/>
        <v>0</v>
      </c>
      <c r="AG37" s="19">
        <f t="shared" si="25"/>
        <v>0</v>
      </c>
      <c r="AH37" s="19">
        <f t="shared" si="25"/>
        <v>0</v>
      </c>
      <c r="AI37" s="19">
        <f t="shared" si="25"/>
        <v>0</v>
      </c>
    </row>
    <row r="38" spans="1:35" x14ac:dyDescent="0.2">
      <c r="A38" s="11" t="s">
        <v>1759</v>
      </c>
      <c r="B38" s="12" t="s">
        <v>1760</v>
      </c>
      <c r="C38" s="19"/>
      <c r="D38" s="19">
        <f>+D103+D125</f>
        <v>0</v>
      </c>
      <c r="E38" s="19">
        <f t="shared" ref="E38:AI38" si="26">+E103+E125</f>
        <v>0</v>
      </c>
      <c r="F38" s="19">
        <f t="shared" si="26"/>
        <v>0</v>
      </c>
      <c r="G38" s="19">
        <f t="shared" si="26"/>
        <v>0</v>
      </c>
      <c r="H38" s="19">
        <f t="shared" si="26"/>
        <v>0</v>
      </c>
      <c r="I38" s="19">
        <f t="shared" si="26"/>
        <v>0</v>
      </c>
      <c r="J38" s="19">
        <f t="shared" si="26"/>
        <v>0</v>
      </c>
      <c r="K38" s="19">
        <f t="shared" si="26"/>
        <v>0</v>
      </c>
      <c r="L38" s="19">
        <f t="shared" si="26"/>
        <v>0</v>
      </c>
      <c r="M38" s="19">
        <f t="shared" si="26"/>
        <v>0</v>
      </c>
      <c r="N38" s="19">
        <f t="shared" si="26"/>
        <v>0</v>
      </c>
      <c r="O38" s="19">
        <f t="shared" si="26"/>
        <v>0</v>
      </c>
      <c r="P38" s="19">
        <f t="shared" si="26"/>
        <v>0</v>
      </c>
      <c r="Q38" s="19">
        <f t="shared" si="26"/>
        <v>0</v>
      </c>
      <c r="R38" s="19">
        <f t="shared" si="26"/>
        <v>0</v>
      </c>
      <c r="S38" s="19">
        <f t="shared" si="26"/>
        <v>0</v>
      </c>
      <c r="T38" s="19">
        <f t="shared" si="26"/>
        <v>0</v>
      </c>
      <c r="U38" s="19">
        <f t="shared" si="26"/>
        <v>0</v>
      </c>
      <c r="V38" s="19">
        <f t="shared" si="26"/>
        <v>0</v>
      </c>
      <c r="W38" s="19">
        <f t="shared" si="26"/>
        <v>0</v>
      </c>
      <c r="X38" s="19">
        <f t="shared" si="26"/>
        <v>0</v>
      </c>
      <c r="Y38" s="19">
        <f t="shared" si="26"/>
        <v>0</v>
      </c>
      <c r="Z38" s="19">
        <f t="shared" si="26"/>
        <v>0</v>
      </c>
      <c r="AA38" s="19">
        <f t="shared" si="26"/>
        <v>0</v>
      </c>
      <c r="AB38" s="19">
        <f t="shared" si="26"/>
        <v>0</v>
      </c>
      <c r="AC38" s="19">
        <f t="shared" si="26"/>
        <v>0</v>
      </c>
      <c r="AD38" s="19">
        <f t="shared" si="26"/>
        <v>0</v>
      </c>
      <c r="AE38" s="19">
        <f t="shared" si="26"/>
        <v>0</v>
      </c>
      <c r="AF38" s="19">
        <f t="shared" si="26"/>
        <v>0</v>
      </c>
      <c r="AG38" s="19">
        <f t="shared" si="26"/>
        <v>0</v>
      </c>
      <c r="AH38" s="19">
        <f t="shared" si="26"/>
        <v>0</v>
      </c>
      <c r="AI38" s="19">
        <f t="shared" si="26"/>
        <v>0</v>
      </c>
    </row>
    <row r="39" spans="1:35" x14ac:dyDescent="0.2">
      <c r="A39" s="11" t="s">
        <v>1761</v>
      </c>
      <c r="B39" s="12" t="s">
        <v>1966</v>
      </c>
      <c r="C39" s="19"/>
      <c r="D39" s="19">
        <f>+D104+D126</f>
        <v>0</v>
      </c>
      <c r="E39" s="19">
        <f t="shared" ref="E39:AI39" si="27">+E104+E126</f>
        <v>0</v>
      </c>
      <c r="F39" s="19">
        <f t="shared" si="27"/>
        <v>0</v>
      </c>
      <c r="G39" s="19">
        <f t="shared" si="27"/>
        <v>0</v>
      </c>
      <c r="H39" s="19">
        <f t="shared" si="27"/>
        <v>0</v>
      </c>
      <c r="I39" s="19">
        <f t="shared" si="27"/>
        <v>0</v>
      </c>
      <c r="J39" s="19">
        <f t="shared" si="27"/>
        <v>0</v>
      </c>
      <c r="K39" s="19">
        <f t="shared" si="27"/>
        <v>0</v>
      </c>
      <c r="L39" s="19">
        <f t="shared" si="27"/>
        <v>0</v>
      </c>
      <c r="M39" s="19">
        <f t="shared" si="27"/>
        <v>0</v>
      </c>
      <c r="N39" s="19">
        <f t="shared" si="27"/>
        <v>0</v>
      </c>
      <c r="O39" s="19">
        <f t="shared" si="27"/>
        <v>0</v>
      </c>
      <c r="P39" s="19">
        <f t="shared" si="27"/>
        <v>0</v>
      </c>
      <c r="Q39" s="19">
        <f t="shared" si="27"/>
        <v>0</v>
      </c>
      <c r="R39" s="19">
        <f t="shared" si="27"/>
        <v>0</v>
      </c>
      <c r="S39" s="19">
        <f t="shared" si="27"/>
        <v>0</v>
      </c>
      <c r="T39" s="19">
        <f t="shared" si="27"/>
        <v>0</v>
      </c>
      <c r="U39" s="19">
        <f t="shared" si="27"/>
        <v>0</v>
      </c>
      <c r="V39" s="19">
        <f t="shared" si="27"/>
        <v>0</v>
      </c>
      <c r="W39" s="19">
        <f t="shared" si="27"/>
        <v>0</v>
      </c>
      <c r="X39" s="19">
        <f t="shared" si="27"/>
        <v>0</v>
      </c>
      <c r="Y39" s="19">
        <f t="shared" si="27"/>
        <v>0</v>
      </c>
      <c r="Z39" s="19">
        <f t="shared" si="27"/>
        <v>0</v>
      </c>
      <c r="AA39" s="19">
        <f t="shared" si="27"/>
        <v>0</v>
      </c>
      <c r="AB39" s="19">
        <f t="shared" si="27"/>
        <v>0</v>
      </c>
      <c r="AC39" s="19">
        <f t="shared" si="27"/>
        <v>0</v>
      </c>
      <c r="AD39" s="19">
        <f t="shared" si="27"/>
        <v>0</v>
      </c>
      <c r="AE39" s="19">
        <f t="shared" si="27"/>
        <v>0</v>
      </c>
      <c r="AF39" s="19">
        <f t="shared" si="27"/>
        <v>0</v>
      </c>
      <c r="AG39" s="19">
        <f t="shared" si="27"/>
        <v>0</v>
      </c>
      <c r="AH39" s="19">
        <f t="shared" si="27"/>
        <v>0</v>
      </c>
      <c r="AI39" s="19">
        <f t="shared" si="27"/>
        <v>0</v>
      </c>
    </row>
    <row r="40" spans="1:35" x14ac:dyDescent="0.2">
      <c r="A40" s="11" t="s">
        <v>1763</v>
      </c>
      <c r="B40" s="12" t="s">
        <v>1764</v>
      </c>
      <c r="C40" s="19"/>
      <c r="D40" s="19">
        <f>+D105+D127</f>
        <v>0</v>
      </c>
      <c r="E40" s="19">
        <f t="shared" ref="E40:AI40" si="28">+E105+E127</f>
        <v>0</v>
      </c>
      <c r="F40" s="19">
        <f t="shared" si="28"/>
        <v>0</v>
      </c>
      <c r="G40" s="19">
        <f t="shared" si="28"/>
        <v>0</v>
      </c>
      <c r="H40" s="19">
        <f t="shared" si="28"/>
        <v>0</v>
      </c>
      <c r="I40" s="19">
        <f t="shared" si="28"/>
        <v>0</v>
      </c>
      <c r="J40" s="19">
        <f t="shared" si="28"/>
        <v>0</v>
      </c>
      <c r="K40" s="19">
        <f t="shared" si="28"/>
        <v>0</v>
      </c>
      <c r="L40" s="19">
        <f t="shared" si="28"/>
        <v>0</v>
      </c>
      <c r="M40" s="19">
        <f t="shared" si="28"/>
        <v>0</v>
      </c>
      <c r="N40" s="19">
        <f t="shared" si="28"/>
        <v>0</v>
      </c>
      <c r="O40" s="19">
        <f t="shared" si="28"/>
        <v>0</v>
      </c>
      <c r="P40" s="19">
        <f t="shared" si="28"/>
        <v>0</v>
      </c>
      <c r="Q40" s="19">
        <f t="shared" si="28"/>
        <v>0</v>
      </c>
      <c r="R40" s="19">
        <f t="shared" si="28"/>
        <v>0</v>
      </c>
      <c r="S40" s="19">
        <f t="shared" si="28"/>
        <v>0</v>
      </c>
      <c r="T40" s="19">
        <f t="shared" si="28"/>
        <v>0</v>
      </c>
      <c r="U40" s="19">
        <f t="shared" si="28"/>
        <v>0</v>
      </c>
      <c r="V40" s="19">
        <f t="shared" si="28"/>
        <v>0</v>
      </c>
      <c r="W40" s="19">
        <f t="shared" si="28"/>
        <v>0</v>
      </c>
      <c r="X40" s="19">
        <f t="shared" si="28"/>
        <v>0</v>
      </c>
      <c r="Y40" s="19">
        <f t="shared" si="28"/>
        <v>0</v>
      </c>
      <c r="Z40" s="19">
        <f t="shared" si="28"/>
        <v>0</v>
      </c>
      <c r="AA40" s="19">
        <f t="shared" si="28"/>
        <v>0</v>
      </c>
      <c r="AB40" s="19">
        <f t="shared" si="28"/>
        <v>0</v>
      </c>
      <c r="AC40" s="19">
        <f t="shared" si="28"/>
        <v>0</v>
      </c>
      <c r="AD40" s="19">
        <f t="shared" si="28"/>
        <v>0</v>
      </c>
      <c r="AE40" s="19">
        <f t="shared" si="28"/>
        <v>0</v>
      </c>
      <c r="AF40" s="19">
        <f t="shared" si="28"/>
        <v>0</v>
      </c>
      <c r="AG40" s="19">
        <f t="shared" si="28"/>
        <v>0</v>
      </c>
      <c r="AH40" s="19">
        <f t="shared" si="28"/>
        <v>0</v>
      </c>
      <c r="AI40" s="19">
        <f t="shared" si="28"/>
        <v>0</v>
      </c>
    </row>
    <row r="41" spans="1:35" x14ac:dyDescent="0.2">
      <c r="A41" s="11" t="s">
        <v>1765</v>
      </c>
      <c r="B41" s="12" t="s">
        <v>1967</v>
      </c>
      <c r="C41" s="19"/>
      <c r="D41" s="19">
        <f>+D106+D128</f>
        <v>5000</v>
      </c>
      <c r="E41" s="19">
        <f t="shared" ref="E41:AI41" si="29">+E106+E128</f>
        <v>0</v>
      </c>
      <c r="F41" s="19">
        <f t="shared" si="29"/>
        <v>0</v>
      </c>
      <c r="G41" s="19">
        <f t="shared" si="29"/>
        <v>0</v>
      </c>
      <c r="H41" s="19">
        <f t="shared" si="29"/>
        <v>0</v>
      </c>
      <c r="I41" s="19">
        <f t="shared" si="29"/>
        <v>0</v>
      </c>
      <c r="J41" s="19">
        <f t="shared" si="29"/>
        <v>0</v>
      </c>
      <c r="K41" s="19">
        <f t="shared" si="29"/>
        <v>0</v>
      </c>
      <c r="L41" s="19">
        <f t="shared" si="29"/>
        <v>0</v>
      </c>
      <c r="M41" s="19">
        <f t="shared" si="29"/>
        <v>0</v>
      </c>
      <c r="N41" s="19">
        <f t="shared" si="29"/>
        <v>0</v>
      </c>
      <c r="O41" s="19">
        <f t="shared" si="29"/>
        <v>0</v>
      </c>
      <c r="P41" s="19">
        <f t="shared" si="29"/>
        <v>0</v>
      </c>
      <c r="Q41" s="19">
        <f t="shared" si="29"/>
        <v>0</v>
      </c>
      <c r="R41" s="19">
        <f t="shared" si="29"/>
        <v>0</v>
      </c>
      <c r="S41" s="19">
        <f t="shared" si="29"/>
        <v>0</v>
      </c>
      <c r="T41" s="19">
        <f t="shared" si="29"/>
        <v>0</v>
      </c>
      <c r="U41" s="19">
        <f t="shared" si="29"/>
        <v>0</v>
      </c>
      <c r="V41" s="19">
        <f t="shared" si="29"/>
        <v>0</v>
      </c>
      <c r="W41" s="19">
        <f t="shared" si="29"/>
        <v>0</v>
      </c>
      <c r="X41" s="19">
        <f t="shared" si="29"/>
        <v>0</v>
      </c>
      <c r="Y41" s="19">
        <f t="shared" si="29"/>
        <v>0</v>
      </c>
      <c r="Z41" s="19">
        <f t="shared" si="29"/>
        <v>0</v>
      </c>
      <c r="AA41" s="19">
        <f t="shared" si="29"/>
        <v>0</v>
      </c>
      <c r="AB41" s="19">
        <f t="shared" si="29"/>
        <v>0</v>
      </c>
      <c r="AC41" s="19">
        <f t="shared" si="29"/>
        <v>0</v>
      </c>
      <c r="AD41" s="19">
        <f t="shared" si="29"/>
        <v>0</v>
      </c>
      <c r="AE41" s="19">
        <f t="shared" si="29"/>
        <v>0</v>
      </c>
      <c r="AF41" s="19">
        <f t="shared" si="29"/>
        <v>0</v>
      </c>
      <c r="AG41" s="19">
        <f t="shared" si="29"/>
        <v>0</v>
      </c>
      <c r="AH41" s="19">
        <f t="shared" si="29"/>
        <v>0</v>
      </c>
      <c r="AI41" s="19">
        <f t="shared" si="29"/>
        <v>0</v>
      </c>
    </row>
    <row r="42" spans="1:35" ht="13.5" thickBot="1" x14ac:dyDescent="0.25">
      <c r="A42" s="26"/>
      <c r="B42" s="27"/>
      <c r="C42" s="1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row>
    <row r="43" spans="1:35" ht="13.5" thickBot="1" x14ac:dyDescent="0.25">
      <c r="A43" s="26"/>
      <c r="B43" s="27" t="s">
        <v>1968</v>
      </c>
      <c r="C43" s="19"/>
      <c r="D43" s="485">
        <f t="shared" ref="D43:AI43" si="30">SUM(D28:D42)</f>
        <v>430137</v>
      </c>
      <c r="E43" s="485">
        <f t="shared" si="30"/>
        <v>423915</v>
      </c>
      <c r="F43" s="485">
        <f t="shared" si="30"/>
        <v>414961</v>
      </c>
      <c r="G43" s="485">
        <f t="shared" si="30"/>
        <v>410253</v>
      </c>
      <c r="H43" s="485">
        <f t="shared" si="30"/>
        <v>400854</v>
      </c>
      <c r="I43" s="485">
        <f t="shared" si="30"/>
        <v>376671</v>
      </c>
      <c r="J43" s="485">
        <f t="shared" si="30"/>
        <v>373495</v>
      </c>
      <c r="K43" s="485">
        <f t="shared" si="30"/>
        <v>374845</v>
      </c>
      <c r="L43" s="485">
        <f t="shared" si="30"/>
        <v>371152</v>
      </c>
      <c r="M43" s="485">
        <f t="shared" si="30"/>
        <v>327057</v>
      </c>
      <c r="N43" s="485">
        <f t="shared" si="30"/>
        <v>327916</v>
      </c>
      <c r="O43" s="485">
        <f t="shared" si="30"/>
        <v>250546</v>
      </c>
      <c r="P43" s="485">
        <f t="shared" si="30"/>
        <v>324137</v>
      </c>
      <c r="Q43" s="485">
        <f t="shared" si="30"/>
        <v>324261</v>
      </c>
      <c r="R43" s="485">
        <f t="shared" si="30"/>
        <v>324142</v>
      </c>
      <c r="S43" s="485">
        <f t="shared" si="30"/>
        <v>323775</v>
      </c>
      <c r="T43" s="485">
        <f t="shared" si="30"/>
        <v>208162.32</v>
      </c>
      <c r="U43" s="485">
        <f t="shared" si="30"/>
        <v>206901</v>
      </c>
      <c r="V43" s="485">
        <f t="shared" si="30"/>
        <v>203967</v>
      </c>
      <c r="W43" s="485">
        <f t="shared" si="30"/>
        <v>204101.94</v>
      </c>
      <c r="X43" s="485">
        <f t="shared" si="30"/>
        <v>50588</v>
      </c>
      <c r="Y43" s="485">
        <f t="shared" si="30"/>
        <v>49168</v>
      </c>
      <c r="Z43" s="485">
        <f t="shared" si="30"/>
        <v>47689</v>
      </c>
      <c r="AA43" s="485">
        <f t="shared" si="30"/>
        <v>46150</v>
      </c>
      <c r="AB43" s="485">
        <f t="shared" si="30"/>
        <v>44547</v>
      </c>
      <c r="AC43" s="485">
        <f t="shared" si="30"/>
        <v>42878</v>
      </c>
      <c r="AD43" s="485">
        <f t="shared" si="30"/>
        <v>41141</v>
      </c>
      <c r="AE43" s="485">
        <f t="shared" si="30"/>
        <v>39227</v>
      </c>
      <c r="AF43" s="485">
        <f t="shared" si="30"/>
        <v>3992</v>
      </c>
      <c r="AG43" s="485">
        <f t="shared" si="30"/>
        <v>2030</v>
      </c>
      <c r="AH43" s="485">
        <f t="shared" si="30"/>
        <v>0</v>
      </c>
      <c r="AI43" s="485">
        <f t="shared" si="30"/>
        <v>0</v>
      </c>
    </row>
    <row r="44" spans="1:35" ht="13.5" thickBot="1" x14ac:dyDescent="0.25">
      <c r="A44" s="26"/>
      <c r="B44" s="27"/>
      <c r="C44" s="19"/>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7"/>
      <c r="AG44" s="487"/>
      <c r="AH44" s="487"/>
      <c r="AI44" s="487"/>
    </row>
    <row r="45" spans="1:35" ht="14.25" thickTop="1" thickBot="1" x14ac:dyDescent="0.25">
      <c r="A45" s="26"/>
      <c r="B45" s="27" t="s">
        <v>1969</v>
      </c>
      <c r="C45" s="19"/>
      <c r="D45" s="488">
        <f>+D43+D24</f>
        <v>1239023</v>
      </c>
      <c r="E45" s="488">
        <f t="shared" ref="E45:AI45" si="31">+E43+E24</f>
        <v>1219411</v>
      </c>
      <c r="F45" s="488">
        <f t="shared" si="31"/>
        <v>1166021</v>
      </c>
      <c r="G45" s="488">
        <f t="shared" si="31"/>
        <v>1131807</v>
      </c>
      <c r="H45" s="488">
        <f t="shared" si="31"/>
        <v>1058059</v>
      </c>
      <c r="I45" s="488">
        <f t="shared" si="31"/>
        <v>1030560</v>
      </c>
      <c r="J45" s="488">
        <f t="shared" si="31"/>
        <v>1023429</v>
      </c>
      <c r="K45" s="488">
        <f t="shared" si="31"/>
        <v>1019355</v>
      </c>
      <c r="L45" s="488">
        <f t="shared" si="31"/>
        <v>911055</v>
      </c>
      <c r="M45" s="488">
        <f t="shared" si="31"/>
        <v>840208</v>
      </c>
      <c r="N45" s="488">
        <f t="shared" si="31"/>
        <v>421609</v>
      </c>
      <c r="O45" s="488">
        <f t="shared" si="31"/>
        <v>344010</v>
      </c>
      <c r="P45" s="488">
        <f t="shared" si="31"/>
        <v>417367</v>
      </c>
      <c r="Q45" s="488">
        <f t="shared" si="31"/>
        <v>417247</v>
      </c>
      <c r="R45" s="488">
        <f t="shared" si="31"/>
        <v>416879</v>
      </c>
      <c r="S45" s="488">
        <f t="shared" si="31"/>
        <v>408003</v>
      </c>
      <c r="T45" s="488">
        <f t="shared" si="31"/>
        <v>287141.32</v>
      </c>
      <c r="U45" s="488">
        <f t="shared" si="31"/>
        <v>285830</v>
      </c>
      <c r="V45" s="488">
        <f t="shared" si="31"/>
        <v>282844</v>
      </c>
      <c r="W45" s="488">
        <f t="shared" si="31"/>
        <v>282925.94</v>
      </c>
      <c r="X45" s="488">
        <f t="shared" si="31"/>
        <v>93511</v>
      </c>
      <c r="Y45" s="488">
        <f t="shared" si="31"/>
        <v>92091</v>
      </c>
      <c r="Z45" s="488">
        <f t="shared" si="31"/>
        <v>90613</v>
      </c>
      <c r="AA45" s="488">
        <f t="shared" si="31"/>
        <v>89073</v>
      </c>
      <c r="AB45" s="488">
        <f t="shared" si="31"/>
        <v>87471</v>
      </c>
      <c r="AC45" s="488">
        <f t="shared" si="31"/>
        <v>85801</v>
      </c>
      <c r="AD45" s="488">
        <f t="shared" si="31"/>
        <v>84064</v>
      </c>
      <c r="AE45" s="488">
        <f t="shared" si="31"/>
        <v>82081</v>
      </c>
      <c r="AF45" s="488">
        <f t="shared" si="31"/>
        <v>24613</v>
      </c>
      <c r="AG45" s="488">
        <f t="shared" si="31"/>
        <v>22527</v>
      </c>
      <c r="AH45" s="488">
        <f t="shared" si="31"/>
        <v>0</v>
      </c>
      <c r="AI45" s="488">
        <f t="shared" si="31"/>
        <v>0</v>
      </c>
    </row>
    <row r="46" spans="1:35" ht="13.5" thickTop="1" x14ac:dyDescent="0.2">
      <c r="A46" s="26"/>
      <c r="B46" s="27"/>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row>
    <row r="47" spans="1:35" x14ac:dyDescent="0.2">
      <c r="A47" s="481"/>
      <c r="B47" s="482"/>
      <c r="C47" s="483"/>
      <c r="D47" s="483"/>
      <c r="E47" s="483"/>
      <c r="F47" s="483"/>
      <c r="G47" s="483"/>
      <c r="H47" s="483"/>
      <c r="I47" s="483"/>
      <c r="J47" s="483"/>
      <c r="K47" s="483"/>
      <c r="L47" s="483"/>
      <c r="M47" s="483"/>
      <c r="N47" s="483"/>
      <c r="O47" s="483"/>
      <c r="P47" s="483"/>
      <c r="Q47" s="483"/>
      <c r="R47" s="483"/>
      <c r="S47" s="483"/>
      <c r="T47" s="483"/>
      <c r="U47" s="483"/>
      <c r="V47" s="483"/>
      <c r="W47" s="483"/>
      <c r="X47" s="483"/>
      <c r="Y47" s="483"/>
      <c r="Z47" s="483"/>
      <c r="AA47" s="483"/>
      <c r="AB47" s="483"/>
      <c r="AC47" s="483"/>
      <c r="AD47" s="483"/>
      <c r="AE47" s="483"/>
      <c r="AF47" s="483"/>
      <c r="AG47" s="483"/>
      <c r="AH47" s="483"/>
      <c r="AI47" s="483"/>
    </row>
    <row r="48" spans="1:35" x14ac:dyDescent="0.2">
      <c r="A48" s="26"/>
      <c r="B48" s="27"/>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row>
    <row r="49" spans="1:35" x14ac:dyDescent="0.2">
      <c r="A49" s="26"/>
      <c r="B49" s="27" t="s">
        <v>1970</v>
      </c>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row>
    <row r="50" spans="1:35" x14ac:dyDescent="0.2">
      <c r="A50" s="11">
        <v>5910</v>
      </c>
      <c r="B50" s="12" t="s">
        <v>1535</v>
      </c>
      <c r="C50" s="36">
        <v>35000</v>
      </c>
      <c r="D50" s="36">
        <v>35000</v>
      </c>
      <c r="E50" s="36">
        <v>35000</v>
      </c>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1:35" x14ac:dyDescent="0.2">
      <c r="A51" s="11">
        <v>5916</v>
      </c>
      <c r="B51" s="12" t="s">
        <v>1536</v>
      </c>
      <c r="C51" s="14">
        <f>15000+10000</f>
        <v>25000</v>
      </c>
      <c r="D51" s="14">
        <f>10000+10000</f>
        <v>20000</v>
      </c>
      <c r="E51" s="14">
        <f>10000+10000</f>
        <v>20000</v>
      </c>
      <c r="F51" s="14">
        <f t="shared" ref="F51:L51" si="32">5000+10000</f>
        <v>15000</v>
      </c>
      <c r="G51" s="14">
        <f t="shared" si="32"/>
        <v>15000</v>
      </c>
      <c r="H51" s="14">
        <f t="shared" si="32"/>
        <v>15000</v>
      </c>
      <c r="I51" s="14">
        <f t="shared" si="32"/>
        <v>15000</v>
      </c>
      <c r="J51" s="14">
        <f t="shared" si="32"/>
        <v>15000</v>
      </c>
      <c r="K51" s="14">
        <f t="shared" si="32"/>
        <v>15000</v>
      </c>
      <c r="L51" s="14">
        <f t="shared" si="32"/>
        <v>15000</v>
      </c>
      <c r="M51" s="14"/>
      <c r="N51" s="14"/>
      <c r="O51" s="14"/>
      <c r="P51" s="14"/>
      <c r="Q51" s="14"/>
      <c r="R51" s="14"/>
      <c r="S51" s="14"/>
      <c r="T51" s="14"/>
      <c r="U51" s="14"/>
      <c r="V51" s="14"/>
      <c r="W51" s="14"/>
      <c r="X51" s="14"/>
      <c r="Y51" s="14"/>
      <c r="Z51" s="14"/>
      <c r="AA51" s="14"/>
      <c r="AB51" s="14"/>
      <c r="AC51" s="14"/>
      <c r="AD51" s="14"/>
      <c r="AE51" s="14"/>
      <c r="AF51" s="14"/>
      <c r="AG51" s="14"/>
      <c r="AH51" s="14"/>
      <c r="AI51" s="14"/>
    </row>
    <row r="52" spans="1:35" x14ac:dyDescent="0.2">
      <c r="A52" s="11">
        <v>5920</v>
      </c>
      <c r="B52" s="12" t="s">
        <v>1537</v>
      </c>
      <c r="C52" s="14">
        <v>255000</v>
      </c>
      <c r="D52" s="14">
        <v>265000</v>
      </c>
      <c r="E52" s="14">
        <v>275000</v>
      </c>
      <c r="F52" s="14">
        <v>290000</v>
      </c>
      <c r="G52" s="14">
        <v>300000</v>
      </c>
      <c r="H52" s="14">
        <v>315000</v>
      </c>
      <c r="I52" s="14">
        <v>330000</v>
      </c>
      <c r="J52" s="14">
        <v>345000</v>
      </c>
      <c r="K52" s="14">
        <v>360000</v>
      </c>
      <c r="L52" s="14">
        <v>375000</v>
      </c>
      <c r="M52" s="14">
        <v>405000</v>
      </c>
      <c r="N52" s="14"/>
      <c r="O52" s="14"/>
      <c r="P52" s="14"/>
      <c r="Q52" s="14"/>
      <c r="R52" s="14"/>
      <c r="S52" s="14"/>
      <c r="T52" s="14"/>
      <c r="U52" s="14"/>
      <c r="V52" s="14"/>
      <c r="W52" s="14"/>
      <c r="X52" s="14"/>
      <c r="Y52" s="14"/>
      <c r="Z52" s="14"/>
      <c r="AA52" s="14"/>
      <c r="AB52" s="14"/>
      <c r="AC52" s="14"/>
      <c r="AD52" s="14"/>
      <c r="AE52" s="14"/>
      <c r="AF52" s="14"/>
      <c r="AG52" s="14"/>
      <c r="AH52" s="14"/>
      <c r="AI52" s="14"/>
    </row>
    <row r="53" spans="1:35" x14ac:dyDescent="0.2">
      <c r="A53" s="11">
        <v>5930</v>
      </c>
      <c r="B53" s="102" t="s">
        <v>1538</v>
      </c>
      <c r="C53" s="14">
        <f>+C151</f>
        <v>19246</v>
      </c>
      <c r="D53" s="14">
        <f t="shared" ref="D53:AI56" si="33">+D151</f>
        <v>19635</v>
      </c>
      <c r="E53" s="14">
        <f t="shared" si="33"/>
        <v>20032</v>
      </c>
      <c r="F53" s="14">
        <f t="shared" si="33"/>
        <v>20760</v>
      </c>
      <c r="G53" s="14">
        <f t="shared" si="33"/>
        <v>20849</v>
      </c>
      <c r="H53" s="14">
        <f t="shared" si="33"/>
        <v>21270</v>
      </c>
      <c r="I53" s="14">
        <f t="shared" si="33"/>
        <v>21700</v>
      </c>
      <c r="J53" s="14">
        <f t="shared" si="33"/>
        <v>22138</v>
      </c>
      <c r="K53" s="14">
        <f t="shared" si="33"/>
        <v>22586</v>
      </c>
      <c r="L53" s="14">
        <f t="shared" si="33"/>
        <v>23042</v>
      </c>
      <c r="M53" s="14">
        <f t="shared" si="33"/>
        <v>0</v>
      </c>
      <c r="N53" s="14">
        <f t="shared" si="33"/>
        <v>0</v>
      </c>
      <c r="O53" s="14">
        <f t="shared" si="33"/>
        <v>0</v>
      </c>
      <c r="P53" s="14">
        <f t="shared" si="33"/>
        <v>0</v>
      </c>
      <c r="Q53" s="14">
        <f t="shared" si="33"/>
        <v>0</v>
      </c>
      <c r="R53" s="14">
        <f t="shared" si="33"/>
        <v>0</v>
      </c>
      <c r="S53" s="14">
        <f t="shared" si="33"/>
        <v>0</v>
      </c>
      <c r="T53" s="14">
        <f t="shared" si="33"/>
        <v>0</v>
      </c>
      <c r="U53" s="14">
        <f t="shared" si="33"/>
        <v>0</v>
      </c>
      <c r="V53" s="14">
        <f t="shared" si="33"/>
        <v>0</v>
      </c>
      <c r="W53" s="14">
        <f t="shared" si="33"/>
        <v>0</v>
      </c>
      <c r="X53" s="14">
        <f t="shared" si="33"/>
        <v>0</v>
      </c>
      <c r="Y53" s="14">
        <f t="shared" si="33"/>
        <v>0</v>
      </c>
      <c r="Z53" s="14">
        <f t="shared" si="33"/>
        <v>0</v>
      </c>
      <c r="AA53" s="14">
        <f t="shared" si="33"/>
        <v>0</v>
      </c>
      <c r="AB53" s="14">
        <f t="shared" si="33"/>
        <v>0</v>
      </c>
      <c r="AC53" s="14">
        <f t="shared" si="33"/>
        <v>0</v>
      </c>
      <c r="AD53" s="14">
        <f t="shared" si="33"/>
        <v>0</v>
      </c>
      <c r="AE53" s="14">
        <f t="shared" si="33"/>
        <v>0</v>
      </c>
      <c r="AF53" s="14">
        <f t="shared" si="33"/>
        <v>0</v>
      </c>
      <c r="AG53" s="14">
        <f t="shared" si="33"/>
        <v>0</v>
      </c>
      <c r="AH53" s="14">
        <f t="shared" si="33"/>
        <v>0</v>
      </c>
      <c r="AI53" s="14">
        <f t="shared" si="33"/>
        <v>0</v>
      </c>
    </row>
    <row r="54" spans="1:35" x14ac:dyDescent="0.2">
      <c r="A54" s="11">
        <v>5931</v>
      </c>
      <c r="B54" s="60" t="s">
        <v>1539</v>
      </c>
      <c r="C54" s="14">
        <f>+C152</f>
        <v>21872</v>
      </c>
      <c r="D54" s="14">
        <f t="shared" ref="D54:R54" si="34">+D152</f>
        <v>22406</v>
      </c>
      <c r="E54" s="14">
        <f t="shared" si="34"/>
        <v>22954</v>
      </c>
      <c r="F54" s="14">
        <f t="shared" si="34"/>
        <v>23514</v>
      </c>
      <c r="G54" s="14">
        <f t="shared" si="34"/>
        <v>24089</v>
      </c>
      <c r="H54" s="14">
        <f t="shared" si="34"/>
        <v>24678</v>
      </c>
      <c r="I54" s="14">
        <f t="shared" si="34"/>
        <v>25281</v>
      </c>
      <c r="J54" s="14">
        <f t="shared" si="34"/>
        <v>25898</v>
      </c>
      <c r="K54" s="14">
        <f t="shared" si="34"/>
        <v>26531</v>
      </c>
      <c r="L54" s="14">
        <f t="shared" si="34"/>
        <v>27180</v>
      </c>
      <c r="M54" s="14">
        <f t="shared" si="34"/>
        <v>27844</v>
      </c>
      <c r="N54" s="14">
        <f t="shared" si="34"/>
        <v>28524</v>
      </c>
      <c r="O54" s="14">
        <f t="shared" si="34"/>
        <v>29221</v>
      </c>
      <c r="P54" s="14">
        <f t="shared" si="34"/>
        <v>29935</v>
      </c>
      <c r="Q54" s="14">
        <f t="shared" si="34"/>
        <v>30667</v>
      </c>
      <c r="R54" s="14">
        <f t="shared" si="34"/>
        <v>31416</v>
      </c>
      <c r="S54" s="14">
        <f t="shared" si="33"/>
        <v>32184</v>
      </c>
      <c r="T54" s="14">
        <f t="shared" si="33"/>
        <v>32970</v>
      </c>
      <c r="U54" s="14">
        <f t="shared" si="33"/>
        <v>33776</v>
      </c>
      <c r="V54" s="14">
        <f t="shared" si="33"/>
        <v>34601</v>
      </c>
      <c r="W54" s="14">
        <f t="shared" si="33"/>
        <v>35446</v>
      </c>
      <c r="X54" s="14">
        <f t="shared" si="33"/>
        <v>0</v>
      </c>
      <c r="Y54" s="14">
        <f t="shared" si="33"/>
        <v>0</v>
      </c>
      <c r="Z54" s="14">
        <f t="shared" si="33"/>
        <v>0</v>
      </c>
      <c r="AA54" s="14">
        <f t="shared" si="33"/>
        <v>0</v>
      </c>
      <c r="AB54" s="14">
        <f t="shared" si="33"/>
        <v>0</v>
      </c>
      <c r="AC54" s="14">
        <f t="shared" si="33"/>
        <v>0</v>
      </c>
      <c r="AD54" s="14">
        <f t="shared" si="33"/>
        <v>0</v>
      </c>
      <c r="AE54" s="14">
        <f t="shared" si="33"/>
        <v>0</v>
      </c>
      <c r="AF54" s="14">
        <f t="shared" si="33"/>
        <v>0</v>
      </c>
      <c r="AG54" s="14">
        <f t="shared" si="33"/>
        <v>0</v>
      </c>
      <c r="AH54" s="14">
        <f t="shared" si="33"/>
        <v>0</v>
      </c>
      <c r="AI54" s="14">
        <f t="shared" si="33"/>
        <v>0</v>
      </c>
    </row>
    <row r="55" spans="1:35" x14ac:dyDescent="0.2">
      <c r="A55" s="11">
        <v>5932</v>
      </c>
      <c r="B55" s="60" t="s">
        <v>1540</v>
      </c>
      <c r="C55" s="14">
        <f>+C153</f>
        <v>6444</v>
      </c>
      <c r="D55" s="14">
        <f t="shared" si="33"/>
        <v>6726</v>
      </c>
      <c r="E55" s="14">
        <f t="shared" si="33"/>
        <v>7020</v>
      </c>
      <c r="F55" s="14">
        <f t="shared" si="33"/>
        <v>7327</v>
      </c>
      <c r="G55" s="14">
        <f t="shared" si="33"/>
        <v>7647</v>
      </c>
      <c r="H55" s="14">
        <f t="shared" si="33"/>
        <v>7982</v>
      </c>
      <c r="I55" s="14">
        <f t="shared" si="33"/>
        <v>8331</v>
      </c>
      <c r="J55" s="14">
        <f t="shared" si="33"/>
        <v>8696</v>
      </c>
      <c r="K55" s="14">
        <f t="shared" si="33"/>
        <v>9076</v>
      </c>
      <c r="L55" s="14">
        <f t="shared" si="33"/>
        <v>9473</v>
      </c>
      <c r="M55" s="14">
        <f t="shared" si="33"/>
        <v>9888</v>
      </c>
      <c r="N55" s="14">
        <f t="shared" si="33"/>
        <v>10320</v>
      </c>
      <c r="O55" s="14">
        <f t="shared" si="33"/>
        <v>10772</v>
      </c>
      <c r="P55" s="14">
        <f t="shared" si="33"/>
        <v>11243</v>
      </c>
      <c r="Q55" s="14">
        <f t="shared" si="33"/>
        <v>11735</v>
      </c>
      <c r="R55" s="14">
        <f t="shared" si="33"/>
        <v>12248</v>
      </c>
      <c r="S55" s="14">
        <f t="shared" si="33"/>
        <v>12784</v>
      </c>
      <c r="T55" s="14">
        <f t="shared" si="33"/>
        <v>13344</v>
      </c>
      <c r="U55" s="14">
        <f t="shared" si="33"/>
        <v>13927</v>
      </c>
      <c r="V55" s="14">
        <f t="shared" si="33"/>
        <v>14536</v>
      </c>
      <c r="W55" s="14">
        <f t="shared" si="33"/>
        <v>15172</v>
      </c>
      <c r="X55" s="14">
        <f t="shared" si="33"/>
        <v>15836</v>
      </c>
      <c r="Y55" s="14">
        <f t="shared" si="33"/>
        <v>16529</v>
      </c>
      <c r="Z55" s="14">
        <f t="shared" si="33"/>
        <v>17252</v>
      </c>
      <c r="AA55" s="14">
        <f t="shared" si="33"/>
        <v>18007</v>
      </c>
      <c r="AB55" s="14">
        <f t="shared" si="33"/>
        <v>18795</v>
      </c>
      <c r="AC55" s="14">
        <f t="shared" si="33"/>
        <v>19617</v>
      </c>
      <c r="AD55" s="14">
        <f t="shared" si="33"/>
        <v>20475</v>
      </c>
      <c r="AE55" s="14">
        <f t="shared" si="33"/>
        <v>21302</v>
      </c>
      <c r="AF55" s="14">
        <f t="shared" si="33"/>
        <v>0</v>
      </c>
      <c r="AG55" s="14">
        <f t="shared" si="33"/>
        <v>0</v>
      </c>
      <c r="AH55" s="14">
        <f t="shared" si="33"/>
        <v>0</v>
      </c>
      <c r="AI55" s="14">
        <f t="shared" si="33"/>
        <v>0</v>
      </c>
    </row>
    <row r="56" spans="1:35" x14ac:dyDescent="0.2">
      <c r="A56" s="11">
        <v>5933</v>
      </c>
      <c r="B56" s="60" t="s">
        <v>1541</v>
      </c>
      <c r="C56" s="14">
        <f>+C154</f>
        <v>5891</v>
      </c>
      <c r="D56" s="14">
        <f t="shared" si="33"/>
        <v>6134</v>
      </c>
      <c r="E56" s="14">
        <f t="shared" si="33"/>
        <v>6387</v>
      </c>
      <c r="F56" s="14">
        <f t="shared" si="33"/>
        <v>6651</v>
      </c>
      <c r="G56" s="14">
        <f t="shared" si="33"/>
        <v>6925</v>
      </c>
      <c r="H56" s="14">
        <f t="shared" si="33"/>
        <v>7211</v>
      </c>
      <c r="I56" s="14">
        <f t="shared" si="33"/>
        <v>7508</v>
      </c>
      <c r="J56" s="14">
        <f t="shared" si="33"/>
        <v>7818</v>
      </c>
      <c r="K56" s="14">
        <f t="shared" si="33"/>
        <v>8140</v>
      </c>
      <c r="L56" s="14">
        <f t="shared" si="33"/>
        <v>8476</v>
      </c>
      <c r="M56" s="14">
        <f t="shared" si="33"/>
        <v>8826</v>
      </c>
      <c r="N56" s="14">
        <f t="shared" si="33"/>
        <v>9190</v>
      </c>
      <c r="O56" s="14">
        <f t="shared" si="33"/>
        <v>9569</v>
      </c>
      <c r="P56" s="14">
        <f t="shared" si="33"/>
        <v>9964</v>
      </c>
      <c r="Q56" s="14">
        <f t="shared" si="33"/>
        <v>10374</v>
      </c>
      <c r="R56" s="14">
        <f t="shared" si="33"/>
        <v>10802</v>
      </c>
      <c r="S56" s="14">
        <f t="shared" si="33"/>
        <v>11248</v>
      </c>
      <c r="T56" s="14">
        <f t="shared" si="33"/>
        <v>11712</v>
      </c>
      <c r="U56" s="14">
        <f t="shared" si="33"/>
        <v>12195</v>
      </c>
      <c r="V56" s="14">
        <f t="shared" si="33"/>
        <v>12698</v>
      </c>
      <c r="W56" s="14">
        <f t="shared" si="33"/>
        <v>13222</v>
      </c>
      <c r="X56" s="14">
        <f t="shared" si="33"/>
        <v>13767</v>
      </c>
      <c r="Y56" s="14">
        <f t="shared" si="33"/>
        <v>14335</v>
      </c>
      <c r="Z56" s="14">
        <f t="shared" si="33"/>
        <v>14927</v>
      </c>
      <c r="AA56" s="14">
        <f t="shared" si="33"/>
        <v>15542</v>
      </c>
      <c r="AB56" s="14">
        <f t="shared" si="33"/>
        <v>16184</v>
      </c>
      <c r="AC56" s="14">
        <f t="shared" si="33"/>
        <v>16851</v>
      </c>
      <c r="AD56" s="14">
        <f t="shared" si="33"/>
        <v>17546</v>
      </c>
      <c r="AE56" s="14">
        <f t="shared" si="33"/>
        <v>18270</v>
      </c>
      <c r="AF56" s="14">
        <f t="shared" si="33"/>
        <v>19024</v>
      </c>
      <c r="AG56" s="14">
        <f t="shared" si="33"/>
        <v>19685</v>
      </c>
      <c r="AH56" s="14">
        <f t="shared" si="33"/>
        <v>0</v>
      </c>
      <c r="AI56" s="14">
        <f t="shared" si="33"/>
        <v>0</v>
      </c>
    </row>
    <row r="57" spans="1:35" x14ac:dyDescent="0.2">
      <c r="A57" s="11">
        <v>5934</v>
      </c>
      <c r="B57" s="12" t="s">
        <v>1542</v>
      </c>
      <c r="C57" s="36">
        <v>5000</v>
      </c>
      <c r="D57" s="36">
        <v>5000</v>
      </c>
      <c r="E57" s="36">
        <v>5000</v>
      </c>
      <c r="F57" s="36">
        <v>5000</v>
      </c>
      <c r="G57" s="36">
        <v>5000</v>
      </c>
      <c r="H57" s="36">
        <v>5000</v>
      </c>
      <c r="I57" s="36">
        <v>5000</v>
      </c>
      <c r="J57" s="36">
        <v>5000</v>
      </c>
      <c r="K57" s="36">
        <v>5000</v>
      </c>
      <c r="L57" s="36">
        <v>5000</v>
      </c>
      <c r="M57" s="36">
        <v>5000</v>
      </c>
      <c r="N57" s="36"/>
      <c r="O57" s="36"/>
      <c r="P57" s="36"/>
      <c r="Q57" s="36"/>
      <c r="R57" s="36"/>
      <c r="S57" s="36"/>
      <c r="T57" s="36"/>
      <c r="U57" s="36"/>
      <c r="V57" s="36"/>
      <c r="W57" s="36"/>
      <c r="X57" s="36"/>
      <c r="Y57" s="36"/>
      <c r="Z57" s="36"/>
      <c r="AA57" s="36"/>
      <c r="AB57" s="36"/>
      <c r="AC57" s="36"/>
      <c r="AD57" s="36"/>
      <c r="AE57" s="36"/>
      <c r="AF57" s="36"/>
      <c r="AG57" s="36"/>
      <c r="AH57" s="36"/>
      <c r="AI57" s="36"/>
    </row>
    <row r="58" spans="1:35" x14ac:dyDescent="0.2">
      <c r="A58" s="11">
        <v>5936</v>
      </c>
      <c r="B58" s="12" t="s">
        <v>1544</v>
      </c>
      <c r="C58" s="36">
        <v>5618</v>
      </c>
      <c r="D58" s="36">
        <v>5758</v>
      </c>
      <c r="E58" s="36">
        <v>5902</v>
      </c>
      <c r="F58" s="36">
        <v>6050</v>
      </c>
      <c r="G58" s="36">
        <v>6201</v>
      </c>
      <c r="H58" s="36">
        <v>6356</v>
      </c>
      <c r="I58" s="36">
        <v>6515</v>
      </c>
      <c r="J58" s="36">
        <v>6678</v>
      </c>
      <c r="K58" s="36">
        <v>6845</v>
      </c>
      <c r="L58" s="36">
        <v>7016</v>
      </c>
      <c r="M58" s="36">
        <v>7191</v>
      </c>
      <c r="N58" s="36">
        <v>7371</v>
      </c>
      <c r="O58" s="36">
        <v>7555</v>
      </c>
      <c r="P58" s="36">
        <v>7744</v>
      </c>
      <c r="Q58" s="36">
        <v>7938</v>
      </c>
      <c r="R58" s="36">
        <v>8136</v>
      </c>
      <c r="S58" s="36"/>
      <c r="T58" s="36"/>
      <c r="U58" s="36"/>
      <c r="V58" s="36"/>
      <c r="W58" s="36"/>
      <c r="X58" s="36"/>
      <c r="Y58" s="36"/>
      <c r="Z58" s="36"/>
      <c r="AA58" s="36"/>
      <c r="AB58" s="36"/>
      <c r="AC58" s="36"/>
      <c r="AD58" s="36"/>
      <c r="AE58" s="36"/>
      <c r="AF58" s="36"/>
      <c r="AG58" s="36"/>
      <c r="AH58" s="36"/>
      <c r="AI58" s="36"/>
    </row>
    <row r="59" spans="1:35" x14ac:dyDescent="0.2">
      <c r="A59" s="26">
        <v>5937</v>
      </c>
      <c r="B59" s="12" t="s">
        <v>1545</v>
      </c>
      <c r="C59" s="36">
        <v>5000</v>
      </c>
      <c r="D59" s="36">
        <v>5000</v>
      </c>
      <c r="E59" s="36">
        <v>5000</v>
      </c>
      <c r="F59" s="36">
        <v>5000</v>
      </c>
      <c r="G59" s="36">
        <v>5000</v>
      </c>
      <c r="H59" s="36">
        <v>5000</v>
      </c>
      <c r="I59" s="36">
        <v>5000</v>
      </c>
      <c r="J59" s="36">
        <v>5000</v>
      </c>
      <c r="K59" s="36">
        <v>5000</v>
      </c>
      <c r="L59" s="36">
        <v>5000</v>
      </c>
      <c r="M59" s="36">
        <v>5000</v>
      </c>
      <c r="N59" s="36">
        <v>5000</v>
      </c>
      <c r="O59" s="36">
        <v>5000</v>
      </c>
      <c r="P59" s="36">
        <v>5000</v>
      </c>
      <c r="Q59" s="36">
        <v>5000</v>
      </c>
      <c r="R59" s="36">
        <v>5000</v>
      </c>
      <c r="S59" s="36">
        <v>5000</v>
      </c>
      <c r="T59" s="36"/>
      <c r="U59" s="36"/>
      <c r="V59" s="36"/>
      <c r="W59" s="36"/>
      <c r="X59" s="36"/>
      <c r="Y59" s="36"/>
      <c r="Z59" s="36"/>
      <c r="AA59" s="36"/>
      <c r="AB59" s="36"/>
      <c r="AC59" s="36"/>
      <c r="AD59" s="36"/>
      <c r="AE59" s="36"/>
      <c r="AF59" s="36"/>
      <c r="AG59" s="36"/>
      <c r="AH59" s="36"/>
      <c r="AI59" s="36"/>
    </row>
    <row r="60" spans="1:35" x14ac:dyDescent="0.2">
      <c r="A60" s="26">
        <v>5938</v>
      </c>
      <c r="B60" s="12" t="s">
        <v>1546</v>
      </c>
      <c r="C60" s="36"/>
      <c r="D60" s="36">
        <v>10000</v>
      </c>
      <c r="E60" s="36">
        <v>10000</v>
      </c>
      <c r="F60" s="36">
        <v>10000</v>
      </c>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1:35" x14ac:dyDescent="0.2">
      <c r="A61" s="26">
        <v>5939</v>
      </c>
      <c r="B61" s="12" t="s">
        <v>1547</v>
      </c>
      <c r="C61" s="36"/>
      <c r="D61" s="36">
        <v>10000</v>
      </c>
      <c r="E61" s="36">
        <v>10000</v>
      </c>
      <c r="F61" s="36">
        <v>10000</v>
      </c>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1:35" x14ac:dyDescent="0.2">
      <c r="A62" s="26">
        <v>5944</v>
      </c>
      <c r="B62" s="12" t="s">
        <v>1548</v>
      </c>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1:35" x14ac:dyDescent="0.2">
      <c r="A63" s="26">
        <v>5947</v>
      </c>
      <c r="B63" s="12" t="s">
        <v>1549</v>
      </c>
      <c r="C63" s="36"/>
      <c r="D63" s="36">
        <v>3100</v>
      </c>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1:35" ht="13.5" thickBot="1" x14ac:dyDescent="0.25">
      <c r="A64" s="11"/>
      <c r="B64" s="12"/>
      <c r="C64" s="16"/>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row>
    <row r="65" spans="1:35" x14ac:dyDescent="0.2">
      <c r="A65" s="11"/>
      <c r="B65" s="12" t="s">
        <v>1971</v>
      </c>
      <c r="C65" s="19"/>
      <c r="D65" s="14">
        <f>ROUND((105000*0.93),0)</f>
        <v>97650</v>
      </c>
      <c r="E65" s="14">
        <f t="shared" ref="E65:K65" si="35">ROUND((105000*0.93),0)</f>
        <v>97650</v>
      </c>
      <c r="F65" s="14">
        <f t="shared" si="35"/>
        <v>97650</v>
      </c>
      <c r="G65" s="14">
        <f t="shared" si="35"/>
        <v>97650</v>
      </c>
      <c r="H65" s="14">
        <f t="shared" si="35"/>
        <v>97650</v>
      </c>
      <c r="I65" s="14">
        <f t="shared" si="35"/>
        <v>97650</v>
      </c>
      <c r="J65" s="14">
        <f t="shared" si="35"/>
        <v>97650</v>
      </c>
      <c r="K65" s="14">
        <f t="shared" si="35"/>
        <v>97650</v>
      </c>
      <c r="L65" s="14"/>
      <c r="M65" s="14"/>
      <c r="N65" s="14"/>
      <c r="O65" s="14"/>
      <c r="P65" s="14"/>
      <c r="Q65" s="14"/>
      <c r="R65" s="14"/>
      <c r="S65" s="14"/>
      <c r="T65" s="14"/>
      <c r="U65" s="14"/>
      <c r="V65" s="14"/>
      <c r="W65" s="14"/>
      <c r="X65" s="14"/>
      <c r="Y65" s="14"/>
      <c r="Z65" s="14"/>
      <c r="AA65" s="14"/>
      <c r="AB65" s="14"/>
      <c r="AC65" s="14"/>
      <c r="AD65" s="14"/>
      <c r="AE65" s="14"/>
      <c r="AF65" s="14"/>
      <c r="AG65" s="14"/>
      <c r="AH65" s="14"/>
      <c r="AI65" s="14"/>
    </row>
    <row r="66" spans="1:35" x14ac:dyDescent="0.2">
      <c r="A66" s="11"/>
      <c r="B66" s="12" t="s">
        <v>1972</v>
      </c>
      <c r="C66" s="19"/>
      <c r="D66" s="19">
        <v>60000</v>
      </c>
      <c r="E66" s="19">
        <v>60000</v>
      </c>
      <c r="F66" s="19">
        <v>60000</v>
      </c>
      <c r="G66" s="19">
        <v>60000</v>
      </c>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row>
    <row r="67" spans="1:35" x14ac:dyDescent="0.2">
      <c r="A67" s="11"/>
      <c r="B67" s="1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row>
    <row r="68" spans="1:35" x14ac:dyDescent="0.2">
      <c r="A68" s="11"/>
      <c r="B68" s="12" t="s">
        <v>1973</v>
      </c>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row>
    <row r="69" spans="1:35" x14ac:dyDescent="0.2">
      <c r="A69" s="11">
        <v>5910</v>
      </c>
      <c r="B69" s="12" t="s">
        <v>1535</v>
      </c>
      <c r="C69" s="36">
        <f>2923+1960</f>
        <v>4883</v>
      </c>
      <c r="D69" s="36">
        <f>1960+980</f>
        <v>2940</v>
      </c>
      <c r="E69" s="36">
        <v>980</v>
      </c>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row>
    <row r="70" spans="1:35" x14ac:dyDescent="0.2">
      <c r="A70" s="11">
        <v>5916</v>
      </c>
      <c r="B70" s="12" t="s">
        <v>1536</v>
      </c>
      <c r="C70" s="14">
        <f>1400+1100+2000+1800</f>
        <v>6300</v>
      </c>
      <c r="D70" s="14">
        <f>1100+900+1800+1600</f>
        <v>5400</v>
      </c>
      <c r="E70" s="14">
        <f>900+700+1600+1400</f>
        <v>4600</v>
      </c>
      <c r="F70" s="14">
        <f>700+600+1400+1200</f>
        <v>3900</v>
      </c>
      <c r="G70" s="14">
        <f>600+500+1200+1000</f>
        <v>3300</v>
      </c>
      <c r="H70" s="14">
        <f>500+400+1000+800</f>
        <v>2700</v>
      </c>
      <c r="I70" s="14">
        <f>400+300+800+600</f>
        <v>2100</v>
      </c>
      <c r="J70" s="14">
        <f>300+200+600+400</f>
        <v>1500</v>
      </c>
      <c r="K70" s="14">
        <f>200+100+400+200</f>
        <v>900</v>
      </c>
      <c r="L70" s="14">
        <f>100+200</f>
        <v>300</v>
      </c>
      <c r="M70" s="14"/>
      <c r="N70" s="14"/>
      <c r="O70" s="14"/>
      <c r="P70" s="14"/>
      <c r="Q70" s="14"/>
      <c r="R70" s="14"/>
      <c r="S70" s="14"/>
      <c r="T70" s="14"/>
      <c r="U70" s="14"/>
      <c r="V70" s="14"/>
      <c r="W70" s="14"/>
      <c r="X70" s="14"/>
      <c r="Y70" s="14"/>
      <c r="Z70" s="14"/>
      <c r="AA70" s="14"/>
      <c r="AB70" s="14"/>
      <c r="AC70" s="14"/>
      <c r="AD70" s="14"/>
      <c r="AE70" s="14"/>
      <c r="AF70" s="14"/>
      <c r="AG70" s="14"/>
      <c r="AH70" s="14"/>
      <c r="AI70" s="14"/>
    </row>
    <row r="71" spans="1:35" x14ac:dyDescent="0.2">
      <c r="A71" s="11">
        <v>5920</v>
      </c>
      <c r="B71" s="12" t="s">
        <v>1537</v>
      </c>
      <c r="C71" s="14">
        <f>73150+68050</f>
        <v>141200</v>
      </c>
      <c r="D71" s="14">
        <f>68050+62750</f>
        <v>130800</v>
      </c>
      <c r="E71" s="14">
        <f>62750+57250</f>
        <v>120000</v>
      </c>
      <c r="F71" s="14">
        <f>57250+51450</f>
        <v>108700</v>
      </c>
      <c r="G71" s="14">
        <f>51450+45450</f>
        <v>96900</v>
      </c>
      <c r="H71" s="14">
        <f>45450+39150</f>
        <v>84600</v>
      </c>
      <c r="I71" s="14">
        <f>39150+32550</f>
        <v>71700</v>
      </c>
      <c r="J71" s="14">
        <f>32550+25650</f>
        <v>58200</v>
      </c>
      <c r="K71" s="14">
        <f>25650+17550</f>
        <v>43200</v>
      </c>
      <c r="L71" s="14">
        <f>17550+9113</f>
        <v>26663</v>
      </c>
      <c r="M71" s="14">
        <v>9113</v>
      </c>
      <c r="N71" s="14"/>
      <c r="O71" s="14"/>
      <c r="P71" s="14"/>
      <c r="Q71" s="14"/>
      <c r="R71" s="14"/>
      <c r="S71" s="14"/>
      <c r="T71" s="14"/>
      <c r="U71" s="14"/>
      <c r="V71" s="14"/>
      <c r="W71" s="14"/>
      <c r="X71" s="14"/>
      <c r="Y71" s="14"/>
      <c r="Z71" s="14"/>
      <c r="AA71" s="14"/>
      <c r="AB71" s="14"/>
      <c r="AC71" s="14"/>
      <c r="AD71" s="14"/>
      <c r="AE71" s="14"/>
      <c r="AF71" s="14"/>
      <c r="AG71" s="14"/>
      <c r="AH71" s="14"/>
      <c r="AI71" s="14"/>
    </row>
    <row r="72" spans="1:35" x14ac:dyDescent="0.2">
      <c r="A72" s="11">
        <v>5930</v>
      </c>
      <c r="B72" s="60" t="s">
        <v>1538</v>
      </c>
      <c r="C72" s="14">
        <f t="shared" ref="C72:C77" si="36">+C157</f>
        <v>4266</v>
      </c>
      <c r="D72" s="14">
        <f t="shared" ref="D72:AI72" si="37">+D157</f>
        <v>3638</v>
      </c>
      <c r="E72" s="14">
        <f t="shared" si="37"/>
        <v>3241</v>
      </c>
      <c r="F72" s="14">
        <f t="shared" si="37"/>
        <v>2836</v>
      </c>
      <c r="G72" s="14">
        <f t="shared" si="37"/>
        <v>2424</v>
      </c>
      <c r="H72" s="14">
        <f t="shared" si="37"/>
        <v>2002</v>
      </c>
      <c r="I72" s="14">
        <f t="shared" si="37"/>
        <v>1572</v>
      </c>
      <c r="J72" s="14">
        <f t="shared" si="37"/>
        <v>1134</v>
      </c>
      <c r="K72" s="14">
        <f t="shared" si="37"/>
        <v>687</v>
      </c>
      <c r="L72" s="14">
        <f t="shared" si="37"/>
        <v>231</v>
      </c>
      <c r="M72" s="14">
        <f t="shared" si="37"/>
        <v>0</v>
      </c>
      <c r="N72" s="14">
        <f t="shared" si="37"/>
        <v>0</v>
      </c>
      <c r="O72" s="14">
        <f t="shared" si="37"/>
        <v>0</v>
      </c>
      <c r="P72" s="14">
        <f t="shared" si="37"/>
        <v>0</v>
      </c>
      <c r="Q72" s="14">
        <f t="shared" si="37"/>
        <v>0</v>
      </c>
      <c r="R72" s="14">
        <f t="shared" si="37"/>
        <v>0</v>
      </c>
      <c r="S72" s="14">
        <f t="shared" si="37"/>
        <v>0</v>
      </c>
      <c r="T72" s="14">
        <f t="shared" si="37"/>
        <v>0</v>
      </c>
      <c r="U72" s="14">
        <f t="shared" si="37"/>
        <v>0</v>
      </c>
      <c r="V72" s="14">
        <f t="shared" si="37"/>
        <v>0</v>
      </c>
      <c r="W72" s="14">
        <f t="shared" si="37"/>
        <v>0</v>
      </c>
      <c r="X72" s="14">
        <f t="shared" si="37"/>
        <v>0</v>
      </c>
      <c r="Y72" s="14">
        <f t="shared" si="37"/>
        <v>0</v>
      </c>
      <c r="Z72" s="14">
        <f t="shared" si="37"/>
        <v>0</v>
      </c>
      <c r="AA72" s="14">
        <f t="shared" si="37"/>
        <v>0</v>
      </c>
      <c r="AB72" s="14">
        <f t="shared" si="37"/>
        <v>0</v>
      </c>
      <c r="AC72" s="14">
        <f t="shared" si="37"/>
        <v>0</v>
      </c>
      <c r="AD72" s="14">
        <f t="shared" si="37"/>
        <v>0</v>
      </c>
      <c r="AE72" s="14">
        <f t="shared" si="37"/>
        <v>0</v>
      </c>
      <c r="AF72" s="14">
        <f t="shared" si="37"/>
        <v>0</v>
      </c>
      <c r="AG72" s="14">
        <f t="shared" si="37"/>
        <v>0</v>
      </c>
      <c r="AH72" s="14">
        <f t="shared" si="37"/>
        <v>0</v>
      </c>
      <c r="AI72" s="14">
        <f t="shared" si="37"/>
        <v>0</v>
      </c>
    </row>
    <row r="73" spans="1:35" x14ac:dyDescent="0.2">
      <c r="A73" s="11" t="s">
        <v>1559</v>
      </c>
      <c r="B73" s="60" t="s">
        <v>1560</v>
      </c>
      <c r="C73" s="14">
        <f t="shared" si="36"/>
        <v>302</v>
      </c>
      <c r="D73" s="14">
        <f t="shared" ref="D73:AI73" si="38">+D158</f>
        <v>273</v>
      </c>
      <c r="E73" s="14">
        <f t="shared" si="38"/>
        <v>243</v>
      </c>
      <c r="F73" s="14">
        <f t="shared" si="38"/>
        <v>213</v>
      </c>
      <c r="G73" s="14">
        <f t="shared" si="38"/>
        <v>182</v>
      </c>
      <c r="H73" s="14">
        <f t="shared" si="38"/>
        <v>150</v>
      </c>
      <c r="I73" s="14">
        <f t="shared" si="38"/>
        <v>118</v>
      </c>
      <c r="J73" s="14">
        <f t="shared" si="38"/>
        <v>85</v>
      </c>
      <c r="K73" s="14">
        <f t="shared" si="38"/>
        <v>52</v>
      </c>
      <c r="L73" s="14">
        <f t="shared" si="38"/>
        <v>178</v>
      </c>
      <c r="M73" s="14">
        <f t="shared" si="38"/>
        <v>0</v>
      </c>
      <c r="N73" s="14">
        <f t="shared" si="38"/>
        <v>0</v>
      </c>
      <c r="O73" s="14">
        <f t="shared" si="38"/>
        <v>0</v>
      </c>
      <c r="P73" s="14">
        <f t="shared" si="38"/>
        <v>0</v>
      </c>
      <c r="Q73" s="14">
        <f t="shared" si="38"/>
        <v>0</v>
      </c>
      <c r="R73" s="14">
        <f t="shared" si="38"/>
        <v>0</v>
      </c>
      <c r="S73" s="14">
        <f t="shared" si="38"/>
        <v>0</v>
      </c>
      <c r="T73" s="14">
        <f t="shared" si="38"/>
        <v>0</v>
      </c>
      <c r="U73" s="14">
        <f t="shared" si="38"/>
        <v>0</v>
      </c>
      <c r="V73" s="14">
        <f t="shared" si="38"/>
        <v>0</v>
      </c>
      <c r="W73" s="14">
        <f t="shared" si="38"/>
        <v>0</v>
      </c>
      <c r="X73" s="14">
        <f t="shared" si="38"/>
        <v>0</v>
      </c>
      <c r="Y73" s="14">
        <f t="shared" si="38"/>
        <v>0</v>
      </c>
      <c r="Z73" s="14">
        <f t="shared" si="38"/>
        <v>0</v>
      </c>
      <c r="AA73" s="14">
        <f t="shared" si="38"/>
        <v>0</v>
      </c>
      <c r="AB73" s="14">
        <f t="shared" si="38"/>
        <v>0</v>
      </c>
      <c r="AC73" s="14">
        <f t="shared" si="38"/>
        <v>0</v>
      </c>
      <c r="AD73" s="14">
        <f t="shared" si="38"/>
        <v>0</v>
      </c>
      <c r="AE73" s="14">
        <f t="shared" si="38"/>
        <v>0</v>
      </c>
      <c r="AF73" s="14">
        <f t="shared" si="38"/>
        <v>0</v>
      </c>
      <c r="AG73" s="14">
        <f t="shared" si="38"/>
        <v>0</v>
      </c>
      <c r="AH73" s="14">
        <f t="shared" si="38"/>
        <v>0</v>
      </c>
      <c r="AI73" s="14">
        <f t="shared" si="38"/>
        <v>0</v>
      </c>
    </row>
    <row r="74" spans="1:35" x14ac:dyDescent="0.2">
      <c r="A74" s="11">
        <v>5931</v>
      </c>
      <c r="B74" s="60" t="s">
        <v>1539</v>
      </c>
      <c r="C74" s="14">
        <f t="shared" si="36"/>
        <v>14054</v>
      </c>
      <c r="D74" s="14">
        <f t="shared" ref="D74:AI74" si="39">+D159</f>
        <v>13468</v>
      </c>
      <c r="E74" s="14">
        <f t="shared" si="39"/>
        <v>12921</v>
      </c>
      <c r="F74" s="14">
        <f t="shared" si="39"/>
        <v>12360</v>
      </c>
      <c r="G74" s="14">
        <f t="shared" si="39"/>
        <v>11785</v>
      </c>
      <c r="H74" s="14">
        <f t="shared" si="39"/>
        <v>11197</v>
      </c>
      <c r="I74" s="14">
        <f t="shared" si="39"/>
        <v>10594</v>
      </c>
      <c r="J74" s="14">
        <f t="shared" si="39"/>
        <v>9976</v>
      </c>
      <c r="K74" s="14">
        <f t="shared" si="39"/>
        <v>9343</v>
      </c>
      <c r="L74" s="14">
        <f t="shared" si="39"/>
        <v>8695</v>
      </c>
      <c r="M74" s="14">
        <f t="shared" si="39"/>
        <v>8031</v>
      </c>
      <c r="N74" s="14">
        <f t="shared" si="39"/>
        <v>7350</v>
      </c>
      <c r="O74" s="14">
        <f t="shared" si="39"/>
        <v>6653</v>
      </c>
      <c r="P74" s="14">
        <f t="shared" si="39"/>
        <v>5939</v>
      </c>
      <c r="Q74" s="14">
        <f t="shared" si="39"/>
        <v>5208</v>
      </c>
      <c r="R74" s="14">
        <f t="shared" si="39"/>
        <v>4458</v>
      </c>
      <c r="S74" s="14">
        <f t="shared" si="39"/>
        <v>3691</v>
      </c>
      <c r="T74" s="14">
        <f t="shared" si="39"/>
        <v>2904</v>
      </c>
      <c r="U74" s="14">
        <f t="shared" si="39"/>
        <v>2099</v>
      </c>
      <c r="V74" s="14">
        <f t="shared" si="39"/>
        <v>1274</v>
      </c>
      <c r="W74" s="14">
        <f t="shared" si="39"/>
        <v>428</v>
      </c>
      <c r="X74" s="14">
        <f t="shared" si="39"/>
        <v>0</v>
      </c>
      <c r="Y74" s="14">
        <f t="shared" si="39"/>
        <v>0</v>
      </c>
      <c r="Z74" s="14">
        <f t="shared" si="39"/>
        <v>0</v>
      </c>
      <c r="AA74" s="14">
        <f t="shared" si="39"/>
        <v>0</v>
      </c>
      <c r="AB74" s="14">
        <f t="shared" si="39"/>
        <v>0</v>
      </c>
      <c r="AC74" s="14">
        <f t="shared" si="39"/>
        <v>0</v>
      </c>
      <c r="AD74" s="14">
        <f t="shared" si="39"/>
        <v>0</v>
      </c>
      <c r="AE74" s="14">
        <f t="shared" si="39"/>
        <v>0</v>
      </c>
      <c r="AF74" s="14">
        <f t="shared" si="39"/>
        <v>0</v>
      </c>
      <c r="AG74" s="14">
        <f t="shared" si="39"/>
        <v>0</v>
      </c>
      <c r="AH74" s="14">
        <f t="shared" si="39"/>
        <v>0</v>
      </c>
      <c r="AI74" s="14">
        <f t="shared" si="39"/>
        <v>0</v>
      </c>
    </row>
    <row r="75" spans="1:35" x14ac:dyDescent="0.2">
      <c r="A75" s="11" t="s">
        <v>1561</v>
      </c>
      <c r="B75" s="60" t="s">
        <v>1562</v>
      </c>
      <c r="C75" s="14">
        <f t="shared" si="36"/>
        <v>870</v>
      </c>
      <c r="D75" s="14">
        <f t="shared" ref="D75:AI75" si="40">+D160</f>
        <v>837</v>
      </c>
      <c r="E75" s="14">
        <f t="shared" si="40"/>
        <v>803</v>
      </c>
      <c r="F75" s="14">
        <f t="shared" si="40"/>
        <v>768</v>
      </c>
      <c r="G75" s="14">
        <f t="shared" si="40"/>
        <v>732</v>
      </c>
      <c r="H75" s="14">
        <f t="shared" si="40"/>
        <v>696</v>
      </c>
      <c r="I75" s="14">
        <f t="shared" si="40"/>
        <v>658</v>
      </c>
      <c r="J75" s="14">
        <f t="shared" si="40"/>
        <v>580</v>
      </c>
      <c r="K75" s="14">
        <f t="shared" si="40"/>
        <v>581</v>
      </c>
      <c r="L75" s="14">
        <f t="shared" si="40"/>
        <v>540</v>
      </c>
      <c r="M75" s="14">
        <f t="shared" si="40"/>
        <v>499</v>
      </c>
      <c r="N75" s="14">
        <f t="shared" si="40"/>
        <v>457</v>
      </c>
      <c r="O75" s="14">
        <f t="shared" si="40"/>
        <v>414</v>
      </c>
      <c r="P75" s="14">
        <f t="shared" si="40"/>
        <v>369</v>
      </c>
      <c r="Q75" s="14">
        <f t="shared" si="40"/>
        <v>324</v>
      </c>
      <c r="R75" s="14">
        <f t="shared" si="40"/>
        <v>277</v>
      </c>
      <c r="S75" s="14">
        <f t="shared" si="40"/>
        <v>230</v>
      </c>
      <c r="T75" s="14">
        <f t="shared" si="40"/>
        <v>181</v>
      </c>
      <c r="U75" s="14">
        <f t="shared" si="40"/>
        <v>131</v>
      </c>
      <c r="V75" s="14">
        <f t="shared" si="40"/>
        <v>79</v>
      </c>
      <c r="W75" s="14">
        <f t="shared" si="40"/>
        <v>27</v>
      </c>
      <c r="X75" s="14">
        <f t="shared" si="40"/>
        <v>0</v>
      </c>
      <c r="Y75" s="14">
        <f t="shared" si="40"/>
        <v>0</v>
      </c>
      <c r="Z75" s="14">
        <f t="shared" si="40"/>
        <v>0</v>
      </c>
      <c r="AA75" s="14">
        <f t="shared" si="40"/>
        <v>0</v>
      </c>
      <c r="AB75" s="14">
        <f t="shared" si="40"/>
        <v>0</v>
      </c>
      <c r="AC75" s="14">
        <f t="shared" si="40"/>
        <v>0</v>
      </c>
      <c r="AD75" s="14">
        <f t="shared" si="40"/>
        <v>0</v>
      </c>
      <c r="AE75" s="14">
        <f t="shared" si="40"/>
        <v>0</v>
      </c>
      <c r="AF75" s="14">
        <f t="shared" si="40"/>
        <v>0</v>
      </c>
      <c r="AG75" s="14">
        <f t="shared" si="40"/>
        <v>0</v>
      </c>
      <c r="AH75" s="14">
        <f t="shared" si="40"/>
        <v>0</v>
      </c>
      <c r="AI75" s="14">
        <f t="shared" si="40"/>
        <v>0</v>
      </c>
    </row>
    <row r="76" spans="1:35" x14ac:dyDescent="0.2">
      <c r="A76" s="11">
        <v>5932</v>
      </c>
      <c r="B76" s="60" t="s">
        <v>1540</v>
      </c>
      <c r="C76" s="14">
        <f t="shared" si="36"/>
        <v>15860</v>
      </c>
      <c r="D76" s="14">
        <f t="shared" ref="D76:AI76" si="41">+D161</f>
        <v>15578</v>
      </c>
      <c r="E76" s="14">
        <f t="shared" si="41"/>
        <v>15283</v>
      </c>
      <c r="F76" s="14">
        <f t="shared" si="41"/>
        <v>14976</v>
      </c>
      <c r="G76" s="14">
        <f t="shared" si="41"/>
        <v>14656</v>
      </c>
      <c r="H76" s="14">
        <f t="shared" si="41"/>
        <v>14321</v>
      </c>
      <c r="I76" s="14">
        <f t="shared" si="41"/>
        <v>13972</v>
      </c>
      <c r="J76" s="14">
        <f t="shared" si="41"/>
        <v>13608</v>
      </c>
      <c r="K76" s="14">
        <f t="shared" si="41"/>
        <v>13227</v>
      </c>
      <c r="L76" s="14">
        <f t="shared" si="41"/>
        <v>12830</v>
      </c>
      <c r="M76" s="14">
        <f t="shared" si="41"/>
        <v>12416</v>
      </c>
      <c r="N76" s="14">
        <f t="shared" si="41"/>
        <v>11983</v>
      </c>
      <c r="O76" s="14">
        <f t="shared" si="41"/>
        <v>11532</v>
      </c>
      <c r="P76" s="14">
        <f t="shared" si="41"/>
        <v>11060</v>
      </c>
      <c r="Q76" s="14">
        <f t="shared" si="41"/>
        <v>10568</v>
      </c>
      <c r="R76" s="14">
        <f t="shared" si="41"/>
        <v>10055</v>
      </c>
      <c r="S76" s="14">
        <f t="shared" si="41"/>
        <v>9519</v>
      </c>
      <c r="T76" s="14">
        <f t="shared" si="41"/>
        <v>8960</v>
      </c>
      <c r="U76" s="14">
        <f t="shared" si="41"/>
        <v>8376</v>
      </c>
      <c r="V76" s="14">
        <f t="shared" si="41"/>
        <v>7767</v>
      </c>
      <c r="W76" s="14">
        <f t="shared" si="41"/>
        <v>7131</v>
      </c>
      <c r="X76" s="14">
        <f t="shared" si="41"/>
        <v>6467</v>
      </c>
      <c r="Y76" s="14">
        <f t="shared" si="41"/>
        <v>5774</v>
      </c>
      <c r="Z76" s="14">
        <f t="shared" si="41"/>
        <v>5051</v>
      </c>
      <c r="AA76" s="14">
        <f t="shared" si="41"/>
        <v>4296</v>
      </c>
      <c r="AB76" s="14">
        <f t="shared" si="41"/>
        <v>3508</v>
      </c>
      <c r="AC76" s="14">
        <f t="shared" si="41"/>
        <v>2686</v>
      </c>
      <c r="AD76" s="14">
        <f t="shared" si="41"/>
        <v>1828</v>
      </c>
      <c r="AE76" s="14">
        <f t="shared" si="41"/>
        <v>932</v>
      </c>
      <c r="AF76" s="14">
        <f t="shared" si="41"/>
        <v>0</v>
      </c>
      <c r="AG76" s="14">
        <f t="shared" si="41"/>
        <v>0</v>
      </c>
      <c r="AH76" s="14">
        <f t="shared" si="41"/>
        <v>0</v>
      </c>
      <c r="AI76" s="14">
        <f t="shared" si="41"/>
        <v>0</v>
      </c>
    </row>
    <row r="77" spans="1:35" x14ac:dyDescent="0.2">
      <c r="A77" s="11">
        <v>5933</v>
      </c>
      <c r="B77" s="60" t="s">
        <v>1541</v>
      </c>
      <c r="C77" s="14">
        <f t="shared" si="36"/>
        <v>14729</v>
      </c>
      <c r="D77" s="14">
        <f t="shared" ref="D77:AI77" si="42">+D162</f>
        <v>14486</v>
      </c>
      <c r="E77" s="14">
        <f t="shared" si="42"/>
        <v>14233</v>
      </c>
      <c r="F77" s="14">
        <f t="shared" si="42"/>
        <v>13970</v>
      </c>
      <c r="G77" s="14">
        <f t="shared" si="42"/>
        <v>13695</v>
      </c>
      <c r="H77" s="14">
        <f t="shared" si="42"/>
        <v>13410</v>
      </c>
      <c r="I77" s="14">
        <f t="shared" si="42"/>
        <v>13112</v>
      </c>
      <c r="J77" s="14">
        <f t="shared" si="42"/>
        <v>12802</v>
      </c>
      <c r="K77" s="14">
        <f t="shared" si="42"/>
        <v>12480</v>
      </c>
      <c r="L77" s="14">
        <f t="shared" si="42"/>
        <v>12144</v>
      </c>
      <c r="M77" s="14">
        <f t="shared" si="42"/>
        <v>11795</v>
      </c>
      <c r="N77" s="14">
        <f t="shared" si="42"/>
        <v>11431</v>
      </c>
      <c r="O77" s="14">
        <f t="shared" si="42"/>
        <v>11052</v>
      </c>
      <c r="P77" s="14">
        <f t="shared" si="42"/>
        <v>10657</v>
      </c>
      <c r="Q77" s="14">
        <f t="shared" si="42"/>
        <v>10246</v>
      </c>
      <c r="R77" s="14">
        <f t="shared" si="42"/>
        <v>9818</v>
      </c>
      <c r="S77" s="14">
        <f t="shared" si="42"/>
        <v>9372</v>
      </c>
      <c r="T77" s="14">
        <f t="shared" si="42"/>
        <v>8908</v>
      </c>
      <c r="U77" s="14">
        <f t="shared" si="42"/>
        <v>8425</v>
      </c>
      <c r="V77" s="14">
        <f t="shared" si="42"/>
        <v>7922</v>
      </c>
      <c r="W77" s="14">
        <f t="shared" si="42"/>
        <v>7398</v>
      </c>
      <c r="X77" s="14">
        <f t="shared" si="42"/>
        <v>6853</v>
      </c>
      <c r="Y77" s="14">
        <f t="shared" si="42"/>
        <v>6285</v>
      </c>
      <c r="Z77" s="14">
        <f t="shared" si="42"/>
        <v>5694</v>
      </c>
      <c r="AA77" s="14">
        <f t="shared" si="42"/>
        <v>5078</v>
      </c>
      <c r="AB77" s="14">
        <f t="shared" si="42"/>
        <v>4437</v>
      </c>
      <c r="AC77" s="14">
        <f t="shared" si="42"/>
        <v>3769</v>
      </c>
      <c r="AD77" s="14">
        <f t="shared" si="42"/>
        <v>3074</v>
      </c>
      <c r="AE77" s="14">
        <f t="shared" si="42"/>
        <v>2350</v>
      </c>
      <c r="AF77" s="14">
        <f t="shared" si="42"/>
        <v>1597</v>
      </c>
      <c r="AG77" s="14">
        <f t="shared" si="42"/>
        <v>812</v>
      </c>
      <c r="AH77" s="14">
        <f t="shared" si="42"/>
        <v>0</v>
      </c>
      <c r="AI77" s="14">
        <f t="shared" si="42"/>
        <v>0</v>
      </c>
    </row>
    <row r="78" spans="1:35" x14ac:dyDescent="0.2">
      <c r="A78" s="11">
        <v>5934</v>
      </c>
      <c r="B78" s="12" t="s">
        <v>1542</v>
      </c>
      <c r="C78" s="36">
        <f>1137.5+1037.5</f>
        <v>2175</v>
      </c>
      <c r="D78" s="36">
        <f>1037.5+937.5</f>
        <v>1975</v>
      </c>
      <c r="E78" s="36">
        <f>937.5+837.5</f>
        <v>1775</v>
      </c>
      <c r="F78" s="36">
        <f>837.5+737.5</f>
        <v>1575</v>
      </c>
      <c r="G78" s="36">
        <f>737.5+637.5</f>
        <v>1375</v>
      </c>
      <c r="H78" s="36">
        <f>637.5+537.5</f>
        <v>1175</v>
      </c>
      <c r="I78" s="36">
        <f>537.5+437.5</f>
        <v>975</v>
      </c>
      <c r="J78" s="36">
        <f>437.5+337.5</f>
        <v>775</v>
      </c>
      <c r="K78" s="36">
        <f>337.5+225+0.5</f>
        <v>563</v>
      </c>
      <c r="L78" s="36">
        <f>225+113</f>
        <v>338</v>
      </c>
      <c r="M78" s="36">
        <v>113</v>
      </c>
      <c r="N78" s="36"/>
      <c r="O78" s="36"/>
      <c r="P78" s="36"/>
      <c r="Q78" s="36"/>
      <c r="R78" s="36"/>
      <c r="S78" s="36"/>
      <c r="T78" s="36"/>
      <c r="U78" s="36"/>
      <c r="V78" s="36"/>
      <c r="W78" s="36"/>
      <c r="X78" s="36"/>
      <c r="Y78" s="36"/>
      <c r="Z78" s="36"/>
      <c r="AA78" s="36"/>
      <c r="AB78" s="36"/>
      <c r="AC78" s="36"/>
      <c r="AD78" s="36"/>
      <c r="AE78" s="36"/>
      <c r="AF78" s="36"/>
      <c r="AG78" s="36"/>
      <c r="AH78" s="36"/>
      <c r="AI78" s="36"/>
    </row>
    <row r="79" spans="1:35" x14ac:dyDescent="0.2">
      <c r="A79" s="11">
        <v>5936</v>
      </c>
      <c r="B79" s="27" t="s">
        <v>1563</v>
      </c>
      <c r="C79" s="36">
        <v>2645</v>
      </c>
      <c r="D79" s="36">
        <v>2505</v>
      </c>
      <c r="E79" s="36">
        <v>2361</v>
      </c>
      <c r="F79" s="36">
        <v>2213</v>
      </c>
      <c r="G79" s="36">
        <v>2062</v>
      </c>
      <c r="H79" s="36">
        <v>1907</v>
      </c>
      <c r="I79" s="36">
        <v>1748</v>
      </c>
      <c r="J79" s="36">
        <v>1585</v>
      </c>
      <c r="K79" s="36">
        <v>1419</v>
      </c>
      <c r="L79" s="36">
        <v>1247</v>
      </c>
      <c r="M79" s="36">
        <v>1072</v>
      </c>
      <c r="N79" s="36">
        <v>892</v>
      </c>
      <c r="O79" s="36">
        <v>708</v>
      </c>
      <c r="P79" s="36">
        <v>519</v>
      </c>
      <c r="Q79" s="36">
        <v>326</v>
      </c>
      <c r="R79" s="36">
        <v>127</v>
      </c>
      <c r="S79" s="36"/>
      <c r="T79" s="36"/>
      <c r="U79" s="36"/>
      <c r="V79" s="36"/>
      <c r="W79" s="36"/>
      <c r="X79" s="36"/>
      <c r="Y79" s="36"/>
      <c r="Z79" s="36"/>
      <c r="AA79" s="36"/>
      <c r="AB79" s="36"/>
      <c r="AC79" s="36"/>
      <c r="AD79" s="36"/>
      <c r="AE79" s="36"/>
      <c r="AF79" s="36"/>
      <c r="AG79" s="36"/>
      <c r="AH79" s="36"/>
      <c r="AI79" s="36"/>
    </row>
    <row r="80" spans="1:35" x14ac:dyDescent="0.2">
      <c r="A80" s="26">
        <v>5937</v>
      </c>
      <c r="B80" s="27" t="s">
        <v>1564</v>
      </c>
      <c r="C80" s="36">
        <v>2975</v>
      </c>
      <c r="D80" s="36">
        <v>2825</v>
      </c>
      <c r="E80" s="36">
        <v>2675</v>
      </c>
      <c r="F80" s="36">
        <v>2525</v>
      </c>
      <c r="G80" s="36">
        <v>2375</v>
      </c>
      <c r="H80" s="36">
        <v>2225</v>
      </c>
      <c r="I80" s="36">
        <v>2075</v>
      </c>
      <c r="J80" s="36">
        <v>1925</v>
      </c>
      <c r="K80" s="36">
        <v>1738</v>
      </c>
      <c r="L80" s="36">
        <v>1550</v>
      </c>
      <c r="M80" s="36">
        <v>1363</v>
      </c>
      <c r="N80" s="36">
        <v>1175</v>
      </c>
      <c r="O80" s="36">
        <v>988</v>
      </c>
      <c r="P80" s="36">
        <v>800</v>
      </c>
      <c r="Q80" s="36">
        <v>600</v>
      </c>
      <c r="R80" s="36">
        <v>400</v>
      </c>
      <c r="S80" s="36">
        <v>200</v>
      </c>
      <c r="T80" s="36"/>
      <c r="U80" s="36"/>
      <c r="V80" s="36"/>
      <c r="W80" s="36"/>
      <c r="X80" s="36"/>
      <c r="Y80" s="36"/>
      <c r="Z80" s="36"/>
      <c r="AA80" s="36"/>
      <c r="AB80" s="36"/>
      <c r="AC80" s="36"/>
      <c r="AD80" s="36"/>
      <c r="AE80" s="36"/>
      <c r="AF80" s="36"/>
      <c r="AG80" s="36"/>
      <c r="AH80" s="36"/>
      <c r="AI80" s="36"/>
    </row>
    <row r="81" spans="1:35" x14ac:dyDescent="0.2">
      <c r="A81" s="26">
        <v>5938</v>
      </c>
      <c r="B81" s="12" t="s">
        <v>1546</v>
      </c>
      <c r="C81" s="36"/>
      <c r="D81" s="36">
        <v>645</v>
      </c>
      <c r="E81" s="36">
        <v>430</v>
      </c>
      <c r="F81" s="36">
        <v>215</v>
      </c>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row>
    <row r="82" spans="1:35" x14ac:dyDescent="0.2">
      <c r="A82" s="26">
        <v>5939</v>
      </c>
      <c r="B82" s="12" t="s">
        <v>1547</v>
      </c>
      <c r="C82" s="36"/>
      <c r="D82" s="36">
        <v>645</v>
      </c>
      <c r="E82" s="36">
        <v>430</v>
      </c>
      <c r="F82" s="36">
        <v>215</v>
      </c>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row>
    <row r="83" spans="1:35" x14ac:dyDescent="0.2">
      <c r="A83" s="26">
        <v>5944</v>
      </c>
      <c r="B83" s="12" t="s">
        <v>1548</v>
      </c>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row>
    <row r="84" spans="1:35" x14ac:dyDescent="0.2">
      <c r="A84" s="26">
        <v>5947</v>
      </c>
      <c r="B84" s="27" t="s">
        <v>1565</v>
      </c>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row>
    <row r="85" spans="1:35" x14ac:dyDescent="0.2">
      <c r="A85" s="26"/>
      <c r="B85" s="27"/>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row>
    <row r="86" spans="1:35" x14ac:dyDescent="0.2">
      <c r="A86" s="26"/>
      <c r="B86" s="12" t="s">
        <v>1971</v>
      </c>
      <c r="C86" s="36"/>
      <c r="D86" s="14">
        <f>ROUND((37538*0.93),0)</f>
        <v>34910</v>
      </c>
      <c r="E86" s="14">
        <f>ROUND((32970*0.93),0)</f>
        <v>30662</v>
      </c>
      <c r="F86" s="14">
        <f>ROUND((28350*0.93),0)</f>
        <v>26366</v>
      </c>
      <c r="G86" s="14">
        <f>ROUND((23730*0.93),0)</f>
        <v>22069</v>
      </c>
      <c r="H86" s="14">
        <f>ROUND((19005*0.93),0)</f>
        <v>17675</v>
      </c>
      <c r="I86" s="14">
        <f>ROUND((14280*0.93),0)</f>
        <v>13280</v>
      </c>
      <c r="J86" s="14">
        <f>ROUND((9555*0.93),0)</f>
        <v>8886</v>
      </c>
      <c r="K86" s="14">
        <f>ROUND((4830*0.93),0)</f>
        <v>4492</v>
      </c>
      <c r="L86" s="36"/>
      <c r="M86" s="36"/>
      <c r="N86" s="36"/>
      <c r="O86" s="36"/>
      <c r="P86" s="36"/>
      <c r="Q86" s="36"/>
      <c r="R86" s="36"/>
      <c r="S86" s="36"/>
      <c r="T86" s="36"/>
      <c r="U86" s="36"/>
      <c r="V86" s="36"/>
      <c r="W86" s="36"/>
      <c r="X86" s="36"/>
      <c r="Y86" s="36"/>
      <c r="Z86" s="36"/>
      <c r="AA86" s="36"/>
      <c r="AB86" s="36"/>
      <c r="AC86" s="36"/>
      <c r="AD86" s="36"/>
      <c r="AE86" s="36"/>
      <c r="AF86" s="36"/>
      <c r="AG86" s="36"/>
      <c r="AH86" s="36"/>
      <c r="AI86" s="36"/>
    </row>
    <row r="87" spans="1:35" x14ac:dyDescent="0.2">
      <c r="A87" s="26"/>
      <c r="B87" s="12" t="s">
        <v>1972</v>
      </c>
      <c r="C87" s="36"/>
      <c r="D87" s="36">
        <v>6552</v>
      </c>
      <c r="E87" s="36">
        <v>4914</v>
      </c>
      <c r="F87" s="36">
        <v>3276</v>
      </c>
      <c r="G87" s="36">
        <v>1638</v>
      </c>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row>
    <row r="88" spans="1:35" ht="13.5" thickBot="1" x14ac:dyDescent="0.25">
      <c r="A88" s="26"/>
      <c r="B88" s="27"/>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row>
    <row r="89" spans="1:35" x14ac:dyDescent="0.2">
      <c r="A89" s="26"/>
      <c r="B89" s="27" t="s">
        <v>1963</v>
      </c>
      <c r="D89" s="25">
        <f t="shared" ref="D89:AI89" si="43">SUM(D50:D88)</f>
        <v>808886</v>
      </c>
      <c r="E89" s="25">
        <f t="shared" si="43"/>
        <v>795496</v>
      </c>
      <c r="F89" s="25">
        <f t="shared" si="43"/>
        <v>751060</v>
      </c>
      <c r="G89" s="25">
        <f t="shared" si="43"/>
        <v>721554</v>
      </c>
      <c r="H89" s="25">
        <f t="shared" si="43"/>
        <v>657205</v>
      </c>
      <c r="I89" s="25">
        <f t="shared" si="43"/>
        <v>653889</v>
      </c>
      <c r="J89" s="25">
        <f t="shared" si="43"/>
        <v>649934</v>
      </c>
      <c r="K89" s="25">
        <f t="shared" si="43"/>
        <v>644510</v>
      </c>
      <c r="L89" s="25">
        <f t="shared" si="43"/>
        <v>539903</v>
      </c>
      <c r="M89" s="25">
        <f t="shared" si="43"/>
        <v>513151</v>
      </c>
      <c r="N89" s="25">
        <f t="shared" si="43"/>
        <v>93693</v>
      </c>
      <c r="O89" s="25">
        <f t="shared" si="43"/>
        <v>93464</v>
      </c>
      <c r="P89" s="25">
        <f t="shared" si="43"/>
        <v>93230</v>
      </c>
      <c r="Q89" s="25">
        <f t="shared" si="43"/>
        <v>92986</v>
      </c>
      <c r="R89" s="25">
        <f t="shared" si="43"/>
        <v>92737</v>
      </c>
      <c r="S89" s="25">
        <f t="shared" si="43"/>
        <v>84228</v>
      </c>
      <c r="T89" s="25">
        <f t="shared" si="43"/>
        <v>78979</v>
      </c>
      <c r="U89" s="25">
        <f t="shared" si="43"/>
        <v>78929</v>
      </c>
      <c r="V89" s="25">
        <f t="shared" si="43"/>
        <v>78877</v>
      </c>
      <c r="W89" s="25">
        <f t="shared" si="43"/>
        <v>78824</v>
      </c>
      <c r="X89" s="25">
        <f t="shared" si="43"/>
        <v>42923</v>
      </c>
      <c r="Y89" s="25">
        <f t="shared" si="43"/>
        <v>42923</v>
      </c>
      <c r="Z89" s="25">
        <f t="shared" si="43"/>
        <v>42924</v>
      </c>
      <c r="AA89" s="25">
        <f t="shared" si="43"/>
        <v>42923</v>
      </c>
      <c r="AB89" s="25">
        <f t="shared" si="43"/>
        <v>42924</v>
      </c>
      <c r="AC89" s="25">
        <f t="shared" si="43"/>
        <v>42923</v>
      </c>
      <c r="AD89" s="25">
        <f t="shared" si="43"/>
        <v>42923</v>
      </c>
      <c r="AE89" s="25">
        <f t="shared" si="43"/>
        <v>42854</v>
      </c>
      <c r="AF89" s="25">
        <f t="shared" si="43"/>
        <v>20621</v>
      </c>
      <c r="AG89" s="25">
        <f t="shared" si="43"/>
        <v>20497</v>
      </c>
      <c r="AH89" s="25">
        <f t="shared" si="43"/>
        <v>0</v>
      </c>
      <c r="AI89" s="25">
        <f t="shared" si="43"/>
        <v>0</v>
      </c>
    </row>
    <row r="90" spans="1:35" ht="13.5" thickBot="1" x14ac:dyDescent="0.25">
      <c r="A90" s="26"/>
      <c r="B90" s="27"/>
    </row>
    <row r="91" spans="1:35" ht="14.25" thickTop="1" thickBot="1" x14ac:dyDescent="0.25">
      <c r="A91" s="26"/>
      <c r="B91" s="91" t="s">
        <v>1974</v>
      </c>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row>
    <row r="92" spans="1:35" x14ac:dyDescent="0.2">
      <c r="A92" s="11" t="s">
        <v>1741</v>
      </c>
      <c r="B92" s="12" t="s">
        <v>1742</v>
      </c>
      <c r="C92" s="36">
        <v>30000</v>
      </c>
      <c r="D92" s="36">
        <v>30000</v>
      </c>
      <c r="E92" s="36">
        <v>30000</v>
      </c>
      <c r="F92" s="36">
        <v>25000</v>
      </c>
      <c r="G92" s="36">
        <v>25000</v>
      </c>
      <c r="H92" s="36">
        <v>25000</v>
      </c>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row>
    <row r="93" spans="1:35" x14ac:dyDescent="0.2">
      <c r="A93" s="11" t="s">
        <v>1743</v>
      </c>
      <c r="B93" s="12" t="s">
        <v>1744</v>
      </c>
      <c r="C93" s="36">
        <v>5000</v>
      </c>
      <c r="D93" s="36">
        <v>5000</v>
      </c>
      <c r="E93" s="36">
        <v>5000</v>
      </c>
      <c r="F93" s="36">
        <v>5000</v>
      </c>
      <c r="G93" s="36">
        <v>5000</v>
      </c>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row>
    <row r="94" spans="1:35" x14ac:dyDescent="0.2">
      <c r="A94" s="11" t="s">
        <v>1745</v>
      </c>
      <c r="B94" s="12" t="s">
        <v>1746</v>
      </c>
      <c r="C94" s="36">
        <v>14863</v>
      </c>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row>
    <row r="95" spans="1:35" x14ac:dyDescent="0.2">
      <c r="A95" s="11" t="s">
        <v>1747</v>
      </c>
      <c r="B95" s="12" t="s">
        <v>1748</v>
      </c>
      <c r="C95" s="36">
        <v>15000</v>
      </c>
      <c r="D95" s="36">
        <v>15000</v>
      </c>
      <c r="E95" s="36">
        <v>15000</v>
      </c>
      <c r="F95" s="36">
        <v>15000</v>
      </c>
      <c r="G95" s="36">
        <v>10000</v>
      </c>
      <c r="H95" s="36">
        <v>10000</v>
      </c>
      <c r="I95" s="36">
        <v>10000</v>
      </c>
      <c r="J95" s="36">
        <v>10000</v>
      </c>
      <c r="K95" s="36">
        <v>10000</v>
      </c>
      <c r="L95" s="36">
        <v>10000</v>
      </c>
      <c r="M95" s="36"/>
      <c r="N95" s="36"/>
      <c r="O95" s="36"/>
      <c r="P95" s="36"/>
      <c r="Q95" s="36"/>
      <c r="R95" s="36"/>
      <c r="S95" s="36"/>
      <c r="T95" s="36"/>
      <c r="U95" s="36"/>
      <c r="V95" s="36"/>
      <c r="W95" s="36"/>
      <c r="X95" s="36"/>
      <c r="Y95" s="36"/>
      <c r="Z95" s="36"/>
      <c r="AA95" s="36"/>
      <c r="AB95" s="36"/>
      <c r="AC95" s="36"/>
      <c r="AD95" s="36"/>
      <c r="AE95" s="36"/>
      <c r="AF95" s="36"/>
      <c r="AG95" s="36"/>
      <c r="AH95" s="36"/>
      <c r="AI95" s="36"/>
    </row>
    <row r="96" spans="1:35" x14ac:dyDescent="0.2">
      <c r="A96" s="11" t="s">
        <v>1749</v>
      </c>
      <c r="B96" s="60" t="s">
        <v>1538</v>
      </c>
      <c r="C96" s="36">
        <f>+C167</f>
        <v>28869</v>
      </c>
      <c r="D96" s="36">
        <f t="shared" ref="D96:AI99" si="44">+D167</f>
        <v>29452</v>
      </c>
      <c r="E96" s="36">
        <f t="shared" si="44"/>
        <v>30047</v>
      </c>
      <c r="F96" s="36">
        <f t="shared" si="44"/>
        <v>31141</v>
      </c>
      <c r="G96" s="36">
        <f t="shared" si="44"/>
        <v>31274</v>
      </c>
      <c r="H96" s="36">
        <f t="shared" si="44"/>
        <v>31906</v>
      </c>
      <c r="I96" s="36">
        <f t="shared" si="44"/>
        <v>32550</v>
      </c>
      <c r="J96" s="36">
        <f t="shared" si="44"/>
        <v>33208</v>
      </c>
      <c r="K96" s="36">
        <f t="shared" si="44"/>
        <v>33878</v>
      </c>
      <c r="L96" s="36">
        <f t="shared" si="44"/>
        <v>34563</v>
      </c>
      <c r="M96" s="36">
        <f t="shared" si="44"/>
        <v>0</v>
      </c>
      <c r="N96" s="36">
        <f t="shared" si="44"/>
        <v>0</v>
      </c>
      <c r="O96" s="36">
        <f t="shared" si="44"/>
        <v>0</v>
      </c>
      <c r="P96" s="36">
        <f t="shared" si="44"/>
        <v>0</v>
      </c>
      <c r="Q96" s="36">
        <f t="shared" si="44"/>
        <v>0</v>
      </c>
      <c r="R96" s="36">
        <f t="shared" si="44"/>
        <v>0</v>
      </c>
      <c r="S96" s="36">
        <f t="shared" si="44"/>
        <v>0</v>
      </c>
      <c r="T96" s="36">
        <f t="shared" si="44"/>
        <v>0</v>
      </c>
      <c r="U96" s="36">
        <f t="shared" si="44"/>
        <v>0</v>
      </c>
      <c r="V96" s="36">
        <f t="shared" si="44"/>
        <v>0</v>
      </c>
      <c r="W96" s="36">
        <f t="shared" si="44"/>
        <v>0</v>
      </c>
      <c r="X96" s="36">
        <f t="shared" si="44"/>
        <v>0</v>
      </c>
      <c r="Y96" s="36">
        <f t="shared" si="44"/>
        <v>0</v>
      </c>
      <c r="Z96" s="36">
        <f t="shared" si="44"/>
        <v>0</v>
      </c>
      <c r="AA96" s="36">
        <f t="shared" si="44"/>
        <v>0</v>
      </c>
      <c r="AB96" s="36">
        <f t="shared" si="44"/>
        <v>0</v>
      </c>
      <c r="AC96" s="36">
        <f t="shared" si="44"/>
        <v>0</v>
      </c>
      <c r="AD96" s="36">
        <f t="shared" si="44"/>
        <v>0</v>
      </c>
      <c r="AE96" s="36">
        <f t="shared" si="44"/>
        <v>0</v>
      </c>
      <c r="AF96" s="36">
        <f t="shared" si="44"/>
        <v>0</v>
      </c>
      <c r="AG96" s="36">
        <f t="shared" si="44"/>
        <v>0</v>
      </c>
      <c r="AH96" s="36">
        <f t="shared" si="44"/>
        <v>0</v>
      </c>
      <c r="AI96" s="36">
        <f t="shared" si="44"/>
        <v>0</v>
      </c>
    </row>
    <row r="97" spans="1:35" x14ac:dyDescent="0.2">
      <c r="A97" s="11" t="s">
        <v>1750</v>
      </c>
      <c r="B97" s="60" t="s">
        <v>1539</v>
      </c>
      <c r="C97" s="36">
        <f>+C168</f>
        <v>32807</v>
      </c>
      <c r="D97" s="36">
        <f t="shared" ref="D97:R97" si="45">+D168</f>
        <v>33610</v>
      </c>
      <c r="E97" s="36">
        <f t="shared" si="45"/>
        <v>34430</v>
      </c>
      <c r="F97" s="36">
        <f t="shared" si="45"/>
        <v>35272</v>
      </c>
      <c r="G97" s="36">
        <f t="shared" si="45"/>
        <v>36134</v>
      </c>
      <c r="H97" s="36">
        <f t="shared" si="45"/>
        <v>37016</v>
      </c>
      <c r="I97" s="36">
        <f t="shared" si="45"/>
        <v>37921</v>
      </c>
      <c r="J97" s="36">
        <f t="shared" si="45"/>
        <v>38848</v>
      </c>
      <c r="K97" s="36">
        <f t="shared" si="45"/>
        <v>39797</v>
      </c>
      <c r="L97" s="36">
        <f t="shared" si="45"/>
        <v>40769</v>
      </c>
      <c r="M97" s="36">
        <f t="shared" si="45"/>
        <v>41765</v>
      </c>
      <c r="N97" s="36">
        <f t="shared" si="45"/>
        <v>42786</v>
      </c>
      <c r="O97" s="36">
        <f t="shared" si="45"/>
        <v>43832</v>
      </c>
      <c r="P97" s="36">
        <f t="shared" si="45"/>
        <v>44903</v>
      </c>
      <c r="Q97" s="36">
        <f t="shared" si="45"/>
        <v>46000</v>
      </c>
      <c r="R97" s="36">
        <f t="shared" si="45"/>
        <v>47124</v>
      </c>
      <c r="S97" s="36">
        <f t="shared" si="44"/>
        <v>48275</v>
      </c>
      <c r="T97" s="36">
        <f t="shared" si="44"/>
        <v>49455</v>
      </c>
      <c r="U97" s="36">
        <f t="shared" si="44"/>
        <v>50663</v>
      </c>
      <c r="V97" s="36">
        <f t="shared" si="44"/>
        <v>51901</v>
      </c>
      <c r="W97" s="36">
        <f t="shared" si="44"/>
        <v>53170</v>
      </c>
      <c r="X97" s="36">
        <f t="shared" si="44"/>
        <v>0</v>
      </c>
      <c r="Y97" s="36">
        <f t="shared" si="44"/>
        <v>0</v>
      </c>
      <c r="Z97" s="36">
        <f t="shared" si="44"/>
        <v>0</v>
      </c>
      <c r="AA97" s="36">
        <f t="shared" si="44"/>
        <v>0</v>
      </c>
      <c r="AB97" s="36">
        <f t="shared" si="44"/>
        <v>0</v>
      </c>
      <c r="AC97" s="36">
        <f t="shared" si="44"/>
        <v>0</v>
      </c>
      <c r="AD97" s="36">
        <f t="shared" si="44"/>
        <v>0</v>
      </c>
      <c r="AE97" s="36">
        <f t="shared" si="44"/>
        <v>0</v>
      </c>
      <c r="AF97" s="36">
        <f t="shared" si="44"/>
        <v>0</v>
      </c>
      <c r="AG97" s="36">
        <f t="shared" si="44"/>
        <v>0</v>
      </c>
      <c r="AH97" s="36">
        <f t="shared" si="44"/>
        <v>0</v>
      </c>
      <c r="AI97" s="36">
        <f t="shared" si="44"/>
        <v>0</v>
      </c>
    </row>
    <row r="98" spans="1:35" x14ac:dyDescent="0.2">
      <c r="A98" s="11" t="s">
        <v>1751</v>
      </c>
      <c r="B98" s="60" t="s">
        <v>1540</v>
      </c>
      <c r="C98" s="36">
        <f>+C169</f>
        <v>9665</v>
      </c>
      <c r="D98" s="36">
        <f t="shared" si="44"/>
        <v>10088</v>
      </c>
      <c r="E98" s="36">
        <f t="shared" si="44"/>
        <v>10530</v>
      </c>
      <c r="F98" s="36">
        <f t="shared" si="44"/>
        <v>10990</v>
      </c>
      <c r="G98" s="36">
        <f t="shared" si="44"/>
        <v>11471</v>
      </c>
      <c r="H98" s="36">
        <f t="shared" si="44"/>
        <v>11973</v>
      </c>
      <c r="I98" s="36">
        <f t="shared" si="44"/>
        <v>12497</v>
      </c>
      <c r="J98" s="36">
        <f t="shared" si="44"/>
        <v>13043</v>
      </c>
      <c r="K98" s="36">
        <f t="shared" si="44"/>
        <v>13614</v>
      </c>
      <c r="L98" s="36">
        <f t="shared" si="44"/>
        <v>14210</v>
      </c>
      <c r="M98" s="36">
        <f t="shared" si="44"/>
        <v>14831</v>
      </c>
      <c r="N98" s="36">
        <f t="shared" si="44"/>
        <v>15481</v>
      </c>
      <c r="O98" s="36">
        <f t="shared" si="44"/>
        <v>16157</v>
      </c>
      <c r="P98" s="36">
        <f t="shared" si="44"/>
        <v>16864</v>
      </c>
      <c r="Q98" s="36">
        <f t="shared" si="44"/>
        <v>17602</v>
      </c>
      <c r="R98" s="36">
        <f t="shared" si="44"/>
        <v>18373</v>
      </c>
      <c r="S98" s="36">
        <f t="shared" si="44"/>
        <v>19176</v>
      </c>
      <c r="T98" s="36">
        <f t="shared" si="44"/>
        <v>20015</v>
      </c>
      <c r="U98" s="36">
        <f t="shared" si="44"/>
        <v>20891</v>
      </c>
      <c r="V98" s="36">
        <f t="shared" si="44"/>
        <v>21805</v>
      </c>
      <c r="W98" s="36">
        <f t="shared" si="44"/>
        <v>22759</v>
      </c>
      <c r="X98" s="36">
        <f t="shared" si="44"/>
        <v>23755</v>
      </c>
      <c r="Y98" s="36">
        <f t="shared" si="44"/>
        <v>24794</v>
      </c>
      <c r="Z98" s="36">
        <f t="shared" si="44"/>
        <v>25878</v>
      </c>
      <c r="AA98" s="36">
        <f t="shared" si="44"/>
        <v>27010</v>
      </c>
      <c r="AB98" s="36">
        <f t="shared" si="44"/>
        <v>28192</v>
      </c>
      <c r="AC98" s="36">
        <f t="shared" si="44"/>
        <v>29426</v>
      </c>
      <c r="AD98" s="36">
        <f t="shared" si="44"/>
        <v>30713</v>
      </c>
      <c r="AE98" s="36">
        <f t="shared" si="44"/>
        <v>31953</v>
      </c>
      <c r="AF98" s="36">
        <f t="shared" si="44"/>
        <v>0</v>
      </c>
      <c r="AG98" s="36">
        <f t="shared" si="44"/>
        <v>0</v>
      </c>
      <c r="AH98" s="36">
        <f t="shared" si="44"/>
        <v>0</v>
      </c>
      <c r="AI98" s="36">
        <f t="shared" si="44"/>
        <v>0</v>
      </c>
    </row>
    <row r="99" spans="1:35" x14ac:dyDescent="0.2">
      <c r="A99" s="11" t="s">
        <v>1752</v>
      </c>
      <c r="B99" s="60" t="s">
        <v>1541</v>
      </c>
      <c r="C99" s="36">
        <f>+C170</f>
        <v>8837</v>
      </c>
      <c r="D99" s="36">
        <f t="shared" si="44"/>
        <v>9202</v>
      </c>
      <c r="E99" s="36">
        <f t="shared" si="44"/>
        <v>9581</v>
      </c>
      <c r="F99" s="36">
        <f t="shared" si="44"/>
        <v>9976</v>
      </c>
      <c r="G99" s="36">
        <f t="shared" si="44"/>
        <v>10388</v>
      </c>
      <c r="H99" s="36">
        <f t="shared" si="44"/>
        <v>10816</v>
      </c>
      <c r="I99" s="36">
        <f t="shared" si="44"/>
        <v>11262</v>
      </c>
      <c r="J99" s="36">
        <f t="shared" si="44"/>
        <v>11727</v>
      </c>
      <c r="K99" s="36">
        <f t="shared" si="44"/>
        <v>12211</v>
      </c>
      <c r="L99" s="36">
        <f t="shared" si="44"/>
        <v>12714</v>
      </c>
      <c r="M99" s="36">
        <f t="shared" si="44"/>
        <v>13238</v>
      </c>
      <c r="N99" s="36">
        <f t="shared" si="44"/>
        <v>13784</v>
      </c>
      <c r="O99" s="36">
        <f t="shared" si="44"/>
        <v>14353</v>
      </c>
      <c r="P99" s="36">
        <f t="shared" si="44"/>
        <v>14945</v>
      </c>
      <c r="Q99" s="36">
        <f t="shared" si="44"/>
        <v>15562</v>
      </c>
      <c r="R99" s="36">
        <f t="shared" si="44"/>
        <v>16204</v>
      </c>
      <c r="S99" s="36">
        <f t="shared" si="44"/>
        <v>16872</v>
      </c>
      <c r="T99" s="36">
        <f t="shared" si="44"/>
        <v>17568</v>
      </c>
      <c r="U99" s="36">
        <f t="shared" si="44"/>
        <v>18293</v>
      </c>
      <c r="V99" s="36">
        <f t="shared" si="44"/>
        <v>19048</v>
      </c>
      <c r="W99" s="36">
        <f t="shared" si="44"/>
        <v>19833</v>
      </c>
      <c r="X99" s="36">
        <f t="shared" si="44"/>
        <v>20651</v>
      </c>
      <c r="Y99" s="36">
        <f t="shared" si="44"/>
        <v>21503</v>
      </c>
      <c r="Z99" s="36">
        <f t="shared" si="44"/>
        <v>22390</v>
      </c>
      <c r="AA99" s="36">
        <f t="shared" si="44"/>
        <v>23314</v>
      </c>
      <c r="AB99" s="36">
        <f t="shared" si="44"/>
        <v>24275</v>
      </c>
      <c r="AC99" s="36">
        <f t="shared" si="44"/>
        <v>25277</v>
      </c>
      <c r="AD99" s="36">
        <f t="shared" si="44"/>
        <v>26319</v>
      </c>
      <c r="AE99" s="36">
        <f t="shared" si="44"/>
        <v>27405</v>
      </c>
      <c r="AF99" s="36">
        <f t="shared" si="44"/>
        <v>28535</v>
      </c>
      <c r="AG99" s="36">
        <f t="shared" si="44"/>
        <v>29528</v>
      </c>
      <c r="AH99" s="36">
        <f t="shared" si="44"/>
        <v>0</v>
      </c>
      <c r="AI99" s="36">
        <f t="shared" si="44"/>
        <v>0</v>
      </c>
    </row>
    <row r="100" spans="1:35" x14ac:dyDescent="0.2">
      <c r="A100" s="11" t="s">
        <v>1753</v>
      </c>
      <c r="B100" s="12" t="s">
        <v>1754</v>
      </c>
      <c r="C100" s="36">
        <v>0</v>
      </c>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row>
    <row r="101" spans="1:35" x14ac:dyDescent="0.2">
      <c r="A101" s="11" t="s">
        <v>1755</v>
      </c>
      <c r="B101" s="12" t="s">
        <v>1756</v>
      </c>
      <c r="C101" s="36">
        <v>60000</v>
      </c>
      <c r="D101" s="36">
        <v>60000</v>
      </c>
      <c r="E101" s="36">
        <v>65000</v>
      </c>
      <c r="F101" s="36">
        <v>65000</v>
      </c>
      <c r="G101" s="36">
        <v>70000</v>
      </c>
      <c r="H101" s="36">
        <v>70000</v>
      </c>
      <c r="I101" s="36">
        <v>75000</v>
      </c>
      <c r="J101" s="36">
        <v>75000</v>
      </c>
      <c r="K101" s="36">
        <v>80000</v>
      </c>
      <c r="L101" s="36">
        <v>80000</v>
      </c>
      <c r="M101" s="36">
        <v>85000</v>
      </c>
      <c r="N101" s="36">
        <v>90000</v>
      </c>
      <c r="O101" s="36">
        <v>90000</v>
      </c>
      <c r="P101" s="36">
        <v>95000</v>
      </c>
      <c r="Q101" s="36">
        <v>100000</v>
      </c>
      <c r="R101" s="36">
        <v>105000</v>
      </c>
      <c r="S101" s="36">
        <v>110000</v>
      </c>
      <c r="T101" s="36"/>
      <c r="U101" s="36"/>
      <c r="V101" s="36"/>
      <c r="W101" s="36"/>
      <c r="X101" s="36"/>
      <c r="Y101" s="36"/>
      <c r="Z101" s="36"/>
      <c r="AA101" s="36"/>
      <c r="AB101" s="36"/>
      <c r="AC101" s="36"/>
      <c r="AD101" s="36"/>
      <c r="AE101" s="36"/>
      <c r="AF101" s="36"/>
      <c r="AG101" s="36"/>
      <c r="AH101" s="36"/>
      <c r="AI101" s="36"/>
    </row>
    <row r="102" spans="1:35" x14ac:dyDescent="0.2">
      <c r="A102" s="11" t="s">
        <v>1757</v>
      </c>
      <c r="B102" s="12" t="s">
        <v>1965</v>
      </c>
      <c r="C102" s="336">
        <v>67501</v>
      </c>
      <c r="D102" s="336">
        <v>64036</v>
      </c>
      <c r="E102" s="336">
        <v>65428</v>
      </c>
      <c r="F102" s="336">
        <v>66850</v>
      </c>
      <c r="G102" s="336">
        <v>68302</v>
      </c>
      <c r="H102" s="336">
        <v>69787</v>
      </c>
      <c r="I102" s="336">
        <v>71304</v>
      </c>
      <c r="J102" s="336">
        <v>72853</v>
      </c>
      <c r="K102" s="336">
        <v>74437</v>
      </c>
      <c r="L102" s="336">
        <v>76054</v>
      </c>
      <c r="M102" s="336">
        <v>77707</v>
      </c>
      <c r="N102" s="336">
        <v>79396</v>
      </c>
      <c r="O102" s="336">
        <v>8122</v>
      </c>
      <c r="P102" s="336">
        <v>82885</v>
      </c>
      <c r="Q102" s="336">
        <v>84686</v>
      </c>
      <c r="R102" s="336">
        <v>86527</v>
      </c>
      <c r="S102" s="336">
        <v>88407</v>
      </c>
      <c r="T102" s="336">
        <v>90329</v>
      </c>
      <c r="U102" s="336">
        <v>92292</v>
      </c>
      <c r="V102" s="336">
        <v>94298</v>
      </c>
      <c r="W102" s="336">
        <v>96347</v>
      </c>
      <c r="X102" s="36"/>
      <c r="Y102" s="36"/>
      <c r="Z102" s="36"/>
      <c r="AA102" s="36"/>
      <c r="AB102" s="36"/>
      <c r="AC102" s="36"/>
      <c r="AD102" s="36"/>
      <c r="AE102" s="36"/>
      <c r="AF102" s="36"/>
      <c r="AG102" s="36"/>
      <c r="AH102" s="36"/>
      <c r="AI102" s="36"/>
    </row>
    <row r="103" spans="1:35" x14ac:dyDescent="0.2">
      <c r="A103" s="11" t="s">
        <v>1759</v>
      </c>
      <c r="B103" s="12" t="s">
        <v>1760</v>
      </c>
      <c r="C103" s="3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row>
    <row r="104" spans="1:35" x14ac:dyDescent="0.2">
      <c r="A104" s="11" t="s">
        <v>1761</v>
      </c>
      <c r="B104" s="12" t="s">
        <v>1966</v>
      </c>
      <c r="C104" s="3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row>
    <row r="105" spans="1:35" x14ac:dyDescent="0.2">
      <c r="A105" s="11" t="s">
        <v>1763</v>
      </c>
      <c r="B105" s="12" t="s">
        <v>1764</v>
      </c>
      <c r="C105" s="3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row>
    <row r="106" spans="1:35" x14ac:dyDescent="0.2">
      <c r="A106" s="11" t="s">
        <v>1765</v>
      </c>
      <c r="B106" s="12" t="s">
        <v>1967</v>
      </c>
      <c r="C106" s="336"/>
      <c r="D106" s="36">
        <v>5000</v>
      </c>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row>
    <row r="107" spans="1:35" x14ac:dyDescent="0.2">
      <c r="A107" s="11"/>
      <c r="B107" s="12"/>
      <c r="C107" s="3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row>
    <row r="108" spans="1:35" ht="13.5" thickBot="1" x14ac:dyDescent="0.25">
      <c r="A108" s="11"/>
      <c r="B108" s="90" t="s">
        <v>1975</v>
      </c>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c r="AA108" s="152"/>
      <c r="AB108" s="152"/>
      <c r="AC108" s="152"/>
      <c r="AD108" s="152"/>
      <c r="AE108" s="152"/>
      <c r="AF108" s="152"/>
      <c r="AG108" s="152"/>
      <c r="AH108" s="152"/>
      <c r="AI108" s="152"/>
    </row>
    <row r="109" spans="1:35" x14ac:dyDescent="0.2">
      <c r="A109" s="11" t="s">
        <v>1774</v>
      </c>
      <c r="B109" s="12" t="s">
        <v>1742</v>
      </c>
      <c r="C109" s="14">
        <f>4012.5+4012.5</f>
        <v>8025</v>
      </c>
      <c r="D109" s="14">
        <f>3337.5+3337.5</f>
        <v>6675</v>
      </c>
      <c r="E109" s="14">
        <f>2625+2625</f>
        <v>5250</v>
      </c>
      <c r="F109" s="14">
        <f>1875+1875</f>
        <v>3750</v>
      </c>
      <c r="G109" s="14">
        <f>1250+1250</f>
        <v>2500</v>
      </c>
      <c r="H109" s="14">
        <f>625+625</f>
        <v>1250</v>
      </c>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row>
    <row r="110" spans="1:35" x14ac:dyDescent="0.2">
      <c r="A110" s="11" t="s">
        <v>1775</v>
      </c>
      <c r="B110" s="12" t="s">
        <v>1744</v>
      </c>
      <c r="C110" s="36">
        <v>1213</v>
      </c>
      <c r="D110" s="36">
        <v>988</v>
      </c>
      <c r="E110" s="36">
        <v>750</v>
      </c>
      <c r="F110" s="36">
        <v>500</v>
      </c>
      <c r="G110" s="36">
        <v>250</v>
      </c>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row>
    <row r="111" spans="1:35" x14ac:dyDescent="0.2">
      <c r="A111" s="11" t="s">
        <v>1776</v>
      </c>
      <c r="B111" s="12" t="s">
        <v>1746</v>
      </c>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row>
    <row r="112" spans="1:35" x14ac:dyDescent="0.2">
      <c r="A112" s="11" t="s">
        <v>1777</v>
      </c>
      <c r="B112" s="12" t="s">
        <v>1778</v>
      </c>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row>
    <row r="113" spans="1:35" x14ac:dyDescent="0.2">
      <c r="A113" s="11" t="s">
        <v>1779</v>
      </c>
      <c r="B113" s="12" t="s">
        <v>1748</v>
      </c>
      <c r="C113" s="36">
        <f>2000+1800+400+300</f>
        <v>4500</v>
      </c>
      <c r="D113" s="36">
        <f>1800+1600+300+200</f>
        <v>3900</v>
      </c>
      <c r="E113" s="36">
        <f>1600+1400+200+100</f>
        <v>3300</v>
      </c>
      <c r="F113" s="36">
        <f>1400+1200+100</f>
        <v>2700</v>
      </c>
      <c r="G113" s="36">
        <v>2200</v>
      </c>
      <c r="H113" s="36">
        <v>1800</v>
      </c>
      <c r="I113" s="36">
        <v>1400</v>
      </c>
      <c r="J113" s="36">
        <v>1000</v>
      </c>
      <c r="K113" s="36">
        <v>600</v>
      </c>
      <c r="L113" s="36">
        <v>200</v>
      </c>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row>
    <row r="114" spans="1:35" x14ac:dyDescent="0.2">
      <c r="A114" s="11" t="s">
        <v>1780</v>
      </c>
      <c r="B114" s="60" t="s">
        <v>1538</v>
      </c>
      <c r="C114" s="229">
        <f t="shared" ref="C114:C119" si="46">+C173</f>
        <v>6400</v>
      </c>
      <c r="D114" s="229">
        <f t="shared" ref="D114:AI119" si="47">+D173</f>
        <v>5456</v>
      </c>
      <c r="E114" s="229">
        <f t="shared" si="47"/>
        <v>4861</v>
      </c>
      <c r="F114" s="229">
        <f t="shared" si="47"/>
        <v>4255</v>
      </c>
      <c r="G114" s="229">
        <f t="shared" si="47"/>
        <v>3635</v>
      </c>
      <c r="H114" s="229">
        <f t="shared" si="47"/>
        <v>3004</v>
      </c>
      <c r="I114" s="229">
        <f t="shared" si="47"/>
        <v>2359</v>
      </c>
      <c r="J114" s="229">
        <f t="shared" si="47"/>
        <v>1701</v>
      </c>
      <c r="K114" s="229">
        <f t="shared" si="47"/>
        <v>1030</v>
      </c>
      <c r="L114" s="229">
        <f t="shared" si="47"/>
        <v>346</v>
      </c>
      <c r="M114" s="229">
        <f t="shared" si="47"/>
        <v>0</v>
      </c>
      <c r="N114" s="229">
        <f t="shared" si="47"/>
        <v>0</v>
      </c>
      <c r="O114" s="229">
        <f t="shared" si="47"/>
        <v>0</v>
      </c>
      <c r="P114" s="229">
        <f t="shared" si="47"/>
        <v>0</v>
      </c>
      <c r="Q114" s="229">
        <f t="shared" si="47"/>
        <v>0</v>
      </c>
      <c r="R114" s="229">
        <f t="shared" si="47"/>
        <v>0</v>
      </c>
      <c r="S114" s="229">
        <f t="shared" si="47"/>
        <v>0</v>
      </c>
      <c r="T114" s="229">
        <f t="shared" si="47"/>
        <v>0</v>
      </c>
      <c r="U114" s="229">
        <f t="shared" si="47"/>
        <v>0</v>
      </c>
      <c r="V114" s="229">
        <f t="shared" si="47"/>
        <v>0</v>
      </c>
      <c r="W114" s="229">
        <f t="shared" si="47"/>
        <v>0</v>
      </c>
      <c r="X114" s="229">
        <f t="shared" si="47"/>
        <v>0</v>
      </c>
      <c r="Y114" s="229">
        <f t="shared" si="47"/>
        <v>0</v>
      </c>
      <c r="Z114" s="229">
        <f t="shared" si="47"/>
        <v>0</v>
      </c>
      <c r="AA114" s="229">
        <f t="shared" si="47"/>
        <v>0</v>
      </c>
      <c r="AB114" s="229">
        <f t="shared" si="47"/>
        <v>0</v>
      </c>
      <c r="AC114" s="229">
        <f t="shared" si="47"/>
        <v>0</v>
      </c>
      <c r="AD114" s="229">
        <f t="shared" si="47"/>
        <v>0</v>
      </c>
      <c r="AE114" s="229">
        <f t="shared" si="47"/>
        <v>0</v>
      </c>
      <c r="AF114" s="229">
        <f t="shared" si="47"/>
        <v>0</v>
      </c>
      <c r="AG114" s="229">
        <f t="shared" si="47"/>
        <v>0</v>
      </c>
      <c r="AH114" s="229">
        <f t="shared" si="47"/>
        <v>0</v>
      </c>
      <c r="AI114" s="229">
        <f t="shared" si="47"/>
        <v>0</v>
      </c>
    </row>
    <row r="115" spans="1:35" x14ac:dyDescent="0.2">
      <c r="A115" s="11" t="s">
        <v>1781</v>
      </c>
      <c r="B115" s="60" t="s">
        <v>1560</v>
      </c>
      <c r="C115" s="229">
        <f t="shared" si="46"/>
        <v>453</v>
      </c>
      <c r="D115" s="229">
        <f t="shared" ref="D115:R115" si="48">+D174</f>
        <v>410</v>
      </c>
      <c r="E115" s="229">
        <f t="shared" si="48"/>
        <v>365</v>
      </c>
      <c r="F115" s="229">
        <f t="shared" si="48"/>
        <v>319</v>
      </c>
      <c r="G115" s="229">
        <f t="shared" si="48"/>
        <v>273</v>
      </c>
      <c r="H115" s="229">
        <f t="shared" si="48"/>
        <v>226</v>
      </c>
      <c r="I115" s="229">
        <f t="shared" si="48"/>
        <v>177</v>
      </c>
      <c r="J115" s="229">
        <f t="shared" si="48"/>
        <v>128</v>
      </c>
      <c r="K115" s="229">
        <f t="shared" si="48"/>
        <v>77</v>
      </c>
      <c r="L115" s="229">
        <f t="shared" si="48"/>
        <v>266</v>
      </c>
      <c r="M115" s="229">
        <f t="shared" si="48"/>
        <v>0</v>
      </c>
      <c r="N115" s="229">
        <f t="shared" si="48"/>
        <v>0</v>
      </c>
      <c r="O115" s="229">
        <f t="shared" si="48"/>
        <v>0</v>
      </c>
      <c r="P115" s="229">
        <f t="shared" si="48"/>
        <v>0</v>
      </c>
      <c r="Q115" s="229">
        <f t="shared" si="48"/>
        <v>0</v>
      </c>
      <c r="R115" s="229">
        <f t="shared" si="48"/>
        <v>0</v>
      </c>
      <c r="S115" s="229">
        <f t="shared" si="47"/>
        <v>0</v>
      </c>
      <c r="T115" s="229">
        <f t="shared" si="47"/>
        <v>0</v>
      </c>
      <c r="U115" s="229">
        <f t="shared" si="47"/>
        <v>0</v>
      </c>
      <c r="V115" s="229">
        <f t="shared" si="47"/>
        <v>0</v>
      </c>
      <c r="W115" s="229">
        <f t="shared" si="47"/>
        <v>0</v>
      </c>
      <c r="X115" s="229">
        <f t="shared" si="47"/>
        <v>0</v>
      </c>
      <c r="Y115" s="229">
        <f t="shared" si="47"/>
        <v>0</v>
      </c>
      <c r="Z115" s="229">
        <f t="shared" si="47"/>
        <v>0</v>
      </c>
      <c r="AA115" s="229">
        <f t="shared" si="47"/>
        <v>0</v>
      </c>
      <c r="AB115" s="229">
        <f t="shared" si="47"/>
        <v>0</v>
      </c>
      <c r="AC115" s="229">
        <f t="shared" si="47"/>
        <v>0</v>
      </c>
      <c r="AD115" s="229">
        <f t="shared" si="47"/>
        <v>0</v>
      </c>
      <c r="AE115" s="229">
        <f t="shared" si="47"/>
        <v>0</v>
      </c>
      <c r="AF115" s="229">
        <f t="shared" si="47"/>
        <v>0</v>
      </c>
      <c r="AG115" s="229">
        <f t="shared" si="47"/>
        <v>0</v>
      </c>
      <c r="AH115" s="229">
        <f t="shared" si="47"/>
        <v>0</v>
      </c>
      <c r="AI115" s="229">
        <f t="shared" si="47"/>
        <v>0</v>
      </c>
    </row>
    <row r="116" spans="1:35" x14ac:dyDescent="0.2">
      <c r="A116" s="11" t="s">
        <v>1782</v>
      </c>
      <c r="B116" s="60" t="s">
        <v>1539</v>
      </c>
      <c r="C116" s="229">
        <f t="shared" si="46"/>
        <v>21081</v>
      </c>
      <c r="D116" s="229">
        <f t="shared" si="47"/>
        <v>20202</v>
      </c>
      <c r="E116" s="229">
        <f t="shared" si="47"/>
        <v>19381</v>
      </c>
      <c r="F116" s="229">
        <f t="shared" si="47"/>
        <v>18540</v>
      </c>
      <c r="G116" s="229">
        <f t="shared" si="47"/>
        <v>17678</v>
      </c>
      <c r="H116" s="229">
        <f t="shared" si="47"/>
        <v>16795</v>
      </c>
      <c r="I116" s="229">
        <f t="shared" si="47"/>
        <v>15890</v>
      </c>
      <c r="J116" s="229">
        <f t="shared" si="47"/>
        <v>14964</v>
      </c>
      <c r="K116" s="229">
        <f t="shared" si="47"/>
        <v>14015</v>
      </c>
      <c r="L116" s="229">
        <f t="shared" si="47"/>
        <v>13042</v>
      </c>
      <c r="M116" s="229">
        <f t="shared" si="47"/>
        <v>12046</v>
      </c>
      <c r="N116" s="229">
        <f t="shared" si="47"/>
        <v>11026</v>
      </c>
      <c r="O116" s="229">
        <f t="shared" si="47"/>
        <v>9980</v>
      </c>
      <c r="P116" s="229">
        <f t="shared" si="47"/>
        <v>8909</v>
      </c>
      <c r="Q116" s="229">
        <f t="shared" si="47"/>
        <v>7812</v>
      </c>
      <c r="R116" s="229">
        <f t="shared" si="47"/>
        <v>6688</v>
      </c>
      <c r="S116" s="229">
        <f t="shared" si="47"/>
        <v>5536</v>
      </c>
      <c r="T116" s="229">
        <f t="shared" si="47"/>
        <v>4357</v>
      </c>
      <c r="U116" s="229">
        <f t="shared" si="47"/>
        <v>3148</v>
      </c>
      <c r="V116" s="229">
        <f t="shared" si="47"/>
        <v>1910</v>
      </c>
      <c r="W116" s="229">
        <f t="shared" si="47"/>
        <v>642</v>
      </c>
      <c r="X116" s="229">
        <f t="shared" si="47"/>
        <v>0</v>
      </c>
      <c r="Y116" s="229">
        <f t="shared" si="47"/>
        <v>0</v>
      </c>
      <c r="Z116" s="229">
        <f t="shared" si="47"/>
        <v>0</v>
      </c>
      <c r="AA116" s="229">
        <f t="shared" si="47"/>
        <v>0</v>
      </c>
      <c r="AB116" s="229">
        <f t="shared" si="47"/>
        <v>0</v>
      </c>
      <c r="AC116" s="229">
        <f t="shared" si="47"/>
        <v>0</v>
      </c>
      <c r="AD116" s="229">
        <f t="shared" si="47"/>
        <v>0</v>
      </c>
      <c r="AE116" s="229">
        <f t="shared" si="47"/>
        <v>0</v>
      </c>
      <c r="AF116" s="229">
        <f t="shared" si="47"/>
        <v>0</v>
      </c>
      <c r="AG116" s="229">
        <f t="shared" si="47"/>
        <v>0</v>
      </c>
      <c r="AH116" s="229">
        <f t="shared" si="47"/>
        <v>0</v>
      </c>
      <c r="AI116" s="229">
        <f t="shared" si="47"/>
        <v>0</v>
      </c>
    </row>
    <row r="117" spans="1:35" x14ac:dyDescent="0.2">
      <c r="A117" s="11" t="s">
        <v>1783</v>
      </c>
      <c r="B117" s="60" t="s">
        <v>1562</v>
      </c>
      <c r="C117" s="229">
        <f t="shared" si="46"/>
        <v>1306</v>
      </c>
      <c r="D117" s="229">
        <f t="shared" si="47"/>
        <v>1256</v>
      </c>
      <c r="E117" s="229">
        <f t="shared" si="47"/>
        <v>1205</v>
      </c>
      <c r="F117" s="229">
        <f t="shared" si="47"/>
        <v>1152</v>
      </c>
      <c r="G117" s="229">
        <f t="shared" si="47"/>
        <v>1099</v>
      </c>
      <c r="H117" s="229">
        <f t="shared" si="47"/>
        <v>1044</v>
      </c>
      <c r="I117" s="229">
        <f t="shared" si="47"/>
        <v>988</v>
      </c>
      <c r="J117" s="229">
        <f t="shared" si="47"/>
        <v>870</v>
      </c>
      <c r="K117" s="229">
        <f t="shared" si="47"/>
        <v>871</v>
      </c>
      <c r="L117" s="229">
        <f t="shared" si="47"/>
        <v>811</v>
      </c>
      <c r="M117" s="229">
        <f t="shared" si="47"/>
        <v>749</v>
      </c>
      <c r="N117" s="229">
        <f t="shared" si="47"/>
        <v>685</v>
      </c>
      <c r="O117" s="229">
        <f t="shared" si="47"/>
        <v>620</v>
      </c>
      <c r="P117" s="229">
        <f t="shared" si="47"/>
        <v>554</v>
      </c>
      <c r="Q117" s="229">
        <f t="shared" si="47"/>
        <v>485</v>
      </c>
      <c r="R117" s="229">
        <f t="shared" si="47"/>
        <v>416</v>
      </c>
      <c r="S117" s="229">
        <f t="shared" si="47"/>
        <v>344</v>
      </c>
      <c r="T117" s="229">
        <f t="shared" si="47"/>
        <v>271</v>
      </c>
      <c r="U117" s="229">
        <f t="shared" si="47"/>
        <v>196</v>
      </c>
      <c r="V117" s="229">
        <f t="shared" si="47"/>
        <v>119</v>
      </c>
      <c r="W117" s="229">
        <f t="shared" si="47"/>
        <v>40</v>
      </c>
      <c r="X117" s="229">
        <f t="shared" si="47"/>
        <v>0</v>
      </c>
      <c r="Y117" s="229">
        <f t="shared" si="47"/>
        <v>0</v>
      </c>
      <c r="Z117" s="229">
        <f t="shared" si="47"/>
        <v>0</v>
      </c>
      <c r="AA117" s="229">
        <f t="shared" si="47"/>
        <v>0</v>
      </c>
      <c r="AB117" s="229">
        <f t="shared" si="47"/>
        <v>0</v>
      </c>
      <c r="AC117" s="229">
        <f t="shared" si="47"/>
        <v>0</v>
      </c>
      <c r="AD117" s="229">
        <f t="shared" si="47"/>
        <v>0</v>
      </c>
      <c r="AE117" s="229">
        <f t="shared" si="47"/>
        <v>0</v>
      </c>
      <c r="AF117" s="229">
        <f t="shared" si="47"/>
        <v>0</v>
      </c>
      <c r="AG117" s="229">
        <f t="shared" si="47"/>
        <v>0</v>
      </c>
      <c r="AH117" s="229">
        <f t="shared" si="47"/>
        <v>0</v>
      </c>
      <c r="AI117" s="229">
        <f t="shared" si="47"/>
        <v>0</v>
      </c>
    </row>
    <row r="118" spans="1:35" x14ac:dyDescent="0.2">
      <c r="A118" s="11" t="s">
        <v>1784</v>
      </c>
      <c r="B118" s="60" t="s">
        <v>1540</v>
      </c>
      <c r="C118" s="229">
        <f t="shared" si="46"/>
        <v>23789</v>
      </c>
      <c r="D118" s="229">
        <f t="shared" si="47"/>
        <v>23366</v>
      </c>
      <c r="E118" s="229">
        <f t="shared" si="47"/>
        <v>22925</v>
      </c>
      <c r="F118" s="229">
        <f t="shared" si="47"/>
        <v>22465</v>
      </c>
      <c r="G118" s="229">
        <f t="shared" si="47"/>
        <v>21983</v>
      </c>
      <c r="H118" s="229">
        <f t="shared" si="47"/>
        <v>21482</v>
      </c>
      <c r="I118" s="229">
        <f t="shared" si="47"/>
        <v>20958</v>
      </c>
      <c r="J118" s="229">
        <f t="shared" si="47"/>
        <v>20411</v>
      </c>
      <c r="K118" s="229">
        <f t="shared" si="47"/>
        <v>19841</v>
      </c>
      <c r="L118" s="229">
        <f t="shared" si="47"/>
        <v>19245</v>
      </c>
      <c r="M118" s="229">
        <f t="shared" si="47"/>
        <v>18623</v>
      </c>
      <c r="N118" s="229">
        <f t="shared" si="47"/>
        <v>17974</v>
      </c>
      <c r="O118" s="229">
        <f t="shared" si="47"/>
        <v>17297</v>
      </c>
      <c r="P118" s="229">
        <f t="shared" si="47"/>
        <v>16590</v>
      </c>
      <c r="Q118" s="229">
        <f t="shared" si="47"/>
        <v>15853</v>
      </c>
      <c r="R118" s="229">
        <f t="shared" si="47"/>
        <v>15082</v>
      </c>
      <c r="S118" s="229">
        <f t="shared" si="47"/>
        <v>14279</v>
      </c>
      <c r="T118" s="229">
        <f t="shared" si="47"/>
        <v>13439</v>
      </c>
      <c r="U118" s="229">
        <f t="shared" si="47"/>
        <v>12564</v>
      </c>
      <c r="V118" s="229">
        <f t="shared" si="47"/>
        <v>11650</v>
      </c>
      <c r="W118" s="229">
        <f t="shared" si="47"/>
        <v>10696</v>
      </c>
      <c r="X118" s="229">
        <f t="shared" si="47"/>
        <v>9700</v>
      </c>
      <c r="Y118" s="229">
        <f t="shared" si="47"/>
        <v>8661</v>
      </c>
      <c r="Z118" s="229">
        <f t="shared" si="47"/>
        <v>7577</v>
      </c>
      <c r="AA118" s="229">
        <f t="shared" si="47"/>
        <v>6445</v>
      </c>
      <c r="AB118" s="229">
        <f t="shared" si="47"/>
        <v>5263</v>
      </c>
      <c r="AC118" s="229">
        <f t="shared" si="47"/>
        <v>4029</v>
      </c>
      <c r="AD118" s="229">
        <f t="shared" si="47"/>
        <v>2742</v>
      </c>
      <c r="AE118" s="229">
        <f t="shared" si="47"/>
        <v>1398</v>
      </c>
      <c r="AF118" s="229">
        <f t="shared" si="47"/>
        <v>0</v>
      </c>
      <c r="AG118" s="229">
        <f t="shared" si="47"/>
        <v>0</v>
      </c>
      <c r="AH118" s="229">
        <f t="shared" si="47"/>
        <v>0</v>
      </c>
      <c r="AI118" s="229">
        <f t="shared" si="47"/>
        <v>0</v>
      </c>
    </row>
    <row r="119" spans="1:35" x14ac:dyDescent="0.2">
      <c r="A119" s="11" t="s">
        <v>1785</v>
      </c>
      <c r="B119" s="60" t="s">
        <v>1541</v>
      </c>
      <c r="C119" s="229">
        <f t="shared" si="46"/>
        <v>22094</v>
      </c>
      <c r="D119" s="229">
        <f t="shared" si="47"/>
        <v>21729</v>
      </c>
      <c r="E119" s="229">
        <f t="shared" si="47"/>
        <v>21350</v>
      </c>
      <c r="F119" s="229">
        <f t="shared" si="47"/>
        <v>20954</v>
      </c>
      <c r="G119" s="229">
        <f t="shared" si="47"/>
        <v>20543</v>
      </c>
      <c r="H119" s="229">
        <f t="shared" si="47"/>
        <v>20114</v>
      </c>
      <c r="I119" s="229">
        <f t="shared" si="47"/>
        <v>19669</v>
      </c>
      <c r="J119" s="229">
        <f t="shared" si="47"/>
        <v>19204</v>
      </c>
      <c r="K119" s="229">
        <f t="shared" si="47"/>
        <v>18720</v>
      </c>
      <c r="L119" s="229">
        <f t="shared" si="47"/>
        <v>18217</v>
      </c>
      <c r="M119" s="229">
        <f t="shared" si="47"/>
        <v>17692</v>
      </c>
      <c r="N119" s="229">
        <f t="shared" si="47"/>
        <v>17146</v>
      </c>
      <c r="O119" s="229">
        <f t="shared" si="47"/>
        <v>16577</v>
      </c>
      <c r="P119" s="229">
        <f t="shared" si="47"/>
        <v>15985</v>
      </c>
      <c r="Q119" s="229">
        <f t="shared" si="47"/>
        <v>15369</v>
      </c>
      <c r="R119" s="229">
        <f t="shared" si="47"/>
        <v>14727</v>
      </c>
      <c r="S119" s="229">
        <f t="shared" si="47"/>
        <v>14059</v>
      </c>
      <c r="T119" s="229">
        <f t="shared" si="47"/>
        <v>13363</v>
      </c>
      <c r="U119" s="229">
        <f t="shared" si="47"/>
        <v>12638</v>
      </c>
      <c r="V119" s="229">
        <f t="shared" si="47"/>
        <v>11883</v>
      </c>
      <c r="W119" s="229">
        <f t="shared" si="47"/>
        <v>11098</v>
      </c>
      <c r="X119" s="229">
        <f t="shared" si="47"/>
        <v>10280</v>
      </c>
      <c r="Y119" s="229">
        <f t="shared" si="47"/>
        <v>9428</v>
      </c>
      <c r="Z119" s="229">
        <f t="shared" si="47"/>
        <v>8540</v>
      </c>
      <c r="AA119" s="229">
        <f t="shared" si="47"/>
        <v>7617</v>
      </c>
      <c r="AB119" s="229">
        <f t="shared" si="47"/>
        <v>6655</v>
      </c>
      <c r="AC119" s="229">
        <f t="shared" si="47"/>
        <v>5654</v>
      </c>
      <c r="AD119" s="229">
        <f t="shared" si="47"/>
        <v>4612</v>
      </c>
      <c r="AE119" s="229">
        <f t="shared" si="47"/>
        <v>3526</v>
      </c>
      <c r="AF119" s="229">
        <f t="shared" si="47"/>
        <v>2395</v>
      </c>
      <c r="AG119" s="229">
        <f t="shared" si="47"/>
        <v>1218</v>
      </c>
      <c r="AH119" s="229">
        <f t="shared" si="47"/>
        <v>0</v>
      </c>
      <c r="AI119" s="229">
        <f t="shared" si="47"/>
        <v>0</v>
      </c>
    </row>
    <row r="120" spans="1:35" x14ac:dyDescent="0.2">
      <c r="A120" s="11" t="s">
        <v>1786</v>
      </c>
      <c r="B120" s="12" t="s">
        <v>1754</v>
      </c>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row>
    <row r="121" spans="1:35" x14ac:dyDescent="0.2">
      <c r="A121" s="11" t="s">
        <v>1787</v>
      </c>
      <c r="B121" s="12" t="s">
        <v>1788</v>
      </c>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row>
    <row r="122" spans="1:35" x14ac:dyDescent="0.2">
      <c r="A122" s="11" t="s">
        <v>1789</v>
      </c>
      <c r="B122" s="12" t="s">
        <v>1756</v>
      </c>
      <c r="C122" s="36">
        <v>49100</v>
      </c>
      <c r="D122" s="36">
        <v>47300</v>
      </c>
      <c r="E122" s="36">
        <v>45500</v>
      </c>
      <c r="F122" s="36">
        <v>43550</v>
      </c>
      <c r="G122" s="36">
        <v>41600</v>
      </c>
      <c r="H122" s="36">
        <v>39500</v>
      </c>
      <c r="I122" s="36">
        <v>37400</v>
      </c>
      <c r="J122" s="36">
        <v>35150</v>
      </c>
      <c r="K122" s="36">
        <v>32338</v>
      </c>
      <c r="L122" s="36">
        <v>29338</v>
      </c>
      <c r="M122" s="36">
        <v>26338</v>
      </c>
      <c r="N122" s="36">
        <v>23150</v>
      </c>
      <c r="O122" s="36">
        <v>19775</v>
      </c>
      <c r="P122" s="36">
        <v>16400</v>
      </c>
      <c r="Q122" s="36">
        <v>12600</v>
      </c>
      <c r="R122" s="36">
        <v>8600</v>
      </c>
      <c r="S122" s="36">
        <v>4400</v>
      </c>
      <c r="T122" s="36"/>
      <c r="U122" s="36"/>
      <c r="V122" s="36"/>
      <c r="W122" s="36"/>
      <c r="X122" s="36"/>
      <c r="Y122" s="36"/>
      <c r="Z122" s="36"/>
      <c r="AA122" s="36"/>
      <c r="AB122" s="36"/>
      <c r="AC122" s="36"/>
      <c r="AD122" s="36"/>
      <c r="AE122" s="36"/>
      <c r="AF122" s="36"/>
      <c r="AG122" s="36"/>
      <c r="AH122" s="36"/>
      <c r="AI122" s="36"/>
    </row>
    <row r="123" spans="1:35" x14ac:dyDescent="0.2">
      <c r="A123" s="11" t="s">
        <v>1790</v>
      </c>
      <c r="B123" s="12" t="s">
        <v>1965</v>
      </c>
      <c r="C123" s="336">
        <f>21136.47+19510.69</f>
        <v>40647.160000000003</v>
      </c>
      <c r="D123" s="336">
        <v>26385</v>
      </c>
      <c r="E123" s="336">
        <v>30381</v>
      </c>
      <c r="F123" s="336">
        <v>29072</v>
      </c>
      <c r="G123" s="336">
        <v>27735</v>
      </c>
      <c r="H123" s="336">
        <v>26369</v>
      </c>
      <c r="I123" s="336">
        <v>24973</v>
      </c>
      <c r="J123" s="336">
        <v>23547</v>
      </c>
      <c r="K123" s="336">
        <v>22090</v>
      </c>
      <c r="L123" s="336">
        <v>20601</v>
      </c>
      <c r="M123" s="336">
        <v>19080</v>
      </c>
      <c r="N123" s="336">
        <v>17526</v>
      </c>
      <c r="O123" s="336">
        <v>15938</v>
      </c>
      <c r="P123" s="336">
        <v>14316</v>
      </c>
      <c r="Q123" s="336">
        <v>12658</v>
      </c>
      <c r="R123" s="336">
        <v>10964</v>
      </c>
      <c r="S123" s="336">
        <v>9234</v>
      </c>
      <c r="T123" s="336">
        <v>7465.32</v>
      </c>
      <c r="U123" s="336">
        <v>5659</v>
      </c>
      <c r="V123" s="336">
        <v>2193</v>
      </c>
      <c r="W123" s="336">
        <v>1806.94</v>
      </c>
      <c r="X123" s="36"/>
      <c r="Y123" s="36"/>
      <c r="Z123" s="36"/>
      <c r="AA123" s="36"/>
      <c r="AB123" s="36"/>
      <c r="AC123" s="36"/>
      <c r="AD123" s="36"/>
      <c r="AE123" s="36"/>
      <c r="AF123" s="36"/>
      <c r="AG123" s="36"/>
      <c r="AH123" s="36"/>
      <c r="AI123" s="36"/>
    </row>
    <row r="124" spans="1:35" x14ac:dyDescent="0.2">
      <c r="A124" s="11" t="s">
        <v>1791</v>
      </c>
      <c r="B124" s="12" t="s">
        <v>1976</v>
      </c>
      <c r="C124" s="336">
        <f>1463.29+1463.29+10730.82</f>
        <v>13657.4</v>
      </c>
      <c r="D124" s="336">
        <f>8707+2375</f>
        <v>11082</v>
      </c>
      <c r="E124" s="336">
        <v>2279</v>
      </c>
      <c r="F124" s="336">
        <v>2181</v>
      </c>
      <c r="G124" s="336">
        <v>2081</v>
      </c>
      <c r="H124" s="336">
        <v>1978</v>
      </c>
      <c r="I124" s="336">
        <v>1873</v>
      </c>
      <c r="J124" s="336">
        <v>1766</v>
      </c>
      <c r="K124" s="336">
        <v>1657</v>
      </c>
      <c r="L124" s="336">
        <v>1546</v>
      </c>
      <c r="M124" s="336">
        <v>1431</v>
      </c>
      <c r="N124" s="336">
        <v>1315</v>
      </c>
      <c r="O124" s="336">
        <v>1196</v>
      </c>
      <c r="P124" s="336">
        <v>1074</v>
      </c>
      <c r="Q124" s="336">
        <v>950</v>
      </c>
      <c r="R124" s="486">
        <v>823</v>
      </c>
      <c r="S124" s="336">
        <v>693</v>
      </c>
      <c r="T124" s="336">
        <v>560</v>
      </c>
      <c r="U124" s="336">
        <v>425</v>
      </c>
      <c r="V124" s="336">
        <v>286</v>
      </c>
      <c r="W124" s="336">
        <v>145</v>
      </c>
      <c r="X124" s="36"/>
      <c r="Y124" s="36"/>
      <c r="Z124" s="36"/>
      <c r="AA124" s="36"/>
      <c r="AB124" s="36"/>
      <c r="AC124" s="36"/>
      <c r="AD124" s="36"/>
      <c r="AE124" s="36"/>
      <c r="AF124" s="36"/>
      <c r="AG124" s="36"/>
      <c r="AH124" s="36"/>
      <c r="AI124" s="36"/>
    </row>
    <row r="125" spans="1:35" x14ac:dyDescent="0.2">
      <c r="A125" s="11" t="s">
        <v>1793</v>
      </c>
      <c r="B125" s="12" t="s">
        <v>1760</v>
      </c>
      <c r="C125" s="3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row>
    <row r="126" spans="1:35" x14ac:dyDescent="0.2">
      <c r="A126" s="11" t="s">
        <v>1794</v>
      </c>
      <c r="B126" s="12" t="s">
        <v>1966</v>
      </c>
      <c r="C126" s="3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row>
    <row r="127" spans="1:35" x14ac:dyDescent="0.2">
      <c r="A127" s="11" t="s">
        <v>1795</v>
      </c>
      <c r="B127" s="12" t="s">
        <v>1764</v>
      </c>
      <c r="C127" s="3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row>
    <row r="128" spans="1:35" x14ac:dyDescent="0.2">
      <c r="A128" s="11" t="s">
        <v>1796</v>
      </c>
      <c r="B128" s="12" t="s">
        <v>1967</v>
      </c>
      <c r="C128" s="3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row>
    <row r="129" spans="1:35" x14ac:dyDescent="0.2">
      <c r="A129" s="11"/>
      <c r="B129" s="12"/>
      <c r="C129" s="3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row>
    <row r="130" spans="1:35" ht="13.5" thickBot="1" x14ac:dyDescent="0.2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row>
    <row r="131" spans="1:35" x14ac:dyDescent="0.2">
      <c r="B131" s="4" t="s">
        <v>1977</v>
      </c>
      <c r="C131" s="19">
        <f>SUM(C108:C130)</f>
        <v>192265.56</v>
      </c>
      <c r="D131" s="19">
        <f>SUM(D92:D130)</f>
        <v>430137</v>
      </c>
      <c r="E131" s="19">
        <f t="shared" ref="E131:AI131" si="49">SUM(E92:E130)</f>
        <v>422563</v>
      </c>
      <c r="F131" s="19">
        <f t="shared" si="49"/>
        <v>413667</v>
      </c>
      <c r="G131" s="19">
        <f t="shared" si="49"/>
        <v>409146</v>
      </c>
      <c r="H131" s="19">
        <f t="shared" si="49"/>
        <v>400060</v>
      </c>
      <c r="I131" s="19">
        <f t="shared" si="49"/>
        <v>376221</v>
      </c>
      <c r="J131" s="19">
        <f t="shared" si="49"/>
        <v>373420</v>
      </c>
      <c r="K131" s="19">
        <f t="shared" si="49"/>
        <v>375176</v>
      </c>
      <c r="L131" s="19">
        <f t="shared" si="49"/>
        <v>371922</v>
      </c>
      <c r="M131" s="19">
        <f t="shared" si="49"/>
        <v>328500</v>
      </c>
      <c r="N131" s="19">
        <f t="shared" si="49"/>
        <v>330269</v>
      </c>
      <c r="O131" s="19">
        <f t="shared" si="49"/>
        <v>253847</v>
      </c>
      <c r="P131" s="19">
        <f t="shared" si="49"/>
        <v>328425</v>
      </c>
      <c r="Q131" s="19">
        <f t="shared" si="49"/>
        <v>329577</v>
      </c>
      <c r="R131" s="19">
        <f t="shared" si="49"/>
        <v>330528</v>
      </c>
      <c r="S131" s="19">
        <f t="shared" si="49"/>
        <v>331275</v>
      </c>
      <c r="T131" s="19">
        <f t="shared" si="49"/>
        <v>216822.32</v>
      </c>
      <c r="U131" s="19">
        <f t="shared" si="49"/>
        <v>216769</v>
      </c>
      <c r="V131" s="19">
        <f t="shared" si="49"/>
        <v>215093</v>
      </c>
      <c r="W131" s="19">
        <f t="shared" si="49"/>
        <v>216536.94</v>
      </c>
      <c r="X131" s="19">
        <f t="shared" si="49"/>
        <v>64386</v>
      </c>
      <c r="Y131" s="19">
        <f t="shared" si="49"/>
        <v>64386</v>
      </c>
      <c r="Z131" s="19">
        <f t="shared" si="49"/>
        <v>64385</v>
      </c>
      <c r="AA131" s="19">
        <f t="shared" si="49"/>
        <v>64386</v>
      </c>
      <c r="AB131" s="19">
        <f t="shared" si="49"/>
        <v>64385</v>
      </c>
      <c r="AC131" s="19">
        <f t="shared" si="49"/>
        <v>64386</v>
      </c>
      <c r="AD131" s="19">
        <f t="shared" si="49"/>
        <v>64386</v>
      </c>
      <c r="AE131" s="19">
        <f t="shared" si="49"/>
        <v>64282</v>
      </c>
      <c r="AF131" s="19">
        <f t="shared" si="49"/>
        <v>30930</v>
      </c>
      <c r="AG131" s="19">
        <f t="shared" si="49"/>
        <v>30746</v>
      </c>
      <c r="AH131" s="19">
        <f t="shared" si="49"/>
        <v>0</v>
      </c>
      <c r="AI131" s="19">
        <f t="shared" si="49"/>
        <v>0</v>
      </c>
    </row>
    <row r="132" spans="1:35" x14ac:dyDescent="0.2">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row>
    <row r="133" spans="1:35" ht="13.5" thickBot="1" x14ac:dyDescent="0.25">
      <c r="A133" s="450" t="s">
        <v>1978</v>
      </c>
      <c r="B133" s="451"/>
      <c r="C133" s="452"/>
      <c r="D133" s="452"/>
      <c r="E133" s="452"/>
      <c r="F133" s="452"/>
      <c r="G133" s="452"/>
      <c r="H133" s="452"/>
      <c r="I133" s="452"/>
      <c r="J133" s="452"/>
      <c r="K133" s="452"/>
      <c r="L133" s="452"/>
      <c r="M133" s="452"/>
      <c r="N133" s="452"/>
      <c r="O133" s="452"/>
      <c r="P133" s="452"/>
      <c r="Q133" s="452"/>
      <c r="R133" s="452"/>
      <c r="S133" s="452"/>
      <c r="T133" s="452"/>
      <c r="U133" s="452"/>
      <c r="V133" s="452"/>
      <c r="W133" s="452"/>
      <c r="X133" s="452"/>
      <c r="Y133" s="452"/>
      <c r="Z133" s="452"/>
      <c r="AA133" s="452"/>
      <c r="AB133" s="452"/>
      <c r="AC133" s="452"/>
      <c r="AD133" s="452"/>
      <c r="AE133" s="452"/>
      <c r="AF133" s="452"/>
      <c r="AG133" s="452"/>
      <c r="AH133" s="452"/>
      <c r="AI133" s="452"/>
    </row>
    <row r="134" spans="1:35" ht="13.5" thickTop="1" x14ac:dyDescent="0.2">
      <c r="A134" s="453"/>
      <c r="B134" s="454"/>
      <c r="C134" s="455"/>
      <c r="D134" s="455"/>
      <c r="E134" s="455"/>
      <c r="F134" s="455"/>
      <c r="G134" s="455"/>
      <c r="H134" s="455"/>
      <c r="I134" s="455"/>
      <c r="J134" s="455"/>
      <c r="K134" s="455"/>
      <c r="L134" s="455"/>
      <c r="M134" s="455"/>
      <c r="N134" s="455"/>
      <c r="O134" s="455"/>
      <c r="P134" s="455"/>
      <c r="Q134" s="455"/>
      <c r="R134" s="455"/>
      <c r="S134" s="455"/>
      <c r="T134" s="455"/>
      <c r="U134" s="455"/>
      <c r="V134" s="455"/>
      <c r="W134" s="455"/>
      <c r="X134" s="455"/>
      <c r="Y134" s="455"/>
      <c r="Z134" s="455"/>
      <c r="AA134" s="455"/>
      <c r="AB134" s="455"/>
      <c r="AC134" s="455"/>
      <c r="AD134" s="455"/>
      <c r="AE134" s="455"/>
      <c r="AF134" s="455"/>
      <c r="AG134" s="455"/>
      <c r="AH134" s="455"/>
      <c r="AI134" s="455"/>
    </row>
    <row r="135" spans="1:35" x14ac:dyDescent="0.2">
      <c r="A135" s="456">
        <v>710</v>
      </c>
      <c r="B135" s="457" t="s">
        <v>1534</v>
      </c>
      <c r="C135" s="458"/>
      <c r="D135" s="458"/>
      <c r="E135" s="458"/>
      <c r="F135" s="458"/>
      <c r="G135" s="458"/>
      <c r="H135" s="458"/>
      <c r="I135" s="458"/>
      <c r="J135" s="458"/>
      <c r="K135" s="458"/>
      <c r="L135" s="458"/>
      <c r="M135" s="458"/>
      <c r="N135" s="458"/>
      <c r="O135" s="458"/>
      <c r="P135" s="458"/>
      <c r="Q135" s="458"/>
      <c r="R135" s="458"/>
      <c r="S135" s="458"/>
      <c r="T135" s="458"/>
      <c r="U135" s="458"/>
      <c r="V135" s="458"/>
      <c r="W135" s="458"/>
      <c r="X135" s="458"/>
      <c r="Y135" s="458"/>
      <c r="Z135" s="458"/>
      <c r="AA135" s="458"/>
      <c r="AB135" s="458"/>
      <c r="AC135" s="458"/>
      <c r="AD135" s="458"/>
      <c r="AE135" s="458"/>
      <c r="AF135" s="458"/>
      <c r="AG135" s="458"/>
      <c r="AH135" s="458"/>
      <c r="AI135" s="458"/>
    </row>
    <row r="136" spans="1:35" x14ac:dyDescent="0.2">
      <c r="A136" s="456">
        <v>5930</v>
      </c>
      <c r="B136" s="459" t="s">
        <v>1538</v>
      </c>
      <c r="C136" s="458">
        <v>48115</v>
      </c>
      <c r="D136" s="458">
        <v>49087</v>
      </c>
      <c r="E136" s="458">
        <v>50079</v>
      </c>
      <c r="F136" s="458">
        <v>51901</v>
      </c>
      <c r="G136" s="458">
        <v>52123</v>
      </c>
      <c r="H136" s="458">
        <v>53176</v>
      </c>
      <c r="I136" s="458">
        <v>54250</v>
      </c>
      <c r="J136" s="458">
        <v>55346</v>
      </c>
      <c r="K136" s="458">
        <v>56464</v>
      </c>
      <c r="L136" s="458">
        <v>57605</v>
      </c>
      <c r="M136" s="462"/>
      <c r="N136" s="462"/>
      <c r="O136" s="462"/>
      <c r="P136" s="462"/>
      <c r="Q136" s="462"/>
      <c r="R136" s="462"/>
      <c r="S136" s="462"/>
      <c r="T136" s="462"/>
      <c r="U136" s="462"/>
      <c r="V136" s="462"/>
      <c r="W136" s="462"/>
      <c r="X136" s="462"/>
      <c r="Y136" s="462"/>
      <c r="Z136" s="462"/>
      <c r="AA136" s="462"/>
      <c r="AB136" s="462"/>
      <c r="AC136" s="462"/>
      <c r="AD136" s="462"/>
      <c r="AE136" s="462"/>
      <c r="AF136" s="462"/>
      <c r="AG136" s="462"/>
      <c r="AH136" s="458"/>
      <c r="AI136" s="458"/>
    </row>
    <row r="137" spans="1:35" x14ac:dyDescent="0.2">
      <c r="A137" s="456">
        <v>5931</v>
      </c>
      <c r="B137" s="460" t="s">
        <v>1539</v>
      </c>
      <c r="C137" s="458">
        <v>54679</v>
      </c>
      <c r="D137" s="458">
        <v>56016</v>
      </c>
      <c r="E137" s="458">
        <v>57384</v>
      </c>
      <c r="F137" s="458">
        <v>58786</v>
      </c>
      <c r="G137" s="458">
        <v>60223</v>
      </c>
      <c r="H137" s="458">
        <v>61694</v>
      </c>
      <c r="I137" s="458">
        <v>63202</v>
      </c>
      <c r="J137" s="458">
        <v>64746</v>
      </c>
      <c r="K137" s="458">
        <v>66328</v>
      </c>
      <c r="L137" s="458">
        <v>67949</v>
      </c>
      <c r="M137" s="458">
        <v>69609</v>
      </c>
      <c r="N137" s="458">
        <v>71310</v>
      </c>
      <c r="O137" s="458">
        <v>73053</v>
      </c>
      <c r="P137" s="458">
        <v>74838</v>
      </c>
      <c r="Q137" s="458">
        <v>76667</v>
      </c>
      <c r="R137" s="458">
        <v>78540</v>
      </c>
      <c r="S137" s="458">
        <v>80459</v>
      </c>
      <c r="T137" s="458">
        <v>82425</v>
      </c>
      <c r="U137" s="458">
        <v>84439</v>
      </c>
      <c r="V137" s="458">
        <v>86502</v>
      </c>
      <c r="W137" s="458">
        <v>88616</v>
      </c>
      <c r="X137" s="462"/>
      <c r="Y137" s="462"/>
      <c r="Z137" s="462"/>
      <c r="AA137" s="462"/>
      <c r="AB137" s="462"/>
      <c r="AC137" s="462"/>
      <c r="AD137" s="462"/>
      <c r="AE137" s="462"/>
      <c r="AF137" s="462"/>
      <c r="AG137" s="462"/>
      <c r="AH137" s="458"/>
      <c r="AI137" s="458"/>
    </row>
    <row r="138" spans="1:35" x14ac:dyDescent="0.2">
      <c r="A138" s="456">
        <v>5932</v>
      </c>
      <c r="B138" s="460" t="s">
        <v>1540</v>
      </c>
      <c r="C138" s="458">
        <v>16109</v>
      </c>
      <c r="D138" s="458">
        <v>16814</v>
      </c>
      <c r="E138" s="458">
        <v>17550</v>
      </c>
      <c r="F138" s="458">
        <v>18317</v>
      </c>
      <c r="G138" s="458">
        <v>19118</v>
      </c>
      <c r="H138" s="458">
        <v>19955</v>
      </c>
      <c r="I138" s="458">
        <v>20828</v>
      </c>
      <c r="J138" s="458">
        <v>21739</v>
      </c>
      <c r="K138" s="458">
        <v>22690</v>
      </c>
      <c r="L138" s="458">
        <v>23683</v>
      </c>
      <c r="M138" s="458">
        <v>24719</v>
      </c>
      <c r="N138" s="458">
        <v>25801</v>
      </c>
      <c r="O138" s="458">
        <v>26929</v>
      </c>
      <c r="P138" s="458">
        <v>28107</v>
      </c>
      <c r="Q138" s="458">
        <v>29337</v>
      </c>
      <c r="R138" s="458">
        <v>30621</v>
      </c>
      <c r="S138" s="458">
        <v>31960</v>
      </c>
      <c r="T138" s="458">
        <v>33359</v>
      </c>
      <c r="U138" s="458">
        <v>34818</v>
      </c>
      <c r="V138" s="458">
        <v>36341</v>
      </c>
      <c r="W138" s="458">
        <v>37931</v>
      </c>
      <c r="X138" s="458">
        <v>39591</v>
      </c>
      <c r="Y138" s="458">
        <v>41323</v>
      </c>
      <c r="Z138" s="458">
        <v>43130</v>
      </c>
      <c r="AA138" s="458">
        <v>45017</v>
      </c>
      <c r="AB138" s="458">
        <v>46987</v>
      </c>
      <c r="AC138" s="458">
        <v>49043</v>
      </c>
      <c r="AD138" s="458">
        <v>51188</v>
      </c>
      <c r="AE138" s="458">
        <v>53255</v>
      </c>
      <c r="AF138" s="462"/>
      <c r="AG138" s="462"/>
      <c r="AH138" s="458"/>
      <c r="AI138" s="458"/>
    </row>
    <row r="139" spans="1:35" ht="13.5" thickBot="1" x14ac:dyDescent="0.25">
      <c r="A139" s="456">
        <v>5933</v>
      </c>
      <c r="B139" s="460" t="s">
        <v>1541</v>
      </c>
      <c r="C139" s="461">
        <v>14728</v>
      </c>
      <c r="D139" s="461">
        <v>15336</v>
      </c>
      <c r="E139" s="461">
        <v>15968</v>
      </c>
      <c r="F139" s="461">
        <v>16627</v>
      </c>
      <c r="G139" s="461">
        <v>17313</v>
      </c>
      <c r="H139" s="461">
        <v>18027</v>
      </c>
      <c r="I139" s="461">
        <v>18770</v>
      </c>
      <c r="J139" s="461">
        <v>19545</v>
      </c>
      <c r="K139" s="461">
        <v>20351</v>
      </c>
      <c r="L139" s="461">
        <v>21190</v>
      </c>
      <c r="M139" s="461">
        <v>22064</v>
      </c>
      <c r="N139" s="461">
        <v>22974</v>
      </c>
      <c r="O139" s="461">
        <v>23922</v>
      </c>
      <c r="P139" s="461">
        <v>24909</v>
      </c>
      <c r="Q139" s="461">
        <v>25936</v>
      </c>
      <c r="R139" s="461">
        <v>27006</v>
      </c>
      <c r="S139" s="461">
        <v>28120</v>
      </c>
      <c r="T139" s="461">
        <v>29280</v>
      </c>
      <c r="U139" s="461">
        <v>30488</v>
      </c>
      <c r="V139" s="461">
        <v>31746</v>
      </c>
      <c r="W139" s="461">
        <v>33055</v>
      </c>
      <c r="X139" s="461">
        <v>34418</v>
      </c>
      <c r="Y139" s="461">
        <v>35838</v>
      </c>
      <c r="Z139" s="461">
        <v>37317</v>
      </c>
      <c r="AA139" s="461">
        <v>38856</v>
      </c>
      <c r="AB139" s="461">
        <v>40459</v>
      </c>
      <c r="AC139" s="461">
        <v>42128</v>
      </c>
      <c r="AD139" s="461">
        <v>43865</v>
      </c>
      <c r="AE139" s="461">
        <v>45675</v>
      </c>
      <c r="AF139" s="461">
        <v>47559</v>
      </c>
      <c r="AG139" s="461">
        <v>49213</v>
      </c>
      <c r="AH139" s="461"/>
      <c r="AI139" s="461"/>
    </row>
    <row r="140" spans="1:35" x14ac:dyDescent="0.2">
      <c r="A140" s="456"/>
      <c r="B140" s="457"/>
      <c r="C140" s="462"/>
      <c r="D140" s="462"/>
      <c r="E140" s="462"/>
      <c r="F140" s="462"/>
      <c r="G140" s="462"/>
      <c r="H140" s="462"/>
      <c r="I140" s="462"/>
      <c r="J140" s="462"/>
      <c r="K140" s="462"/>
      <c r="L140" s="462"/>
      <c r="M140" s="462"/>
      <c r="N140" s="462"/>
      <c r="O140" s="462"/>
      <c r="P140" s="462"/>
      <c r="Q140" s="462"/>
      <c r="R140" s="462"/>
      <c r="S140" s="462"/>
      <c r="T140" s="462"/>
      <c r="U140" s="462"/>
      <c r="V140" s="462"/>
      <c r="W140" s="462"/>
      <c r="X140" s="462"/>
      <c r="Y140" s="462"/>
      <c r="Z140" s="462"/>
      <c r="AA140" s="462"/>
      <c r="AB140" s="462"/>
      <c r="AC140" s="462"/>
      <c r="AD140" s="462"/>
      <c r="AE140" s="462"/>
      <c r="AF140" s="462"/>
      <c r="AG140" s="462"/>
      <c r="AH140" s="462"/>
      <c r="AI140" s="462"/>
    </row>
    <row r="141" spans="1:35" x14ac:dyDescent="0.2">
      <c r="A141" s="456">
        <v>751</v>
      </c>
      <c r="B141" s="457" t="s">
        <v>1557</v>
      </c>
      <c r="C141" s="462"/>
      <c r="D141" s="462"/>
      <c r="E141" s="462"/>
      <c r="F141" s="462"/>
      <c r="G141" s="462"/>
      <c r="H141" s="462"/>
      <c r="I141" s="462"/>
      <c r="J141" s="462"/>
      <c r="K141" s="462"/>
      <c r="L141" s="462"/>
      <c r="M141" s="462"/>
      <c r="N141" s="462"/>
      <c r="O141" s="462"/>
      <c r="P141" s="462"/>
      <c r="Q141" s="462"/>
      <c r="R141" s="462"/>
      <c r="S141" s="462"/>
      <c r="T141" s="462"/>
      <c r="U141" s="462"/>
      <c r="V141" s="462"/>
      <c r="W141" s="462"/>
      <c r="X141" s="462"/>
      <c r="Y141" s="462"/>
      <c r="Z141" s="462"/>
      <c r="AA141" s="462"/>
      <c r="AB141" s="462"/>
      <c r="AC141" s="462"/>
      <c r="AD141" s="462"/>
      <c r="AE141" s="462"/>
      <c r="AF141" s="462"/>
      <c r="AG141" s="462"/>
      <c r="AH141" s="462"/>
      <c r="AI141" s="462"/>
    </row>
    <row r="142" spans="1:35" x14ac:dyDescent="0.2">
      <c r="A142" s="456">
        <v>5930</v>
      </c>
      <c r="B142" s="460" t="s">
        <v>1538</v>
      </c>
      <c r="C142" s="458">
        <v>10666</v>
      </c>
      <c r="D142" s="458">
        <v>9094</v>
      </c>
      <c r="E142" s="458">
        <v>8102</v>
      </c>
      <c r="F142" s="458">
        <v>7091</v>
      </c>
      <c r="G142" s="458">
        <v>6059</v>
      </c>
      <c r="H142" s="458">
        <v>5006</v>
      </c>
      <c r="I142" s="458">
        <v>3931</v>
      </c>
      <c r="J142" s="458">
        <v>2835</v>
      </c>
      <c r="K142" s="458">
        <v>1717</v>
      </c>
      <c r="L142" s="458">
        <v>577</v>
      </c>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58"/>
      <c r="AI142" s="458"/>
    </row>
    <row r="143" spans="1:35" x14ac:dyDescent="0.2">
      <c r="A143" s="456" t="s">
        <v>1559</v>
      </c>
      <c r="B143" s="460" t="s">
        <v>1560</v>
      </c>
      <c r="C143" s="458">
        <v>755</v>
      </c>
      <c r="D143" s="462">
        <v>683</v>
      </c>
      <c r="E143" s="462">
        <v>608</v>
      </c>
      <c r="F143" s="462">
        <v>532</v>
      </c>
      <c r="G143" s="462">
        <v>455</v>
      </c>
      <c r="H143" s="462">
        <v>376</v>
      </c>
      <c r="I143" s="462">
        <v>295</v>
      </c>
      <c r="J143" s="462">
        <v>213</v>
      </c>
      <c r="K143" s="462">
        <v>129</v>
      </c>
      <c r="L143" s="462">
        <v>444</v>
      </c>
      <c r="M143" s="462"/>
      <c r="N143" s="462"/>
      <c r="O143" s="462"/>
      <c r="P143" s="462"/>
      <c r="Q143" s="462"/>
      <c r="R143" s="462"/>
      <c r="S143" s="462"/>
      <c r="T143" s="462"/>
      <c r="U143" s="462"/>
      <c r="V143" s="462"/>
      <c r="W143" s="462"/>
      <c r="X143" s="462"/>
      <c r="Y143" s="462"/>
      <c r="Z143" s="462"/>
      <c r="AA143" s="462"/>
      <c r="AB143" s="462"/>
      <c r="AC143" s="462"/>
      <c r="AD143" s="462"/>
      <c r="AE143" s="462"/>
      <c r="AF143" s="462"/>
      <c r="AG143" s="462"/>
      <c r="AH143" s="458"/>
      <c r="AI143" s="458"/>
    </row>
    <row r="144" spans="1:35" x14ac:dyDescent="0.2">
      <c r="A144" s="456">
        <v>5931</v>
      </c>
      <c r="B144" s="460" t="s">
        <v>1539</v>
      </c>
      <c r="C144" s="458">
        <v>35135</v>
      </c>
      <c r="D144" s="458">
        <v>33670</v>
      </c>
      <c r="E144" s="458">
        <v>32302</v>
      </c>
      <c r="F144" s="458">
        <v>30900</v>
      </c>
      <c r="G144" s="458">
        <v>29463</v>
      </c>
      <c r="H144" s="458">
        <v>27992</v>
      </c>
      <c r="I144" s="458">
        <v>26484</v>
      </c>
      <c r="J144" s="458">
        <v>24940</v>
      </c>
      <c r="K144" s="458">
        <v>23358</v>
      </c>
      <c r="L144" s="458">
        <v>21737</v>
      </c>
      <c r="M144" s="458">
        <v>20077</v>
      </c>
      <c r="N144" s="458">
        <v>18376</v>
      </c>
      <c r="O144" s="458">
        <v>16633</v>
      </c>
      <c r="P144" s="458">
        <v>14848</v>
      </c>
      <c r="Q144" s="458">
        <v>13020</v>
      </c>
      <c r="R144" s="458">
        <v>11146</v>
      </c>
      <c r="S144" s="458">
        <v>9227</v>
      </c>
      <c r="T144" s="458">
        <v>7261</v>
      </c>
      <c r="U144" s="458">
        <v>5247</v>
      </c>
      <c r="V144" s="458">
        <v>3184</v>
      </c>
      <c r="W144" s="458">
        <v>1070</v>
      </c>
      <c r="X144" s="462"/>
      <c r="Y144" s="462"/>
      <c r="Z144" s="462"/>
      <c r="AA144" s="462"/>
      <c r="AB144" s="462"/>
      <c r="AC144" s="462"/>
      <c r="AD144" s="462"/>
      <c r="AE144" s="462"/>
      <c r="AF144" s="462"/>
      <c r="AG144" s="462"/>
      <c r="AH144" s="458"/>
      <c r="AI144" s="458"/>
    </row>
    <row r="145" spans="1:35" x14ac:dyDescent="0.2">
      <c r="A145" s="456" t="s">
        <v>1561</v>
      </c>
      <c r="B145" s="460" t="s">
        <v>1562</v>
      </c>
      <c r="C145" s="458">
        <v>2176</v>
      </c>
      <c r="D145" s="462">
        <v>2093</v>
      </c>
      <c r="E145" s="462">
        <v>2008</v>
      </c>
      <c r="F145" s="462">
        <v>1920</v>
      </c>
      <c r="G145" s="462">
        <v>1831</v>
      </c>
      <c r="H145" s="462">
        <v>1740</v>
      </c>
      <c r="I145" s="462">
        <v>1646</v>
      </c>
      <c r="J145" s="462">
        <v>1450</v>
      </c>
      <c r="K145" s="462">
        <v>1452</v>
      </c>
      <c r="L145" s="462">
        <v>1351</v>
      </c>
      <c r="M145" s="462">
        <v>1248</v>
      </c>
      <c r="N145" s="462">
        <v>1142</v>
      </c>
      <c r="O145" s="462">
        <v>1034</v>
      </c>
      <c r="P145" s="462">
        <v>923</v>
      </c>
      <c r="Q145" s="462">
        <v>809</v>
      </c>
      <c r="R145" s="462">
        <v>693</v>
      </c>
      <c r="S145" s="462">
        <v>574</v>
      </c>
      <c r="T145" s="462">
        <v>452</v>
      </c>
      <c r="U145" s="462">
        <v>327</v>
      </c>
      <c r="V145" s="462">
        <v>198</v>
      </c>
      <c r="W145" s="462">
        <v>67</v>
      </c>
      <c r="X145" s="462"/>
      <c r="Y145" s="462"/>
      <c r="Z145" s="462"/>
      <c r="AA145" s="462"/>
      <c r="AB145" s="462"/>
      <c r="AC145" s="462"/>
      <c r="AD145" s="462"/>
      <c r="AE145" s="462"/>
      <c r="AF145" s="462"/>
      <c r="AG145" s="462"/>
      <c r="AH145" s="458"/>
      <c r="AI145" s="458"/>
    </row>
    <row r="146" spans="1:35" x14ac:dyDescent="0.2">
      <c r="A146" s="456">
        <v>5932</v>
      </c>
      <c r="B146" s="460" t="s">
        <v>1540</v>
      </c>
      <c r="C146" s="458">
        <v>39649</v>
      </c>
      <c r="D146" s="458">
        <v>38944</v>
      </c>
      <c r="E146" s="458">
        <v>38208</v>
      </c>
      <c r="F146" s="458">
        <v>37441</v>
      </c>
      <c r="G146" s="458">
        <v>36639</v>
      </c>
      <c r="H146" s="458">
        <v>35803</v>
      </c>
      <c r="I146" s="458">
        <v>34930</v>
      </c>
      <c r="J146" s="458">
        <v>34019</v>
      </c>
      <c r="K146" s="458">
        <v>33068</v>
      </c>
      <c r="L146" s="458">
        <v>32075</v>
      </c>
      <c r="M146" s="458">
        <v>31039</v>
      </c>
      <c r="N146" s="458">
        <v>29957</v>
      </c>
      <c r="O146" s="458">
        <v>28829</v>
      </c>
      <c r="P146" s="458">
        <v>27650</v>
      </c>
      <c r="Q146" s="458">
        <v>26421</v>
      </c>
      <c r="R146" s="458">
        <v>25137</v>
      </c>
      <c r="S146" s="458">
        <v>23798</v>
      </c>
      <c r="T146" s="458">
        <v>22399</v>
      </c>
      <c r="U146" s="458">
        <v>20940</v>
      </c>
      <c r="V146" s="458">
        <v>19417</v>
      </c>
      <c r="W146" s="458">
        <v>17827</v>
      </c>
      <c r="X146" s="458">
        <v>16167</v>
      </c>
      <c r="Y146" s="458">
        <v>14435</v>
      </c>
      <c r="Z146" s="458">
        <v>12628</v>
      </c>
      <c r="AA146" s="458">
        <v>10741</v>
      </c>
      <c r="AB146" s="458">
        <v>8771</v>
      </c>
      <c r="AC146" s="458">
        <v>6715</v>
      </c>
      <c r="AD146" s="458">
        <v>4570</v>
      </c>
      <c r="AE146" s="458">
        <v>2330</v>
      </c>
      <c r="AF146" s="462"/>
      <c r="AG146" s="462"/>
      <c r="AH146" s="458"/>
      <c r="AI146" s="458"/>
    </row>
    <row r="147" spans="1:35" ht="13.5" thickBot="1" x14ac:dyDescent="0.25">
      <c r="A147" s="456">
        <v>5933</v>
      </c>
      <c r="B147" s="460" t="s">
        <v>1541</v>
      </c>
      <c r="C147" s="461">
        <v>36823</v>
      </c>
      <c r="D147" s="461">
        <v>36215</v>
      </c>
      <c r="E147" s="461">
        <v>35583</v>
      </c>
      <c r="F147" s="461">
        <v>34924</v>
      </c>
      <c r="G147" s="461">
        <v>34238</v>
      </c>
      <c r="H147" s="461">
        <v>33524</v>
      </c>
      <c r="I147" s="461">
        <v>32781</v>
      </c>
      <c r="J147" s="461">
        <v>32006</v>
      </c>
      <c r="K147" s="461">
        <v>31200</v>
      </c>
      <c r="L147" s="461">
        <v>30361</v>
      </c>
      <c r="M147" s="461">
        <v>29487</v>
      </c>
      <c r="N147" s="461">
        <v>28577</v>
      </c>
      <c r="O147" s="461">
        <v>27629</v>
      </c>
      <c r="P147" s="461">
        <v>26642</v>
      </c>
      <c r="Q147" s="461">
        <v>25615</v>
      </c>
      <c r="R147" s="461">
        <v>24545</v>
      </c>
      <c r="S147" s="461">
        <v>23431</v>
      </c>
      <c r="T147" s="461">
        <v>22271</v>
      </c>
      <c r="U147" s="461">
        <v>21063</v>
      </c>
      <c r="V147" s="461">
        <v>19805</v>
      </c>
      <c r="W147" s="461">
        <v>18496</v>
      </c>
      <c r="X147" s="461">
        <v>17133</v>
      </c>
      <c r="Y147" s="461">
        <v>15713</v>
      </c>
      <c r="Z147" s="461">
        <v>14234</v>
      </c>
      <c r="AA147" s="461">
        <v>12695</v>
      </c>
      <c r="AB147" s="461">
        <v>11092</v>
      </c>
      <c r="AC147" s="461">
        <v>9423</v>
      </c>
      <c r="AD147" s="461">
        <v>7686</v>
      </c>
      <c r="AE147" s="461">
        <v>5876</v>
      </c>
      <c r="AF147" s="461">
        <v>3992</v>
      </c>
      <c r="AG147" s="461">
        <v>2030</v>
      </c>
      <c r="AH147" s="461"/>
      <c r="AI147" s="461"/>
    </row>
    <row r="148" spans="1:35" x14ac:dyDescent="0.2">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row>
    <row r="149" spans="1:35" ht="13.5" thickBot="1" x14ac:dyDescent="0.25">
      <c r="A149" s="472" t="s">
        <v>1979</v>
      </c>
      <c r="B149" s="473"/>
      <c r="C149" s="317"/>
      <c r="D149" s="317"/>
      <c r="E149" s="317"/>
      <c r="F149" s="317"/>
      <c r="G149" s="317"/>
      <c r="H149" s="317"/>
      <c r="I149" s="317"/>
      <c r="J149" s="317"/>
      <c r="K149" s="317"/>
      <c r="L149" s="317"/>
      <c r="M149" s="317"/>
      <c r="N149" s="317"/>
      <c r="O149" s="317"/>
      <c r="P149" s="317"/>
      <c r="Q149" s="317"/>
      <c r="R149" s="317"/>
      <c r="S149" s="317"/>
      <c r="T149" s="317"/>
      <c r="U149" s="317"/>
      <c r="V149" s="317"/>
      <c r="W149" s="317"/>
      <c r="X149" s="317"/>
      <c r="Y149" s="317"/>
      <c r="Z149" s="317"/>
      <c r="AA149" s="317"/>
      <c r="AB149" s="317"/>
      <c r="AC149" s="317"/>
      <c r="AD149" s="317"/>
      <c r="AE149" s="317"/>
      <c r="AF149" s="317"/>
      <c r="AG149" s="317"/>
      <c r="AH149" s="317"/>
      <c r="AI149" s="317"/>
    </row>
    <row r="150" spans="1:35" ht="13.5" thickTop="1" x14ac:dyDescent="0.2">
      <c r="A150" s="474">
        <v>710</v>
      </c>
      <c r="B150" s="475" t="s">
        <v>1534</v>
      </c>
      <c r="C150" s="316"/>
      <c r="D150" s="316"/>
      <c r="E150" s="316"/>
      <c r="F150" s="316"/>
      <c r="G150" s="316"/>
      <c r="H150" s="316"/>
      <c r="I150" s="316"/>
      <c r="J150" s="316"/>
      <c r="K150" s="316"/>
      <c r="L150" s="316"/>
      <c r="M150" s="316"/>
      <c r="N150" s="316"/>
      <c r="O150" s="316"/>
      <c r="P150" s="316"/>
      <c r="Q150" s="316"/>
      <c r="R150" s="316"/>
      <c r="S150" s="316"/>
      <c r="T150" s="316"/>
      <c r="U150" s="316"/>
      <c r="V150" s="316"/>
      <c r="W150" s="316"/>
      <c r="X150" s="316"/>
      <c r="Y150" s="316"/>
      <c r="Z150" s="316"/>
      <c r="AA150" s="316"/>
      <c r="AB150" s="316"/>
      <c r="AC150" s="316"/>
      <c r="AD150" s="316"/>
      <c r="AE150" s="316"/>
      <c r="AF150" s="316"/>
      <c r="AG150" s="316"/>
      <c r="AH150" s="316"/>
      <c r="AI150" s="316"/>
    </row>
    <row r="151" spans="1:35" x14ac:dyDescent="0.2">
      <c r="A151" s="474">
        <v>5930</v>
      </c>
      <c r="B151" s="476" t="s">
        <v>1538</v>
      </c>
      <c r="C151" s="316">
        <f t="shared" ref="C151:AI151" si="50">ROUND((+C136*0.4),0)</f>
        <v>19246</v>
      </c>
      <c r="D151" s="316">
        <f t="shared" si="50"/>
        <v>19635</v>
      </c>
      <c r="E151" s="316">
        <f t="shared" si="50"/>
        <v>20032</v>
      </c>
      <c r="F151" s="316">
        <f t="shared" si="50"/>
        <v>20760</v>
      </c>
      <c r="G151" s="316">
        <f t="shared" si="50"/>
        <v>20849</v>
      </c>
      <c r="H151" s="316">
        <f t="shared" si="50"/>
        <v>21270</v>
      </c>
      <c r="I151" s="316">
        <f t="shared" si="50"/>
        <v>21700</v>
      </c>
      <c r="J151" s="316">
        <f t="shared" si="50"/>
        <v>22138</v>
      </c>
      <c r="K151" s="316">
        <f t="shared" si="50"/>
        <v>22586</v>
      </c>
      <c r="L151" s="316">
        <f t="shared" si="50"/>
        <v>23042</v>
      </c>
      <c r="M151" s="316">
        <f t="shared" si="50"/>
        <v>0</v>
      </c>
      <c r="N151" s="316">
        <f t="shared" si="50"/>
        <v>0</v>
      </c>
      <c r="O151" s="316">
        <f t="shared" si="50"/>
        <v>0</v>
      </c>
      <c r="P151" s="316">
        <f t="shared" si="50"/>
        <v>0</v>
      </c>
      <c r="Q151" s="316">
        <f t="shared" si="50"/>
        <v>0</v>
      </c>
      <c r="R151" s="316">
        <f t="shared" si="50"/>
        <v>0</v>
      </c>
      <c r="S151" s="316">
        <f t="shared" si="50"/>
        <v>0</v>
      </c>
      <c r="T151" s="316">
        <f t="shared" si="50"/>
        <v>0</v>
      </c>
      <c r="U151" s="316">
        <f t="shared" si="50"/>
        <v>0</v>
      </c>
      <c r="V151" s="316">
        <f t="shared" si="50"/>
        <v>0</v>
      </c>
      <c r="W151" s="316">
        <f t="shared" si="50"/>
        <v>0</v>
      </c>
      <c r="X151" s="316">
        <f t="shared" si="50"/>
        <v>0</v>
      </c>
      <c r="Y151" s="316">
        <f t="shared" si="50"/>
        <v>0</v>
      </c>
      <c r="Z151" s="316">
        <f t="shared" si="50"/>
        <v>0</v>
      </c>
      <c r="AA151" s="316">
        <f t="shared" si="50"/>
        <v>0</v>
      </c>
      <c r="AB151" s="316">
        <f t="shared" si="50"/>
        <v>0</v>
      </c>
      <c r="AC151" s="316">
        <f t="shared" si="50"/>
        <v>0</v>
      </c>
      <c r="AD151" s="316">
        <f t="shared" si="50"/>
        <v>0</v>
      </c>
      <c r="AE151" s="316">
        <f t="shared" si="50"/>
        <v>0</v>
      </c>
      <c r="AF151" s="316">
        <f t="shared" si="50"/>
        <v>0</v>
      </c>
      <c r="AG151" s="316">
        <f t="shared" si="50"/>
        <v>0</v>
      </c>
      <c r="AH151" s="316">
        <f t="shared" si="50"/>
        <v>0</v>
      </c>
      <c r="AI151" s="316">
        <f t="shared" si="50"/>
        <v>0</v>
      </c>
    </row>
    <row r="152" spans="1:35" x14ac:dyDescent="0.2">
      <c r="A152" s="474">
        <v>5931</v>
      </c>
      <c r="B152" s="477" t="s">
        <v>1539</v>
      </c>
      <c r="C152" s="316">
        <f t="shared" ref="C152:AI152" si="51">ROUND((+C137*0.4),0)</f>
        <v>21872</v>
      </c>
      <c r="D152" s="316">
        <f t="shared" si="51"/>
        <v>22406</v>
      </c>
      <c r="E152" s="316">
        <f t="shared" si="51"/>
        <v>22954</v>
      </c>
      <c r="F152" s="316">
        <f t="shared" si="51"/>
        <v>23514</v>
      </c>
      <c r="G152" s="316">
        <f t="shared" si="51"/>
        <v>24089</v>
      </c>
      <c r="H152" s="316">
        <f t="shared" si="51"/>
        <v>24678</v>
      </c>
      <c r="I152" s="316">
        <f t="shared" si="51"/>
        <v>25281</v>
      </c>
      <c r="J152" s="316">
        <f t="shared" si="51"/>
        <v>25898</v>
      </c>
      <c r="K152" s="316">
        <f t="shared" si="51"/>
        <v>26531</v>
      </c>
      <c r="L152" s="316">
        <f t="shared" si="51"/>
        <v>27180</v>
      </c>
      <c r="M152" s="316">
        <f t="shared" si="51"/>
        <v>27844</v>
      </c>
      <c r="N152" s="316">
        <f t="shared" si="51"/>
        <v>28524</v>
      </c>
      <c r="O152" s="316">
        <f t="shared" si="51"/>
        <v>29221</v>
      </c>
      <c r="P152" s="316">
        <f t="shared" si="51"/>
        <v>29935</v>
      </c>
      <c r="Q152" s="316">
        <f t="shared" si="51"/>
        <v>30667</v>
      </c>
      <c r="R152" s="316">
        <f t="shared" si="51"/>
        <v>31416</v>
      </c>
      <c r="S152" s="316">
        <f t="shared" si="51"/>
        <v>32184</v>
      </c>
      <c r="T152" s="316">
        <f t="shared" si="51"/>
        <v>32970</v>
      </c>
      <c r="U152" s="316">
        <f t="shared" si="51"/>
        <v>33776</v>
      </c>
      <c r="V152" s="316">
        <f t="shared" si="51"/>
        <v>34601</v>
      </c>
      <c r="W152" s="316">
        <f t="shared" si="51"/>
        <v>35446</v>
      </c>
      <c r="X152" s="316">
        <f t="shared" si="51"/>
        <v>0</v>
      </c>
      <c r="Y152" s="316">
        <f t="shared" si="51"/>
        <v>0</v>
      </c>
      <c r="Z152" s="316">
        <f t="shared" si="51"/>
        <v>0</v>
      </c>
      <c r="AA152" s="316">
        <f t="shared" si="51"/>
        <v>0</v>
      </c>
      <c r="AB152" s="316">
        <f t="shared" si="51"/>
        <v>0</v>
      </c>
      <c r="AC152" s="316">
        <f t="shared" si="51"/>
        <v>0</v>
      </c>
      <c r="AD152" s="316">
        <f t="shared" si="51"/>
        <v>0</v>
      </c>
      <c r="AE152" s="316">
        <f t="shared" si="51"/>
        <v>0</v>
      </c>
      <c r="AF152" s="316">
        <f t="shared" si="51"/>
        <v>0</v>
      </c>
      <c r="AG152" s="316">
        <f t="shared" si="51"/>
        <v>0</v>
      </c>
      <c r="AH152" s="316">
        <f t="shared" si="51"/>
        <v>0</v>
      </c>
      <c r="AI152" s="316">
        <f t="shared" si="51"/>
        <v>0</v>
      </c>
    </row>
    <row r="153" spans="1:35" x14ac:dyDescent="0.2">
      <c r="A153" s="474">
        <v>5932</v>
      </c>
      <c r="B153" s="477" t="s">
        <v>1540</v>
      </c>
      <c r="C153" s="316">
        <f t="shared" ref="C153:AI153" si="52">ROUND((+C138*0.4),0)</f>
        <v>6444</v>
      </c>
      <c r="D153" s="316">
        <f t="shared" si="52"/>
        <v>6726</v>
      </c>
      <c r="E153" s="316">
        <f t="shared" si="52"/>
        <v>7020</v>
      </c>
      <c r="F153" s="316">
        <f t="shared" si="52"/>
        <v>7327</v>
      </c>
      <c r="G153" s="316">
        <f t="shared" si="52"/>
        <v>7647</v>
      </c>
      <c r="H153" s="316">
        <f t="shared" si="52"/>
        <v>7982</v>
      </c>
      <c r="I153" s="316">
        <f t="shared" si="52"/>
        <v>8331</v>
      </c>
      <c r="J153" s="316">
        <f t="shared" si="52"/>
        <v>8696</v>
      </c>
      <c r="K153" s="316">
        <f t="shared" si="52"/>
        <v>9076</v>
      </c>
      <c r="L153" s="316">
        <f t="shared" si="52"/>
        <v>9473</v>
      </c>
      <c r="M153" s="316">
        <f t="shared" si="52"/>
        <v>9888</v>
      </c>
      <c r="N153" s="316">
        <f t="shared" si="52"/>
        <v>10320</v>
      </c>
      <c r="O153" s="316">
        <f t="shared" si="52"/>
        <v>10772</v>
      </c>
      <c r="P153" s="316">
        <f t="shared" si="52"/>
        <v>11243</v>
      </c>
      <c r="Q153" s="316">
        <f t="shared" si="52"/>
        <v>11735</v>
      </c>
      <c r="R153" s="316">
        <f t="shared" si="52"/>
        <v>12248</v>
      </c>
      <c r="S153" s="316">
        <f t="shared" si="52"/>
        <v>12784</v>
      </c>
      <c r="T153" s="316">
        <f t="shared" si="52"/>
        <v>13344</v>
      </c>
      <c r="U153" s="316">
        <f t="shared" si="52"/>
        <v>13927</v>
      </c>
      <c r="V153" s="316">
        <f t="shared" si="52"/>
        <v>14536</v>
      </c>
      <c r="W153" s="316">
        <f t="shared" si="52"/>
        <v>15172</v>
      </c>
      <c r="X153" s="316">
        <f t="shared" si="52"/>
        <v>15836</v>
      </c>
      <c r="Y153" s="316">
        <f t="shared" si="52"/>
        <v>16529</v>
      </c>
      <c r="Z153" s="316">
        <f t="shared" si="52"/>
        <v>17252</v>
      </c>
      <c r="AA153" s="316">
        <f t="shared" si="52"/>
        <v>18007</v>
      </c>
      <c r="AB153" s="316">
        <f t="shared" si="52"/>
        <v>18795</v>
      </c>
      <c r="AC153" s="316">
        <f t="shared" si="52"/>
        <v>19617</v>
      </c>
      <c r="AD153" s="316">
        <f t="shared" si="52"/>
        <v>20475</v>
      </c>
      <c r="AE153" s="316">
        <f t="shared" si="52"/>
        <v>21302</v>
      </c>
      <c r="AF153" s="316">
        <f t="shared" si="52"/>
        <v>0</v>
      </c>
      <c r="AG153" s="316">
        <f t="shared" si="52"/>
        <v>0</v>
      </c>
      <c r="AH153" s="316">
        <f t="shared" si="52"/>
        <v>0</v>
      </c>
      <c r="AI153" s="316">
        <f t="shared" si="52"/>
        <v>0</v>
      </c>
    </row>
    <row r="154" spans="1:35" ht="13.5" thickBot="1" x14ac:dyDescent="0.25">
      <c r="A154" s="474">
        <v>5933</v>
      </c>
      <c r="B154" s="477" t="s">
        <v>1541</v>
      </c>
      <c r="C154" s="315">
        <f t="shared" ref="C154:AI154" si="53">ROUND((+C139*0.4),0)</f>
        <v>5891</v>
      </c>
      <c r="D154" s="315">
        <f t="shared" si="53"/>
        <v>6134</v>
      </c>
      <c r="E154" s="315">
        <f t="shared" si="53"/>
        <v>6387</v>
      </c>
      <c r="F154" s="315">
        <f t="shared" si="53"/>
        <v>6651</v>
      </c>
      <c r="G154" s="315">
        <f t="shared" si="53"/>
        <v>6925</v>
      </c>
      <c r="H154" s="315">
        <f t="shared" si="53"/>
        <v>7211</v>
      </c>
      <c r="I154" s="315">
        <f t="shared" si="53"/>
        <v>7508</v>
      </c>
      <c r="J154" s="315">
        <f t="shared" si="53"/>
        <v>7818</v>
      </c>
      <c r="K154" s="315">
        <f t="shared" si="53"/>
        <v>8140</v>
      </c>
      <c r="L154" s="315">
        <f t="shared" si="53"/>
        <v>8476</v>
      </c>
      <c r="M154" s="315">
        <f t="shared" si="53"/>
        <v>8826</v>
      </c>
      <c r="N154" s="315">
        <f t="shared" si="53"/>
        <v>9190</v>
      </c>
      <c r="O154" s="315">
        <f t="shared" si="53"/>
        <v>9569</v>
      </c>
      <c r="P154" s="315">
        <f t="shared" si="53"/>
        <v>9964</v>
      </c>
      <c r="Q154" s="315">
        <f t="shared" si="53"/>
        <v>10374</v>
      </c>
      <c r="R154" s="315">
        <f t="shared" si="53"/>
        <v>10802</v>
      </c>
      <c r="S154" s="315">
        <f t="shared" si="53"/>
        <v>11248</v>
      </c>
      <c r="T154" s="315">
        <f t="shared" si="53"/>
        <v>11712</v>
      </c>
      <c r="U154" s="315">
        <f t="shared" si="53"/>
        <v>12195</v>
      </c>
      <c r="V154" s="315">
        <f t="shared" si="53"/>
        <v>12698</v>
      </c>
      <c r="W154" s="315">
        <f t="shared" si="53"/>
        <v>13222</v>
      </c>
      <c r="X154" s="315">
        <f t="shared" si="53"/>
        <v>13767</v>
      </c>
      <c r="Y154" s="315">
        <f t="shared" si="53"/>
        <v>14335</v>
      </c>
      <c r="Z154" s="315">
        <f t="shared" si="53"/>
        <v>14927</v>
      </c>
      <c r="AA154" s="315">
        <f t="shared" si="53"/>
        <v>15542</v>
      </c>
      <c r="AB154" s="315">
        <f t="shared" si="53"/>
        <v>16184</v>
      </c>
      <c r="AC154" s="315">
        <f t="shared" si="53"/>
        <v>16851</v>
      </c>
      <c r="AD154" s="315">
        <f t="shared" si="53"/>
        <v>17546</v>
      </c>
      <c r="AE154" s="315">
        <f t="shared" si="53"/>
        <v>18270</v>
      </c>
      <c r="AF154" s="315">
        <f t="shared" si="53"/>
        <v>19024</v>
      </c>
      <c r="AG154" s="315">
        <f t="shared" si="53"/>
        <v>19685</v>
      </c>
      <c r="AH154" s="315">
        <f t="shared" si="53"/>
        <v>0</v>
      </c>
      <c r="AI154" s="315">
        <f t="shared" si="53"/>
        <v>0</v>
      </c>
    </row>
    <row r="155" spans="1:35" x14ac:dyDescent="0.2">
      <c r="A155" s="474"/>
      <c r="B155" s="475"/>
      <c r="C155" s="478"/>
      <c r="D155" s="478"/>
      <c r="E155" s="478"/>
      <c r="F155" s="478"/>
      <c r="G155" s="478"/>
      <c r="H155" s="478"/>
      <c r="I155" s="478"/>
      <c r="J155" s="478"/>
      <c r="K155" s="478"/>
      <c r="L155" s="478"/>
      <c r="M155" s="478"/>
      <c r="N155" s="478"/>
      <c r="O155" s="478"/>
      <c r="P155" s="478"/>
      <c r="Q155" s="478"/>
      <c r="R155" s="478"/>
      <c r="S155" s="478"/>
      <c r="T155" s="478"/>
      <c r="U155" s="478"/>
      <c r="V155" s="478"/>
      <c r="W155" s="478"/>
      <c r="X155" s="478"/>
      <c r="Y155" s="478"/>
      <c r="Z155" s="478"/>
      <c r="AA155" s="478"/>
      <c r="AB155" s="478"/>
      <c r="AC155" s="478"/>
      <c r="AD155" s="478"/>
      <c r="AE155" s="478"/>
      <c r="AF155" s="478"/>
      <c r="AG155" s="478"/>
      <c r="AH155" s="478"/>
      <c r="AI155" s="478"/>
    </row>
    <row r="156" spans="1:35" x14ac:dyDescent="0.2">
      <c r="A156" s="474">
        <v>751</v>
      </c>
      <c r="B156" s="475" t="s">
        <v>1557</v>
      </c>
      <c r="C156" s="478"/>
      <c r="D156" s="478"/>
      <c r="E156" s="478"/>
      <c r="F156" s="478"/>
      <c r="G156" s="478"/>
      <c r="H156" s="478"/>
      <c r="I156" s="478"/>
      <c r="J156" s="478"/>
      <c r="K156" s="478"/>
      <c r="L156" s="478"/>
      <c r="M156" s="478"/>
      <c r="N156" s="478"/>
      <c r="O156" s="478"/>
      <c r="P156" s="478"/>
      <c r="Q156" s="478"/>
      <c r="R156" s="478"/>
      <c r="S156" s="478"/>
      <c r="T156" s="478"/>
      <c r="U156" s="478"/>
      <c r="V156" s="478"/>
      <c r="W156" s="478"/>
      <c r="X156" s="478"/>
      <c r="Y156" s="478"/>
      <c r="Z156" s="478"/>
      <c r="AA156" s="478"/>
      <c r="AB156" s="478"/>
      <c r="AC156" s="478"/>
      <c r="AD156" s="478"/>
      <c r="AE156" s="478"/>
      <c r="AF156" s="478"/>
      <c r="AG156" s="478"/>
      <c r="AH156" s="478"/>
      <c r="AI156" s="478"/>
    </row>
    <row r="157" spans="1:35" x14ac:dyDescent="0.2">
      <c r="A157" s="474">
        <v>5930</v>
      </c>
      <c r="B157" s="477" t="s">
        <v>1538</v>
      </c>
      <c r="C157" s="316">
        <f t="shared" ref="C157:AI157" si="54">ROUND((+C142*0.4),0)</f>
        <v>4266</v>
      </c>
      <c r="D157" s="316">
        <f t="shared" si="54"/>
        <v>3638</v>
      </c>
      <c r="E157" s="316">
        <f t="shared" si="54"/>
        <v>3241</v>
      </c>
      <c r="F157" s="316">
        <f t="shared" si="54"/>
        <v>2836</v>
      </c>
      <c r="G157" s="316">
        <f t="shared" si="54"/>
        <v>2424</v>
      </c>
      <c r="H157" s="316">
        <f t="shared" si="54"/>
        <v>2002</v>
      </c>
      <c r="I157" s="316">
        <f t="shared" si="54"/>
        <v>1572</v>
      </c>
      <c r="J157" s="316">
        <f t="shared" si="54"/>
        <v>1134</v>
      </c>
      <c r="K157" s="316">
        <f t="shared" si="54"/>
        <v>687</v>
      </c>
      <c r="L157" s="316">
        <f t="shared" si="54"/>
        <v>231</v>
      </c>
      <c r="M157" s="316">
        <f t="shared" si="54"/>
        <v>0</v>
      </c>
      <c r="N157" s="316">
        <f t="shared" si="54"/>
        <v>0</v>
      </c>
      <c r="O157" s="316">
        <f t="shared" si="54"/>
        <v>0</v>
      </c>
      <c r="P157" s="316">
        <f t="shared" si="54"/>
        <v>0</v>
      </c>
      <c r="Q157" s="316">
        <f t="shared" si="54"/>
        <v>0</v>
      </c>
      <c r="R157" s="316">
        <f t="shared" si="54"/>
        <v>0</v>
      </c>
      <c r="S157" s="316">
        <f t="shared" si="54"/>
        <v>0</v>
      </c>
      <c r="T157" s="316">
        <f t="shared" si="54"/>
        <v>0</v>
      </c>
      <c r="U157" s="316">
        <f t="shared" si="54"/>
        <v>0</v>
      </c>
      <c r="V157" s="316">
        <f t="shared" si="54"/>
        <v>0</v>
      </c>
      <c r="W157" s="316">
        <f t="shared" si="54"/>
        <v>0</v>
      </c>
      <c r="X157" s="316">
        <f t="shared" si="54"/>
        <v>0</v>
      </c>
      <c r="Y157" s="316">
        <f t="shared" si="54"/>
        <v>0</v>
      </c>
      <c r="Z157" s="316">
        <f t="shared" si="54"/>
        <v>0</v>
      </c>
      <c r="AA157" s="316">
        <f t="shared" si="54"/>
        <v>0</v>
      </c>
      <c r="AB157" s="316">
        <f t="shared" si="54"/>
        <v>0</v>
      </c>
      <c r="AC157" s="316">
        <f t="shared" si="54"/>
        <v>0</v>
      </c>
      <c r="AD157" s="316">
        <f t="shared" si="54"/>
        <v>0</v>
      </c>
      <c r="AE157" s="316">
        <f t="shared" si="54"/>
        <v>0</v>
      </c>
      <c r="AF157" s="316">
        <f t="shared" si="54"/>
        <v>0</v>
      </c>
      <c r="AG157" s="316">
        <f t="shared" si="54"/>
        <v>0</v>
      </c>
      <c r="AH157" s="316">
        <f t="shared" si="54"/>
        <v>0</v>
      </c>
      <c r="AI157" s="316">
        <f t="shared" si="54"/>
        <v>0</v>
      </c>
    </row>
    <row r="158" spans="1:35" x14ac:dyDescent="0.2">
      <c r="A158" s="474" t="s">
        <v>1559</v>
      </c>
      <c r="B158" s="477" t="s">
        <v>1560</v>
      </c>
      <c r="C158" s="316">
        <f t="shared" ref="C158:AI158" si="55">ROUND((+C143*0.4),0)</f>
        <v>302</v>
      </c>
      <c r="D158" s="316">
        <f t="shared" si="55"/>
        <v>273</v>
      </c>
      <c r="E158" s="316">
        <f t="shared" si="55"/>
        <v>243</v>
      </c>
      <c r="F158" s="316">
        <f t="shared" si="55"/>
        <v>213</v>
      </c>
      <c r="G158" s="316">
        <f t="shared" si="55"/>
        <v>182</v>
      </c>
      <c r="H158" s="316">
        <f t="shared" si="55"/>
        <v>150</v>
      </c>
      <c r="I158" s="316">
        <f t="shared" si="55"/>
        <v>118</v>
      </c>
      <c r="J158" s="316">
        <f t="shared" si="55"/>
        <v>85</v>
      </c>
      <c r="K158" s="316">
        <f t="shared" si="55"/>
        <v>52</v>
      </c>
      <c r="L158" s="316">
        <f t="shared" si="55"/>
        <v>178</v>
      </c>
      <c r="M158" s="316">
        <f t="shared" si="55"/>
        <v>0</v>
      </c>
      <c r="N158" s="316">
        <f t="shared" si="55"/>
        <v>0</v>
      </c>
      <c r="O158" s="316">
        <f t="shared" si="55"/>
        <v>0</v>
      </c>
      <c r="P158" s="316">
        <f t="shared" si="55"/>
        <v>0</v>
      </c>
      <c r="Q158" s="316">
        <f t="shared" si="55"/>
        <v>0</v>
      </c>
      <c r="R158" s="316">
        <f t="shared" si="55"/>
        <v>0</v>
      </c>
      <c r="S158" s="316">
        <f t="shared" si="55"/>
        <v>0</v>
      </c>
      <c r="T158" s="316">
        <f t="shared" si="55"/>
        <v>0</v>
      </c>
      <c r="U158" s="316">
        <f t="shared" si="55"/>
        <v>0</v>
      </c>
      <c r="V158" s="316">
        <f t="shared" si="55"/>
        <v>0</v>
      </c>
      <c r="W158" s="316">
        <f t="shared" si="55"/>
        <v>0</v>
      </c>
      <c r="X158" s="316">
        <f t="shared" si="55"/>
        <v>0</v>
      </c>
      <c r="Y158" s="316">
        <f t="shared" si="55"/>
        <v>0</v>
      </c>
      <c r="Z158" s="316">
        <f t="shared" si="55"/>
        <v>0</v>
      </c>
      <c r="AA158" s="316">
        <f t="shared" si="55"/>
        <v>0</v>
      </c>
      <c r="AB158" s="316">
        <f t="shared" si="55"/>
        <v>0</v>
      </c>
      <c r="AC158" s="316">
        <f t="shared" si="55"/>
        <v>0</v>
      </c>
      <c r="AD158" s="316">
        <f t="shared" si="55"/>
        <v>0</v>
      </c>
      <c r="AE158" s="316">
        <f t="shared" si="55"/>
        <v>0</v>
      </c>
      <c r="AF158" s="316">
        <f t="shared" si="55"/>
        <v>0</v>
      </c>
      <c r="AG158" s="316">
        <f t="shared" si="55"/>
        <v>0</v>
      </c>
      <c r="AH158" s="316">
        <f t="shared" si="55"/>
        <v>0</v>
      </c>
      <c r="AI158" s="316">
        <f t="shared" si="55"/>
        <v>0</v>
      </c>
    </row>
    <row r="159" spans="1:35" x14ac:dyDescent="0.2">
      <c r="A159" s="474">
        <v>5931</v>
      </c>
      <c r="B159" s="477" t="s">
        <v>1539</v>
      </c>
      <c r="C159" s="316">
        <f t="shared" ref="C159:AI159" si="56">ROUND((+C144*0.4),0)</f>
        <v>14054</v>
      </c>
      <c r="D159" s="316">
        <f t="shared" si="56"/>
        <v>13468</v>
      </c>
      <c r="E159" s="316">
        <f t="shared" si="56"/>
        <v>12921</v>
      </c>
      <c r="F159" s="316">
        <f t="shared" si="56"/>
        <v>12360</v>
      </c>
      <c r="G159" s="316">
        <f t="shared" si="56"/>
        <v>11785</v>
      </c>
      <c r="H159" s="316">
        <f t="shared" si="56"/>
        <v>11197</v>
      </c>
      <c r="I159" s="316">
        <f t="shared" si="56"/>
        <v>10594</v>
      </c>
      <c r="J159" s="316">
        <f t="shared" si="56"/>
        <v>9976</v>
      </c>
      <c r="K159" s="316">
        <f t="shared" si="56"/>
        <v>9343</v>
      </c>
      <c r="L159" s="316">
        <f t="shared" si="56"/>
        <v>8695</v>
      </c>
      <c r="M159" s="316">
        <f t="shared" si="56"/>
        <v>8031</v>
      </c>
      <c r="N159" s="316">
        <f t="shared" si="56"/>
        <v>7350</v>
      </c>
      <c r="O159" s="316">
        <f t="shared" si="56"/>
        <v>6653</v>
      </c>
      <c r="P159" s="316">
        <f t="shared" si="56"/>
        <v>5939</v>
      </c>
      <c r="Q159" s="316">
        <f t="shared" si="56"/>
        <v>5208</v>
      </c>
      <c r="R159" s="316">
        <f t="shared" si="56"/>
        <v>4458</v>
      </c>
      <c r="S159" s="316">
        <f t="shared" si="56"/>
        <v>3691</v>
      </c>
      <c r="T159" s="316">
        <f t="shared" si="56"/>
        <v>2904</v>
      </c>
      <c r="U159" s="316">
        <f t="shared" si="56"/>
        <v>2099</v>
      </c>
      <c r="V159" s="316">
        <f t="shared" si="56"/>
        <v>1274</v>
      </c>
      <c r="W159" s="316">
        <f t="shared" si="56"/>
        <v>428</v>
      </c>
      <c r="X159" s="316">
        <f t="shared" si="56"/>
        <v>0</v>
      </c>
      <c r="Y159" s="316">
        <f t="shared" si="56"/>
        <v>0</v>
      </c>
      <c r="Z159" s="316">
        <f t="shared" si="56"/>
        <v>0</v>
      </c>
      <c r="AA159" s="316">
        <f t="shared" si="56"/>
        <v>0</v>
      </c>
      <c r="AB159" s="316">
        <f t="shared" si="56"/>
        <v>0</v>
      </c>
      <c r="AC159" s="316">
        <f t="shared" si="56"/>
        <v>0</v>
      </c>
      <c r="AD159" s="316">
        <f t="shared" si="56"/>
        <v>0</v>
      </c>
      <c r="AE159" s="316">
        <f t="shared" si="56"/>
        <v>0</v>
      </c>
      <c r="AF159" s="316">
        <f t="shared" si="56"/>
        <v>0</v>
      </c>
      <c r="AG159" s="316">
        <f t="shared" si="56"/>
        <v>0</v>
      </c>
      <c r="AH159" s="316">
        <f t="shared" si="56"/>
        <v>0</v>
      </c>
      <c r="AI159" s="316">
        <f t="shared" si="56"/>
        <v>0</v>
      </c>
    </row>
    <row r="160" spans="1:35" x14ac:dyDescent="0.2">
      <c r="A160" s="474" t="s">
        <v>1561</v>
      </c>
      <c r="B160" s="477" t="s">
        <v>1562</v>
      </c>
      <c r="C160" s="316">
        <f t="shared" ref="C160:AI160" si="57">ROUND((+C145*0.4),0)</f>
        <v>870</v>
      </c>
      <c r="D160" s="316">
        <f t="shared" si="57"/>
        <v>837</v>
      </c>
      <c r="E160" s="316">
        <f t="shared" si="57"/>
        <v>803</v>
      </c>
      <c r="F160" s="316">
        <f t="shared" si="57"/>
        <v>768</v>
      </c>
      <c r="G160" s="316">
        <f t="shared" si="57"/>
        <v>732</v>
      </c>
      <c r="H160" s="316">
        <f t="shared" si="57"/>
        <v>696</v>
      </c>
      <c r="I160" s="316">
        <f t="shared" si="57"/>
        <v>658</v>
      </c>
      <c r="J160" s="316">
        <f t="shared" si="57"/>
        <v>580</v>
      </c>
      <c r="K160" s="316">
        <f t="shared" si="57"/>
        <v>581</v>
      </c>
      <c r="L160" s="316">
        <f t="shared" si="57"/>
        <v>540</v>
      </c>
      <c r="M160" s="316">
        <f t="shared" si="57"/>
        <v>499</v>
      </c>
      <c r="N160" s="316">
        <f t="shared" si="57"/>
        <v>457</v>
      </c>
      <c r="O160" s="316">
        <f t="shared" si="57"/>
        <v>414</v>
      </c>
      <c r="P160" s="316">
        <f t="shared" si="57"/>
        <v>369</v>
      </c>
      <c r="Q160" s="316">
        <f t="shared" si="57"/>
        <v>324</v>
      </c>
      <c r="R160" s="316">
        <f t="shared" si="57"/>
        <v>277</v>
      </c>
      <c r="S160" s="316">
        <f t="shared" si="57"/>
        <v>230</v>
      </c>
      <c r="T160" s="316">
        <f t="shared" si="57"/>
        <v>181</v>
      </c>
      <c r="U160" s="316">
        <f t="shared" si="57"/>
        <v>131</v>
      </c>
      <c r="V160" s="316">
        <f t="shared" si="57"/>
        <v>79</v>
      </c>
      <c r="W160" s="316">
        <f t="shared" si="57"/>
        <v>27</v>
      </c>
      <c r="X160" s="316">
        <f t="shared" si="57"/>
        <v>0</v>
      </c>
      <c r="Y160" s="316">
        <f t="shared" si="57"/>
        <v>0</v>
      </c>
      <c r="Z160" s="316">
        <f t="shared" si="57"/>
        <v>0</v>
      </c>
      <c r="AA160" s="316">
        <f t="shared" si="57"/>
        <v>0</v>
      </c>
      <c r="AB160" s="316">
        <f t="shared" si="57"/>
        <v>0</v>
      </c>
      <c r="AC160" s="316">
        <f t="shared" si="57"/>
        <v>0</v>
      </c>
      <c r="AD160" s="316">
        <f t="shared" si="57"/>
        <v>0</v>
      </c>
      <c r="AE160" s="316">
        <f t="shared" si="57"/>
        <v>0</v>
      </c>
      <c r="AF160" s="316">
        <f t="shared" si="57"/>
        <v>0</v>
      </c>
      <c r="AG160" s="316">
        <f t="shared" si="57"/>
        <v>0</v>
      </c>
      <c r="AH160" s="316">
        <f t="shared" si="57"/>
        <v>0</v>
      </c>
      <c r="AI160" s="316">
        <f t="shared" si="57"/>
        <v>0</v>
      </c>
    </row>
    <row r="161" spans="1:35" x14ac:dyDescent="0.2">
      <c r="A161" s="474">
        <v>5932</v>
      </c>
      <c r="B161" s="477" t="s">
        <v>1540</v>
      </c>
      <c r="C161" s="316">
        <f t="shared" ref="C161:AI161" si="58">ROUND((+C146*0.4),0)</f>
        <v>15860</v>
      </c>
      <c r="D161" s="316">
        <f t="shared" si="58"/>
        <v>15578</v>
      </c>
      <c r="E161" s="316">
        <f t="shared" si="58"/>
        <v>15283</v>
      </c>
      <c r="F161" s="316">
        <f t="shared" si="58"/>
        <v>14976</v>
      </c>
      <c r="G161" s="316">
        <f t="shared" si="58"/>
        <v>14656</v>
      </c>
      <c r="H161" s="316">
        <f t="shared" si="58"/>
        <v>14321</v>
      </c>
      <c r="I161" s="316">
        <f t="shared" si="58"/>
        <v>13972</v>
      </c>
      <c r="J161" s="316">
        <f t="shared" si="58"/>
        <v>13608</v>
      </c>
      <c r="K161" s="316">
        <f t="shared" si="58"/>
        <v>13227</v>
      </c>
      <c r="L161" s="316">
        <f t="shared" si="58"/>
        <v>12830</v>
      </c>
      <c r="M161" s="316">
        <f t="shared" si="58"/>
        <v>12416</v>
      </c>
      <c r="N161" s="316">
        <f t="shared" si="58"/>
        <v>11983</v>
      </c>
      <c r="O161" s="316">
        <f t="shared" si="58"/>
        <v>11532</v>
      </c>
      <c r="P161" s="316">
        <f t="shared" si="58"/>
        <v>11060</v>
      </c>
      <c r="Q161" s="316">
        <f t="shared" si="58"/>
        <v>10568</v>
      </c>
      <c r="R161" s="316">
        <f t="shared" si="58"/>
        <v>10055</v>
      </c>
      <c r="S161" s="316">
        <f t="shared" si="58"/>
        <v>9519</v>
      </c>
      <c r="T161" s="316">
        <f t="shared" si="58"/>
        <v>8960</v>
      </c>
      <c r="U161" s="316">
        <f t="shared" si="58"/>
        <v>8376</v>
      </c>
      <c r="V161" s="316">
        <f t="shared" si="58"/>
        <v>7767</v>
      </c>
      <c r="W161" s="316">
        <f t="shared" si="58"/>
        <v>7131</v>
      </c>
      <c r="X161" s="316">
        <f t="shared" si="58"/>
        <v>6467</v>
      </c>
      <c r="Y161" s="316">
        <f t="shared" si="58"/>
        <v>5774</v>
      </c>
      <c r="Z161" s="316">
        <f t="shared" si="58"/>
        <v>5051</v>
      </c>
      <c r="AA161" s="316">
        <f t="shared" si="58"/>
        <v>4296</v>
      </c>
      <c r="AB161" s="316">
        <f t="shared" si="58"/>
        <v>3508</v>
      </c>
      <c r="AC161" s="316">
        <f t="shared" si="58"/>
        <v>2686</v>
      </c>
      <c r="AD161" s="316">
        <f t="shared" si="58"/>
        <v>1828</v>
      </c>
      <c r="AE161" s="316">
        <f t="shared" si="58"/>
        <v>932</v>
      </c>
      <c r="AF161" s="316">
        <f t="shared" si="58"/>
        <v>0</v>
      </c>
      <c r="AG161" s="316">
        <f t="shared" si="58"/>
        <v>0</v>
      </c>
      <c r="AH161" s="316">
        <f t="shared" si="58"/>
        <v>0</v>
      </c>
      <c r="AI161" s="316">
        <f t="shared" si="58"/>
        <v>0</v>
      </c>
    </row>
    <row r="162" spans="1:35" ht="13.5" thickBot="1" x14ac:dyDescent="0.25">
      <c r="A162" s="474">
        <v>5933</v>
      </c>
      <c r="B162" s="477" t="s">
        <v>1541</v>
      </c>
      <c r="C162" s="315">
        <f t="shared" ref="C162:AI162" si="59">ROUND((+C147*0.4),0)</f>
        <v>14729</v>
      </c>
      <c r="D162" s="315">
        <f t="shared" si="59"/>
        <v>14486</v>
      </c>
      <c r="E162" s="315">
        <f t="shared" si="59"/>
        <v>14233</v>
      </c>
      <c r="F162" s="315">
        <f t="shared" si="59"/>
        <v>13970</v>
      </c>
      <c r="G162" s="315">
        <f t="shared" si="59"/>
        <v>13695</v>
      </c>
      <c r="H162" s="315">
        <f t="shared" si="59"/>
        <v>13410</v>
      </c>
      <c r="I162" s="315">
        <f t="shared" si="59"/>
        <v>13112</v>
      </c>
      <c r="J162" s="315">
        <f t="shared" si="59"/>
        <v>12802</v>
      </c>
      <c r="K162" s="315">
        <f t="shared" si="59"/>
        <v>12480</v>
      </c>
      <c r="L162" s="315">
        <f t="shared" si="59"/>
        <v>12144</v>
      </c>
      <c r="M162" s="315">
        <f t="shared" si="59"/>
        <v>11795</v>
      </c>
      <c r="N162" s="315">
        <f t="shared" si="59"/>
        <v>11431</v>
      </c>
      <c r="O162" s="315">
        <f t="shared" si="59"/>
        <v>11052</v>
      </c>
      <c r="P162" s="315">
        <f t="shared" si="59"/>
        <v>10657</v>
      </c>
      <c r="Q162" s="315">
        <f t="shared" si="59"/>
        <v>10246</v>
      </c>
      <c r="R162" s="315">
        <f t="shared" si="59"/>
        <v>9818</v>
      </c>
      <c r="S162" s="315">
        <f t="shared" si="59"/>
        <v>9372</v>
      </c>
      <c r="T162" s="315">
        <f t="shared" si="59"/>
        <v>8908</v>
      </c>
      <c r="U162" s="315">
        <f t="shared" si="59"/>
        <v>8425</v>
      </c>
      <c r="V162" s="315">
        <f t="shared" si="59"/>
        <v>7922</v>
      </c>
      <c r="W162" s="315">
        <f t="shared" si="59"/>
        <v>7398</v>
      </c>
      <c r="X162" s="315">
        <f t="shared" si="59"/>
        <v>6853</v>
      </c>
      <c r="Y162" s="315">
        <f t="shared" si="59"/>
        <v>6285</v>
      </c>
      <c r="Z162" s="315">
        <f t="shared" si="59"/>
        <v>5694</v>
      </c>
      <c r="AA162" s="315">
        <f t="shared" si="59"/>
        <v>5078</v>
      </c>
      <c r="AB162" s="315">
        <f t="shared" si="59"/>
        <v>4437</v>
      </c>
      <c r="AC162" s="315">
        <f t="shared" si="59"/>
        <v>3769</v>
      </c>
      <c r="AD162" s="315">
        <f t="shared" si="59"/>
        <v>3074</v>
      </c>
      <c r="AE162" s="315">
        <f t="shared" si="59"/>
        <v>2350</v>
      </c>
      <c r="AF162" s="315">
        <f t="shared" si="59"/>
        <v>1597</v>
      </c>
      <c r="AG162" s="315">
        <f t="shared" si="59"/>
        <v>812</v>
      </c>
      <c r="AH162" s="315">
        <f t="shared" si="59"/>
        <v>0</v>
      </c>
      <c r="AI162" s="315">
        <f t="shared" si="59"/>
        <v>0</v>
      </c>
    </row>
    <row r="163" spans="1:35" x14ac:dyDescent="0.2">
      <c r="A163" s="474"/>
      <c r="B163" s="475"/>
      <c r="C163" s="479"/>
      <c r="D163" s="479"/>
      <c r="E163" s="479"/>
      <c r="F163" s="479"/>
      <c r="G163" s="479"/>
      <c r="H163" s="479"/>
      <c r="I163" s="479"/>
      <c r="J163" s="479"/>
      <c r="K163" s="479"/>
      <c r="L163" s="479"/>
      <c r="M163" s="479"/>
      <c r="N163" s="479"/>
      <c r="O163" s="479"/>
      <c r="P163" s="479"/>
      <c r="Q163" s="479"/>
      <c r="R163" s="479"/>
      <c r="S163" s="479"/>
      <c r="T163" s="479"/>
      <c r="U163" s="479"/>
      <c r="V163" s="479"/>
      <c r="W163" s="479"/>
      <c r="X163" s="479"/>
      <c r="Y163" s="479"/>
      <c r="Z163" s="479"/>
      <c r="AA163" s="479"/>
      <c r="AB163" s="479"/>
      <c r="AC163" s="479"/>
      <c r="AD163" s="479"/>
      <c r="AE163" s="479"/>
      <c r="AF163" s="479"/>
      <c r="AG163" s="479"/>
      <c r="AH163" s="479"/>
      <c r="AI163" s="479"/>
    </row>
    <row r="165" spans="1:35" x14ac:dyDescent="0.2">
      <c r="A165" s="480" t="s">
        <v>1980</v>
      </c>
      <c r="B165" s="463"/>
      <c r="C165" s="464"/>
      <c r="D165" s="464"/>
      <c r="E165" s="464"/>
      <c r="F165" s="464"/>
      <c r="G165" s="464"/>
      <c r="H165" s="464"/>
      <c r="I165" s="464"/>
      <c r="J165" s="464"/>
      <c r="K165" s="464"/>
      <c r="L165" s="464"/>
      <c r="M165" s="464"/>
      <c r="N165" s="464"/>
      <c r="O165" s="464"/>
      <c r="P165" s="464"/>
      <c r="Q165" s="464"/>
      <c r="R165" s="464"/>
      <c r="S165" s="464"/>
      <c r="T165" s="464"/>
      <c r="U165" s="464"/>
      <c r="V165" s="464"/>
      <c r="W165" s="464"/>
      <c r="X165" s="464"/>
      <c r="Y165" s="464"/>
      <c r="Z165" s="464"/>
      <c r="AA165" s="464"/>
      <c r="AB165" s="464"/>
      <c r="AC165" s="464"/>
      <c r="AD165" s="464"/>
      <c r="AE165" s="464"/>
      <c r="AF165" s="464"/>
      <c r="AG165" s="464"/>
      <c r="AH165" s="464"/>
      <c r="AI165" s="19"/>
    </row>
    <row r="166" spans="1:35" x14ac:dyDescent="0.2">
      <c r="A166" s="465">
        <v>710</v>
      </c>
      <c r="B166" s="466" t="s">
        <v>1534</v>
      </c>
      <c r="C166" s="467"/>
      <c r="D166" s="467"/>
      <c r="E166" s="467"/>
      <c r="F166" s="467"/>
      <c r="G166" s="467"/>
      <c r="H166" s="467"/>
      <c r="I166" s="467"/>
      <c r="J166" s="467"/>
      <c r="K166" s="467"/>
      <c r="L166" s="467"/>
      <c r="M166" s="467"/>
      <c r="N166" s="467"/>
      <c r="O166" s="467"/>
      <c r="P166" s="467"/>
      <c r="Q166" s="467"/>
      <c r="R166" s="467"/>
      <c r="S166" s="467"/>
      <c r="T166" s="467"/>
      <c r="U166" s="467"/>
      <c r="V166" s="467"/>
      <c r="W166" s="467"/>
      <c r="X166" s="467"/>
      <c r="Y166" s="467"/>
      <c r="Z166" s="467"/>
      <c r="AA166" s="467"/>
      <c r="AB166" s="467"/>
      <c r="AC166" s="467"/>
      <c r="AD166" s="467"/>
      <c r="AE166" s="467"/>
      <c r="AF166" s="467"/>
      <c r="AG166" s="467"/>
      <c r="AH166" s="467"/>
      <c r="AI166" s="14"/>
    </row>
    <row r="167" spans="1:35" x14ac:dyDescent="0.2">
      <c r="A167" s="465">
        <v>5930</v>
      </c>
      <c r="B167" s="468" t="s">
        <v>1538</v>
      </c>
      <c r="C167" s="467">
        <f t="shared" ref="C167:AI167" si="60">+C136-C151</f>
        <v>28869</v>
      </c>
      <c r="D167" s="467">
        <f t="shared" si="60"/>
        <v>29452</v>
      </c>
      <c r="E167" s="467">
        <f t="shared" si="60"/>
        <v>30047</v>
      </c>
      <c r="F167" s="467">
        <f t="shared" si="60"/>
        <v>31141</v>
      </c>
      <c r="G167" s="467">
        <f t="shared" si="60"/>
        <v>31274</v>
      </c>
      <c r="H167" s="467">
        <f t="shared" si="60"/>
        <v>31906</v>
      </c>
      <c r="I167" s="467">
        <f t="shared" si="60"/>
        <v>32550</v>
      </c>
      <c r="J167" s="467">
        <f t="shared" si="60"/>
        <v>33208</v>
      </c>
      <c r="K167" s="467">
        <f t="shared" si="60"/>
        <v>33878</v>
      </c>
      <c r="L167" s="467">
        <f t="shared" si="60"/>
        <v>34563</v>
      </c>
      <c r="M167" s="467">
        <f t="shared" si="60"/>
        <v>0</v>
      </c>
      <c r="N167" s="467">
        <f t="shared" si="60"/>
        <v>0</v>
      </c>
      <c r="O167" s="467">
        <f t="shared" si="60"/>
        <v>0</v>
      </c>
      <c r="P167" s="467">
        <f t="shared" si="60"/>
        <v>0</v>
      </c>
      <c r="Q167" s="467">
        <f t="shared" si="60"/>
        <v>0</v>
      </c>
      <c r="R167" s="467">
        <f t="shared" si="60"/>
        <v>0</v>
      </c>
      <c r="S167" s="467">
        <f t="shared" si="60"/>
        <v>0</v>
      </c>
      <c r="T167" s="467">
        <f t="shared" si="60"/>
        <v>0</v>
      </c>
      <c r="U167" s="467">
        <f t="shared" si="60"/>
        <v>0</v>
      </c>
      <c r="V167" s="467">
        <f t="shared" si="60"/>
        <v>0</v>
      </c>
      <c r="W167" s="467">
        <f t="shared" si="60"/>
        <v>0</v>
      </c>
      <c r="X167" s="467">
        <f t="shared" si="60"/>
        <v>0</v>
      </c>
      <c r="Y167" s="467">
        <f t="shared" si="60"/>
        <v>0</v>
      </c>
      <c r="Z167" s="467">
        <f t="shared" si="60"/>
        <v>0</v>
      </c>
      <c r="AA167" s="467">
        <f t="shared" si="60"/>
        <v>0</v>
      </c>
      <c r="AB167" s="467">
        <f t="shared" si="60"/>
        <v>0</v>
      </c>
      <c r="AC167" s="467">
        <f t="shared" si="60"/>
        <v>0</v>
      </c>
      <c r="AD167" s="467">
        <f t="shared" si="60"/>
        <v>0</v>
      </c>
      <c r="AE167" s="467">
        <f t="shared" si="60"/>
        <v>0</v>
      </c>
      <c r="AF167" s="467">
        <f t="shared" si="60"/>
        <v>0</v>
      </c>
      <c r="AG167" s="467">
        <f t="shared" si="60"/>
        <v>0</v>
      </c>
      <c r="AH167" s="467">
        <f t="shared" si="60"/>
        <v>0</v>
      </c>
      <c r="AI167" s="14">
        <f t="shared" si="60"/>
        <v>0</v>
      </c>
    </row>
    <row r="168" spans="1:35" x14ac:dyDescent="0.2">
      <c r="A168" s="465">
        <v>5931</v>
      </c>
      <c r="B168" s="469" t="s">
        <v>1539</v>
      </c>
      <c r="C168" s="467">
        <f t="shared" ref="C168:AI168" si="61">+C137-C152</f>
        <v>32807</v>
      </c>
      <c r="D168" s="467">
        <f t="shared" si="61"/>
        <v>33610</v>
      </c>
      <c r="E168" s="467">
        <f t="shared" si="61"/>
        <v>34430</v>
      </c>
      <c r="F168" s="467">
        <f t="shared" si="61"/>
        <v>35272</v>
      </c>
      <c r="G168" s="467">
        <f t="shared" si="61"/>
        <v>36134</v>
      </c>
      <c r="H168" s="467">
        <f t="shared" si="61"/>
        <v>37016</v>
      </c>
      <c r="I168" s="467">
        <f t="shared" si="61"/>
        <v>37921</v>
      </c>
      <c r="J168" s="467">
        <f t="shared" si="61"/>
        <v>38848</v>
      </c>
      <c r="K168" s="467">
        <f t="shared" si="61"/>
        <v>39797</v>
      </c>
      <c r="L168" s="467">
        <f t="shared" si="61"/>
        <v>40769</v>
      </c>
      <c r="M168" s="467">
        <f t="shared" si="61"/>
        <v>41765</v>
      </c>
      <c r="N168" s="467">
        <f t="shared" si="61"/>
        <v>42786</v>
      </c>
      <c r="O168" s="467">
        <f t="shared" si="61"/>
        <v>43832</v>
      </c>
      <c r="P168" s="467">
        <f t="shared" si="61"/>
        <v>44903</v>
      </c>
      <c r="Q168" s="467">
        <f t="shared" si="61"/>
        <v>46000</v>
      </c>
      <c r="R168" s="467">
        <f t="shared" si="61"/>
        <v>47124</v>
      </c>
      <c r="S168" s="467">
        <f t="shared" si="61"/>
        <v>48275</v>
      </c>
      <c r="T168" s="467">
        <f t="shared" si="61"/>
        <v>49455</v>
      </c>
      <c r="U168" s="467">
        <f t="shared" si="61"/>
        <v>50663</v>
      </c>
      <c r="V168" s="467">
        <f t="shared" si="61"/>
        <v>51901</v>
      </c>
      <c r="W168" s="467">
        <f t="shared" si="61"/>
        <v>53170</v>
      </c>
      <c r="X168" s="467">
        <f t="shared" si="61"/>
        <v>0</v>
      </c>
      <c r="Y168" s="467">
        <f t="shared" si="61"/>
        <v>0</v>
      </c>
      <c r="Z168" s="467">
        <f t="shared" si="61"/>
        <v>0</v>
      </c>
      <c r="AA168" s="467">
        <f t="shared" si="61"/>
        <v>0</v>
      </c>
      <c r="AB168" s="467">
        <f t="shared" si="61"/>
        <v>0</v>
      </c>
      <c r="AC168" s="467">
        <f t="shared" si="61"/>
        <v>0</v>
      </c>
      <c r="AD168" s="467">
        <f t="shared" si="61"/>
        <v>0</v>
      </c>
      <c r="AE168" s="467">
        <f t="shared" si="61"/>
        <v>0</v>
      </c>
      <c r="AF168" s="467">
        <f t="shared" si="61"/>
        <v>0</v>
      </c>
      <c r="AG168" s="467">
        <f t="shared" si="61"/>
        <v>0</v>
      </c>
      <c r="AH168" s="467">
        <f t="shared" si="61"/>
        <v>0</v>
      </c>
      <c r="AI168" s="14">
        <f t="shared" si="61"/>
        <v>0</v>
      </c>
    </row>
    <row r="169" spans="1:35" x14ac:dyDescent="0.2">
      <c r="A169" s="465">
        <v>5932</v>
      </c>
      <c r="B169" s="469" t="s">
        <v>1540</v>
      </c>
      <c r="C169" s="467">
        <f t="shared" ref="C169:AI169" si="62">+C138-C153</f>
        <v>9665</v>
      </c>
      <c r="D169" s="467">
        <f t="shared" si="62"/>
        <v>10088</v>
      </c>
      <c r="E169" s="467">
        <f t="shared" si="62"/>
        <v>10530</v>
      </c>
      <c r="F169" s="467">
        <f t="shared" si="62"/>
        <v>10990</v>
      </c>
      <c r="G169" s="467">
        <f t="shared" si="62"/>
        <v>11471</v>
      </c>
      <c r="H169" s="467">
        <f t="shared" si="62"/>
        <v>11973</v>
      </c>
      <c r="I169" s="467">
        <f t="shared" si="62"/>
        <v>12497</v>
      </c>
      <c r="J169" s="467">
        <f t="shared" si="62"/>
        <v>13043</v>
      </c>
      <c r="K169" s="467">
        <f t="shared" si="62"/>
        <v>13614</v>
      </c>
      <c r="L169" s="467">
        <f t="shared" si="62"/>
        <v>14210</v>
      </c>
      <c r="M169" s="467">
        <f t="shared" si="62"/>
        <v>14831</v>
      </c>
      <c r="N169" s="467">
        <f t="shared" si="62"/>
        <v>15481</v>
      </c>
      <c r="O169" s="467">
        <f t="shared" si="62"/>
        <v>16157</v>
      </c>
      <c r="P169" s="467">
        <f t="shared" si="62"/>
        <v>16864</v>
      </c>
      <c r="Q169" s="467">
        <f t="shared" si="62"/>
        <v>17602</v>
      </c>
      <c r="R169" s="467">
        <f t="shared" si="62"/>
        <v>18373</v>
      </c>
      <c r="S169" s="467">
        <f t="shared" si="62"/>
        <v>19176</v>
      </c>
      <c r="T169" s="467">
        <f t="shared" si="62"/>
        <v>20015</v>
      </c>
      <c r="U169" s="467">
        <f t="shared" si="62"/>
        <v>20891</v>
      </c>
      <c r="V169" s="467">
        <f t="shared" si="62"/>
        <v>21805</v>
      </c>
      <c r="W169" s="467">
        <f t="shared" si="62"/>
        <v>22759</v>
      </c>
      <c r="X169" s="467">
        <f t="shared" si="62"/>
        <v>23755</v>
      </c>
      <c r="Y169" s="467">
        <f t="shared" si="62"/>
        <v>24794</v>
      </c>
      <c r="Z169" s="467">
        <f t="shared" si="62"/>
        <v>25878</v>
      </c>
      <c r="AA169" s="467">
        <f t="shared" si="62"/>
        <v>27010</v>
      </c>
      <c r="AB169" s="467">
        <f t="shared" si="62"/>
        <v>28192</v>
      </c>
      <c r="AC169" s="467">
        <f t="shared" si="62"/>
        <v>29426</v>
      </c>
      <c r="AD169" s="467">
        <f t="shared" si="62"/>
        <v>30713</v>
      </c>
      <c r="AE169" s="467">
        <f t="shared" si="62"/>
        <v>31953</v>
      </c>
      <c r="AF169" s="467">
        <f t="shared" si="62"/>
        <v>0</v>
      </c>
      <c r="AG169" s="467">
        <f t="shared" si="62"/>
        <v>0</v>
      </c>
      <c r="AH169" s="467">
        <f t="shared" si="62"/>
        <v>0</v>
      </c>
      <c r="AI169" s="14">
        <f t="shared" si="62"/>
        <v>0</v>
      </c>
    </row>
    <row r="170" spans="1:35" ht="13.5" thickBot="1" x14ac:dyDescent="0.25">
      <c r="A170" s="465">
        <v>5933</v>
      </c>
      <c r="B170" s="469" t="s">
        <v>1541</v>
      </c>
      <c r="C170" s="470">
        <f t="shared" ref="C170:AI170" si="63">+C139-C154</f>
        <v>8837</v>
      </c>
      <c r="D170" s="470">
        <f t="shared" si="63"/>
        <v>9202</v>
      </c>
      <c r="E170" s="470">
        <f t="shared" si="63"/>
        <v>9581</v>
      </c>
      <c r="F170" s="470">
        <f t="shared" si="63"/>
        <v>9976</v>
      </c>
      <c r="G170" s="470">
        <f t="shared" si="63"/>
        <v>10388</v>
      </c>
      <c r="H170" s="470">
        <f t="shared" si="63"/>
        <v>10816</v>
      </c>
      <c r="I170" s="470">
        <f t="shared" si="63"/>
        <v>11262</v>
      </c>
      <c r="J170" s="470">
        <f t="shared" si="63"/>
        <v>11727</v>
      </c>
      <c r="K170" s="470">
        <f t="shared" si="63"/>
        <v>12211</v>
      </c>
      <c r="L170" s="470">
        <f t="shared" si="63"/>
        <v>12714</v>
      </c>
      <c r="M170" s="470">
        <f t="shared" si="63"/>
        <v>13238</v>
      </c>
      <c r="N170" s="470">
        <f t="shared" si="63"/>
        <v>13784</v>
      </c>
      <c r="O170" s="470">
        <f t="shared" si="63"/>
        <v>14353</v>
      </c>
      <c r="P170" s="470">
        <f t="shared" si="63"/>
        <v>14945</v>
      </c>
      <c r="Q170" s="470">
        <f t="shared" si="63"/>
        <v>15562</v>
      </c>
      <c r="R170" s="470">
        <f t="shared" si="63"/>
        <v>16204</v>
      </c>
      <c r="S170" s="470">
        <f t="shared" si="63"/>
        <v>16872</v>
      </c>
      <c r="T170" s="470">
        <f t="shared" si="63"/>
        <v>17568</v>
      </c>
      <c r="U170" s="470">
        <f t="shared" si="63"/>
        <v>18293</v>
      </c>
      <c r="V170" s="470">
        <f t="shared" si="63"/>
        <v>19048</v>
      </c>
      <c r="W170" s="470">
        <f t="shared" si="63"/>
        <v>19833</v>
      </c>
      <c r="X170" s="470">
        <f t="shared" si="63"/>
        <v>20651</v>
      </c>
      <c r="Y170" s="470">
        <f t="shared" si="63"/>
        <v>21503</v>
      </c>
      <c r="Z170" s="470">
        <f t="shared" si="63"/>
        <v>22390</v>
      </c>
      <c r="AA170" s="470">
        <f t="shared" si="63"/>
        <v>23314</v>
      </c>
      <c r="AB170" s="470">
        <f t="shared" si="63"/>
        <v>24275</v>
      </c>
      <c r="AC170" s="470">
        <f t="shared" si="63"/>
        <v>25277</v>
      </c>
      <c r="AD170" s="470">
        <f t="shared" si="63"/>
        <v>26319</v>
      </c>
      <c r="AE170" s="470">
        <f t="shared" si="63"/>
        <v>27405</v>
      </c>
      <c r="AF170" s="470">
        <f t="shared" si="63"/>
        <v>28535</v>
      </c>
      <c r="AG170" s="470">
        <f t="shared" si="63"/>
        <v>29528</v>
      </c>
      <c r="AH170" s="470">
        <f t="shared" si="63"/>
        <v>0</v>
      </c>
      <c r="AI170" s="16">
        <f t="shared" si="63"/>
        <v>0</v>
      </c>
    </row>
    <row r="171" spans="1:35" x14ac:dyDescent="0.2">
      <c r="A171" s="465"/>
      <c r="B171" s="466"/>
      <c r="C171" s="471"/>
      <c r="D171" s="471"/>
      <c r="E171" s="471"/>
      <c r="F171" s="471"/>
      <c r="G171" s="471"/>
      <c r="H171" s="471"/>
      <c r="I171" s="471"/>
      <c r="J171" s="471"/>
      <c r="K171" s="471"/>
      <c r="L171" s="471"/>
      <c r="M171" s="471"/>
      <c r="N171" s="471"/>
      <c r="O171" s="471"/>
      <c r="P171" s="471"/>
      <c r="Q171" s="471"/>
      <c r="R171" s="471"/>
      <c r="S171" s="471"/>
      <c r="T171" s="471"/>
      <c r="U171" s="471"/>
      <c r="V171" s="471"/>
      <c r="W171" s="471"/>
      <c r="X171" s="471"/>
      <c r="Y171" s="471"/>
      <c r="Z171" s="471"/>
      <c r="AA171" s="471"/>
      <c r="AB171" s="471"/>
      <c r="AC171" s="471"/>
      <c r="AD171" s="471"/>
      <c r="AE171" s="471"/>
      <c r="AF171" s="471"/>
      <c r="AG171" s="471"/>
      <c r="AH171" s="471"/>
      <c r="AI171" s="152"/>
    </row>
    <row r="172" spans="1:35" x14ac:dyDescent="0.2">
      <c r="A172" s="465">
        <v>751</v>
      </c>
      <c r="B172" s="466" t="s">
        <v>1557</v>
      </c>
      <c r="C172" s="471"/>
      <c r="D172" s="471"/>
      <c r="E172" s="471"/>
      <c r="F172" s="471"/>
      <c r="G172" s="471"/>
      <c r="H172" s="471"/>
      <c r="I172" s="471"/>
      <c r="J172" s="471"/>
      <c r="K172" s="471"/>
      <c r="L172" s="471"/>
      <c r="M172" s="471"/>
      <c r="N172" s="471"/>
      <c r="O172" s="471"/>
      <c r="P172" s="471"/>
      <c r="Q172" s="471"/>
      <c r="R172" s="471"/>
      <c r="S172" s="471"/>
      <c r="T172" s="471"/>
      <c r="U172" s="471"/>
      <c r="V172" s="471"/>
      <c r="W172" s="471"/>
      <c r="X172" s="471"/>
      <c r="Y172" s="471"/>
      <c r="Z172" s="471"/>
      <c r="AA172" s="471"/>
      <c r="AB172" s="471"/>
      <c r="AC172" s="471"/>
      <c r="AD172" s="471"/>
      <c r="AE172" s="471"/>
      <c r="AF172" s="471"/>
      <c r="AG172" s="471"/>
      <c r="AH172" s="471"/>
      <c r="AI172" s="152"/>
    </row>
    <row r="173" spans="1:35" x14ac:dyDescent="0.2">
      <c r="A173" s="465">
        <v>5930</v>
      </c>
      <c r="B173" s="469" t="s">
        <v>1538</v>
      </c>
      <c r="C173" s="467">
        <f t="shared" ref="C173:AI173" si="64">+C142-C157</f>
        <v>6400</v>
      </c>
      <c r="D173" s="467">
        <f t="shared" si="64"/>
        <v>5456</v>
      </c>
      <c r="E173" s="467">
        <f t="shared" si="64"/>
        <v>4861</v>
      </c>
      <c r="F173" s="467">
        <f t="shared" si="64"/>
        <v>4255</v>
      </c>
      <c r="G173" s="467">
        <f t="shared" si="64"/>
        <v>3635</v>
      </c>
      <c r="H173" s="467">
        <f t="shared" si="64"/>
        <v>3004</v>
      </c>
      <c r="I173" s="467">
        <f t="shared" si="64"/>
        <v>2359</v>
      </c>
      <c r="J173" s="467">
        <f t="shared" si="64"/>
        <v>1701</v>
      </c>
      <c r="K173" s="467">
        <f t="shared" si="64"/>
        <v>1030</v>
      </c>
      <c r="L173" s="467">
        <f t="shared" si="64"/>
        <v>346</v>
      </c>
      <c r="M173" s="467">
        <f t="shared" si="64"/>
        <v>0</v>
      </c>
      <c r="N173" s="467">
        <f t="shared" si="64"/>
        <v>0</v>
      </c>
      <c r="O173" s="467">
        <f t="shared" si="64"/>
        <v>0</v>
      </c>
      <c r="P173" s="467">
        <f t="shared" si="64"/>
        <v>0</v>
      </c>
      <c r="Q173" s="467">
        <f t="shared" si="64"/>
        <v>0</v>
      </c>
      <c r="R173" s="467">
        <f t="shared" si="64"/>
        <v>0</v>
      </c>
      <c r="S173" s="467">
        <f t="shared" si="64"/>
        <v>0</v>
      </c>
      <c r="T173" s="467">
        <f t="shared" si="64"/>
        <v>0</v>
      </c>
      <c r="U173" s="467">
        <f t="shared" si="64"/>
        <v>0</v>
      </c>
      <c r="V173" s="467">
        <f t="shared" si="64"/>
        <v>0</v>
      </c>
      <c r="W173" s="467">
        <f t="shared" si="64"/>
        <v>0</v>
      </c>
      <c r="X173" s="467">
        <f t="shared" si="64"/>
        <v>0</v>
      </c>
      <c r="Y173" s="467">
        <f t="shared" si="64"/>
        <v>0</v>
      </c>
      <c r="Z173" s="467">
        <f t="shared" si="64"/>
        <v>0</v>
      </c>
      <c r="AA173" s="467">
        <f t="shared" si="64"/>
        <v>0</v>
      </c>
      <c r="AB173" s="467">
        <f t="shared" si="64"/>
        <v>0</v>
      </c>
      <c r="AC173" s="467">
        <f t="shared" si="64"/>
        <v>0</v>
      </c>
      <c r="AD173" s="467">
        <f t="shared" si="64"/>
        <v>0</v>
      </c>
      <c r="AE173" s="467">
        <f t="shared" si="64"/>
        <v>0</v>
      </c>
      <c r="AF173" s="467">
        <f t="shared" si="64"/>
        <v>0</v>
      </c>
      <c r="AG173" s="467">
        <f t="shared" si="64"/>
        <v>0</v>
      </c>
      <c r="AH173" s="467">
        <f t="shared" si="64"/>
        <v>0</v>
      </c>
      <c r="AI173" s="14">
        <f t="shared" si="64"/>
        <v>0</v>
      </c>
    </row>
    <row r="174" spans="1:35" x14ac:dyDescent="0.2">
      <c r="A174" s="465" t="s">
        <v>1559</v>
      </c>
      <c r="B174" s="469" t="s">
        <v>1560</v>
      </c>
      <c r="C174" s="467">
        <f t="shared" ref="C174:AI174" si="65">+C143-C158</f>
        <v>453</v>
      </c>
      <c r="D174" s="467">
        <f t="shared" si="65"/>
        <v>410</v>
      </c>
      <c r="E174" s="467">
        <f t="shared" si="65"/>
        <v>365</v>
      </c>
      <c r="F174" s="467">
        <f t="shared" si="65"/>
        <v>319</v>
      </c>
      <c r="G174" s="467">
        <f t="shared" si="65"/>
        <v>273</v>
      </c>
      <c r="H174" s="467">
        <f t="shared" si="65"/>
        <v>226</v>
      </c>
      <c r="I174" s="467">
        <f t="shared" si="65"/>
        <v>177</v>
      </c>
      <c r="J174" s="467">
        <f t="shared" si="65"/>
        <v>128</v>
      </c>
      <c r="K174" s="467">
        <f t="shared" si="65"/>
        <v>77</v>
      </c>
      <c r="L174" s="467">
        <f t="shared" si="65"/>
        <v>266</v>
      </c>
      <c r="M174" s="467">
        <f t="shared" si="65"/>
        <v>0</v>
      </c>
      <c r="N174" s="467">
        <f t="shared" si="65"/>
        <v>0</v>
      </c>
      <c r="O174" s="467">
        <f t="shared" si="65"/>
        <v>0</v>
      </c>
      <c r="P174" s="467">
        <f t="shared" si="65"/>
        <v>0</v>
      </c>
      <c r="Q174" s="467">
        <f t="shared" si="65"/>
        <v>0</v>
      </c>
      <c r="R174" s="467">
        <f t="shared" si="65"/>
        <v>0</v>
      </c>
      <c r="S174" s="467">
        <f t="shared" si="65"/>
        <v>0</v>
      </c>
      <c r="T174" s="467">
        <f t="shared" si="65"/>
        <v>0</v>
      </c>
      <c r="U174" s="467">
        <f t="shared" si="65"/>
        <v>0</v>
      </c>
      <c r="V174" s="467">
        <f t="shared" si="65"/>
        <v>0</v>
      </c>
      <c r="W174" s="467">
        <f t="shared" si="65"/>
        <v>0</v>
      </c>
      <c r="X174" s="467">
        <f t="shared" si="65"/>
        <v>0</v>
      </c>
      <c r="Y174" s="467">
        <f t="shared" si="65"/>
        <v>0</v>
      </c>
      <c r="Z174" s="467">
        <f t="shared" si="65"/>
        <v>0</v>
      </c>
      <c r="AA174" s="467">
        <f t="shared" si="65"/>
        <v>0</v>
      </c>
      <c r="AB174" s="467">
        <f t="shared" si="65"/>
        <v>0</v>
      </c>
      <c r="AC174" s="467">
        <f t="shared" si="65"/>
        <v>0</v>
      </c>
      <c r="AD174" s="467">
        <f t="shared" si="65"/>
        <v>0</v>
      </c>
      <c r="AE174" s="467">
        <f t="shared" si="65"/>
        <v>0</v>
      </c>
      <c r="AF174" s="467">
        <f t="shared" si="65"/>
        <v>0</v>
      </c>
      <c r="AG174" s="467">
        <f t="shared" si="65"/>
        <v>0</v>
      </c>
      <c r="AH174" s="467">
        <f t="shared" si="65"/>
        <v>0</v>
      </c>
      <c r="AI174" s="14">
        <f t="shared" si="65"/>
        <v>0</v>
      </c>
    </row>
    <row r="175" spans="1:35" x14ac:dyDescent="0.2">
      <c r="A175" s="465">
        <v>5931</v>
      </c>
      <c r="B175" s="469" t="s">
        <v>1539</v>
      </c>
      <c r="C175" s="467">
        <f t="shared" ref="C175:AI175" si="66">+C144-C159</f>
        <v>21081</v>
      </c>
      <c r="D175" s="467">
        <f t="shared" si="66"/>
        <v>20202</v>
      </c>
      <c r="E175" s="467">
        <f t="shared" si="66"/>
        <v>19381</v>
      </c>
      <c r="F175" s="467">
        <f t="shared" si="66"/>
        <v>18540</v>
      </c>
      <c r="G175" s="467">
        <f t="shared" si="66"/>
        <v>17678</v>
      </c>
      <c r="H175" s="467">
        <f t="shared" si="66"/>
        <v>16795</v>
      </c>
      <c r="I175" s="467">
        <f t="shared" si="66"/>
        <v>15890</v>
      </c>
      <c r="J175" s="467">
        <f t="shared" si="66"/>
        <v>14964</v>
      </c>
      <c r="K175" s="467">
        <f t="shared" si="66"/>
        <v>14015</v>
      </c>
      <c r="L175" s="467">
        <f t="shared" si="66"/>
        <v>13042</v>
      </c>
      <c r="M175" s="467">
        <f t="shared" si="66"/>
        <v>12046</v>
      </c>
      <c r="N175" s="467">
        <f t="shared" si="66"/>
        <v>11026</v>
      </c>
      <c r="O175" s="467">
        <f t="shared" si="66"/>
        <v>9980</v>
      </c>
      <c r="P175" s="467">
        <f t="shared" si="66"/>
        <v>8909</v>
      </c>
      <c r="Q175" s="467">
        <f t="shared" si="66"/>
        <v>7812</v>
      </c>
      <c r="R175" s="467">
        <f t="shared" si="66"/>
        <v>6688</v>
      </c>
      <c r="S175" s="467">
        <f t="shared" si="66"/>
        <v>5536</v>
      </c>
      <c r="T175" s="467">
        <f t="shared" si="66"/>
        <v>4357</v>
      </c>
      <c r="U175" s="467">
        <f t="shared" si="66"/>
        <v>3148</v>
      </c>
      <c r="V175" s="467">
        <f t="shared" si="66"/>
        <v>1910</v>
      </c>
      <c r="W175" s="467">
        <f t="shared" si="66"/>
        <v>642</v>
      </c>
      <c r="X175" s="467">
        <f t="shared" si="66"/>
        <v>0</v>
      </c>
      <c r="Y175" s="467">
        <f t="shared" si="66"/>
        <v>0</v>
      </c>
      <c r="Z175" s="467">
        <f t="shared" si="66"/>
        <v>0</v>
      </c>
      <c r="AA175" s="467">
        <f t="shared" si="66"/>
        <v>0</v>
      </c>
      <c r="AB175" s="467">
        <f t="shared" si="66"/>
        <v>0</v>
      </c>
      <c r="AC175" s="467">
        <f t="shared" si="66"/>
        <v>0</v>
      </c>
      <c r="AD175" s="467">
        <f t="shared" si="66"/>
        <v>0</v>
      </c>
      <c r="AE175" s="467">
        <f t="shared" si="66"/>
        <v>0</v>
      </c>
      <c r="AF175" s="467">
        <f t="shared" si="66"/>
        <v>0</v>
      </c>
      <c r="AG175" s="467">
        <f t="shared" si="66"/>
        <v>0</v>
      </c>
      <c r="AH175" s="467">
        <f t="shared" si="66"/>
        <v>0</v>
      </c>
      <c r="AI175" s="14">
        <f t="shared" si="66"/>
        <v>0</v>
      </c>
    </row>
    <row r="176" spans="1:35" x14ac:dyDescent="0.2">
      <c r="A176" s="465" t="s">
        <v>1561</v>
      </c>
      <c r="B176" s="469" t="s">
        <v>1562</v>
      </c>
      <c r="C176" s="467">
        <f t="shared" ref="C176:AI176" si="67">+C145-C160</f>
        <v>1306</v>
      </c>
      <c r="D176" s="467">
        <f t="shared" si="67"/>
        <v>1256</v>
      </c>
      <c r="E176" s="467">
        <f t="shared" si="67"/>
        <v>1205</v>
      </c>
      <c r="F176" s="467">
        <f t="shared" si="67"/>
        <v>1152</v>
      </c>
      <c r="G176" s="467">
        <f t="shared" si="67"/>
        <v>1099</v>
      </c>
      <c r="H176" s="467">
        <f t="shared" si="67"/>
        <v>1044</v>
      </c>
      <c r="I176" s="467">
        <f t="shared" si="67"/>
        <v>988</v>
      </c>
      <c r="J176" s="467">
        <f t="shared" si="67"/>
        <v>870</v>
      </c>
      <c r="K176" s="467">
        <f t="shared" si="67"/>
        <v>871</v>
      </c>
      <c r="L176" s="467">
        <f t="shared" si="67"/>
        <v>811</v>
      </c>
      <c r="M176" s="467">
        <f t="shared" si="67"/>
        <v>749</v>
      </c>
      <c r="N176" s="467">
        <f t="shared" si="67"/>
        <v>685</v>
      </c>
      <c r="O176" s="467">
        <f t="shared" si="67"/>
        <v>620</v>
      </c>
      <c r="P176" s="467">
        <f t="shared" si="67"/>
        <v>554</v>
      </c>
      <c r="Q176" s="467">
        <f t="shared" si="67"/>
        <v>485</v>
      </c>
      <c r="R176" s="467">
        <f t="shared" si="67"/>
        <v>416</v>
      </c>
      <c r="S176" s="467">
        <f t="shared" si="67"/>
        <v>344</v>
      </c>
      <c r="T176" s="467">
        <f t="shared" si="67"/>
        <v>271</v>
      </c>
      <c r="U176" s="467">
        <f t="shared" si="67"/>
        <v>196</v>
      </c>
      <c r="V176" s="467">
        <f t="shared" si="67"/>
        <v>119</v>
      </c>
      <c r="W176" s="467">
        <f t="shared" si="67"/>
        <v>40</v>
      </c>
      <c r="X176" s="467">
        <f t="shared" si="67"/>
        <v>0</v>
      </c>
      <c r="Y176" s="467">
        <f t="shared" si="67"/>
        <v>0</v>
      </c>
      <c r="Z176" s="467">
        <f t="shared" si="67"/>
        <v>0</v>
      </c>
      <c r="AA176" s="467">
        <f t="shared" si="67"/>
        <v>0</v>
      </c>
      <c r="AB176" s="467">
        <f t="shared" si="67"/>
        <v>0</v>
      </c>
      <c r="AC176" s="467">
        <f t="shared" si="67"/>
        <v>0</v>
      </c>
      <c r="AD176" s="467">
        <f t="shared" si="67"/>
        <v>0</v>
      </c>
      <c r="AE176" s="467">
        <f t="shared" si="67"/>
        <v>0</v>
      </c>
      <c r="AF176" s="467">
        <f t="shared" si="67"/>
        <v>0</v>
      </c>
      <c r="AG176" s="467">
        <f t="shared" si="67"/>
        <v>0</v>
      </c>
      <c r="AH176" s="467">
        <f t="shared" si="67"/>
        <v>0</v>
      </c>
      <c r="AI176" s="14">
        <f t="shared" si="67"/>
        <v>0</v>
      </c>
    </row>
    <row r="177" spans="1:35" x14ac:dyDescent="0.2">
      <c r="A177" s="465">
        <v>5932</v>
      </c>
      <c r="B177" s="469" t="s">
        <v>1540</v>
      </c>
      <c r="C177" s="467">
        <f t="shared" ref="C177:AI177" si="68">+C146-C161</f>
        <v>23789</v>
      </c>
      <c r="D177" s="467">
        <f t="shared" si="68"/>
        <v>23366</v>
      </c>
      <c r="E177" s="467">
        <f t="shared" si="68"/>
        <v>22925</v>
      </c>
      <c r="F177" s="467">
        <f t="shared" si="68"/>
        <v>22465</v>
      </c>
      <c r="G177" s="467">
        <f t="shared" si="68"/>
        <v>21983</v>
      </c>
      <c r="H177" s="467">
        <f t="shared" si="68"/>
        <v>21482</v>
      </c>
      <c r="I177" s="467">
        <f t="shared" si="68"/>
        <v>20958</v>
      </c>
      <c r="J177" s="467">
        <f t="shared" si="68"/>
        <v>20411</v>
      </c>
      <c r="K177" s="467">
        <f t="shared" si="68"/>
        <v>19841</v>
      </c>
      <c r="L177" s="467">
        <f t="shared" si="68"/>
        <v>19245</v>
      </c>
      <c r="M177" s="467">
        <f t="shared" si="68"/>
        <v>18623</v>
      </c>
      <c r="N177" s="467">
        <f t="shared" si="68"/>
        <v>17974</v>
      </c>
      <c r="O177" s="467">
        <f t="shared" si="68"/>
        <v>17297</v>
      </c>
      <c r="P177" s="467">
        <f t="shared" si="68"/>
        <v>16590</v>
      </c>
      <c r="Q177" s="467">
        <f t="shared" si="68"/>
        <v>15853</v>
      </c>
      <c r="R177" s="467">
        <f t="shared" si="68"/>
        <v>15082</v>
      </c>
      <c r="S177" s="467">
        <f t="shared" si="68"/>
        <v>14279</v>
      </c>
      <c r="T177" s="467">
        <f t="shared" si="68"/>
        <v>13439</v>
      </c>
      <c r="U177" s="467">
        <f t="shared" si="68"/>
        <v>12564</v>
      </c>
      <c r="V177" s="467">
        <f t="shared" si="68"/>
        <v>11650</v>
      </c>
      <c r="W177" s="467">
        <f t="shared" si="68"/>
        <v>10696</v>
      </c>
      <c r="X177" s="467">
        <f t="shared" si="68"/>
        <v>9700</v>
      </c>
      <c r="Y177" s="467">
        <f t="shared" si="68"/>
        <v>8661</v>
      </c>
      <c r="Z177" s="467">
        <f t="shared" si="68"/>
        <v>7577</v>
      </c>
      <c r="AA177" s="467">
        <f t="shared" si="68"/>
        <v>6445</v>
      </c>
      <c r="AB177" s="467">
        <f t="shared" si="68"/>
        <v>5263</v>
      </c>
      <c r="AC177" s="467">
        <f t="shared" si="68"/>
        <v>4029</v>
      </c>
      <c r="AD177" s="467">
        <f t="shared" si="68"/>
        <v>2742</v>
      </c>
      <c r="AE177" s="467">
        <f t="shared" si="68"/>
        <v>1398</v>
      </c>
      <c r="AF177" s="467">
        <f t="shared" si="68"/>
        <v>0</v>
      </c>
      <c r="AG177" s="467">
        <f t="shared" si="68"/>
        <v>0</v>
      </c>
      <c r="AH177" s="467">
        <f t="shared" si="68"/>
        <v>0</v>
      </c>
      <c r="AI177" s="14">
        <f t="shared" si="68"/>
        <v>0</v>
      </c>
    </row>
    <row r="178" spans="1:35" ht="13.5" thickBot="1" x14ac:dyDescent="0.25">
      <c r="A178" s="465">
        <v>5933</v>
      </c>
      <c r="B178" s="469" t="s">
        <v>1541</v>
      </c>
      <c r="C178" s="470">
        <f t="shared" ref="C178:AI178" si="69">+C147-C162</f>
        <v>22094</v>
      </c>
      <c r="D178" s="470">
        <f t="shared" si="69"/>
        <v>21729</v>
      </c>
      <c r="E178" s="470">
        <f t="shared" si="69"/>
        <v>21350</v>
      </c>
      <c r="F178" s="470">
        <f t="shared" si="69"/>
        <v>20954</v>
      </c>
      <c r="G178" s="470">
        <f t="shared" si="69"/>
        <v>20543</v>
      </c>
      <c r="H178" s="470">
        <f t="shared" si="69"/>
        <v>20114</v>
      </c>
      <c r="I178" s="470">
        <f t="shared" si="69"/>
        <v>19669</v>
      </c>
      <c r="J178" s="470">
        <f t="shared" si="69"/>
        <v>19204</v>
      </c>
      <c r="K178" s="470">
        <f t="shared" si="69"/>
        <v>18720</v>
      </c>
      <c r="L178" s="470">
        <f t="shared" si="69"/>
        <v>18217</v>
      </c>
      <c r="M178" s="470">
        <f t="shared" si="69"/>
        <v>17692</v>
      </c>
      <c r="N178" s="470">
        <f t="shared" si="69"/>
        <v>17146</v>
      </c>
      <c r="O178" s="470">
        <f t="shared" si="69"/>
        <v>16577</v>
      </c>
      <c r="P178" s="470">
        <f t="shared" si="69"/>
        <v>15985</v>
      </c>
      <c r="Q178" s="470">
        <f t="shared" si="69"/>
        <v>15369</v>
      </c>
      <c r="R178" s="470">
        <f t="shared" si="69"/>
        <v>14727</v>
      </c>
      <c r="S178" s="470">
        <f t="shared" si="69"/>
        <v>14059</v>
      </c>
      <c r="T178" s="470">
        <f t="shared" si="69"/>
        <v>13363</v>
      </c>
      <c r="U178" s="470">
        <f t="shared" si="69"/>
        <v>12638</v>
      </c>
      <c r="V178" s="470">
        <f t="shared" si="69"/>
        <v>11883</v>
      </c>
      <c r="W178" s="470">
        <f t="shared" si="69"/>
        <v>11098</v>
      </c>
      <c r="X178" s="470">
        <f t="shared" si="69"/>
        <v>10280</v>
      </c>
      <c r="Y178" s="470">
        <f t="shared" si="69"/>
        <v>9428</v>
      </c>
      <c r="Z178" s="470">
        <f t="shared" si="69"/>
        <v>8540</v>
      </c>
      <c r="AA178" s="470">
        <f t="shared" si="69"/>
        <v>7617</v>
      </c>
      <c r="AB178" s="470">
        <f t="shared" si="69"/>
        <v>6655</v>
      </c>
      <c r="AC178" s="470">
        <f t="shared" si="69"/>
        <v>5654</v>
      </c>
      <c r="AD178" s="470">
        <f t="shared" si="69"/>
        <v>4612</v>
      </c>
      <c r="AE178" s="470">
        <f t="shared" si="69"/>
        <v>3526</v>
      </c>
      <c r="AF178" s="470">
        <f t="shared" si="69"/>
        <v>2395</v>
      </c>
      <c r="AG178" s="470">
        <f t="shared" si="69"/>
        <v>1218</v>
      </c>
      <c r="AH178" s="470">
        <f t="shared" si="69"/>
        <v>0</v>
      </c>
      <c r="AI178" s="16">
        <f t="shared" si="69"/>
        <v>0</v>
      </c>
    </row>
    <row r="179" spans="1:35" x14ac:dyDescent="0.2">
      <c r="A179" s="465"/>
      <c r="B179" s="466"/>
      <c r="C179" s="464"/>
      <c r="D179" s="464"/>
      <c r="E179" s="464"/>
      <c r="F179" s="464"/>
      <c r="G179" s="464"/>
      <c r="H179" s="464"/>
      <c r="I179" s="464"/>
      <c r="J179" s="464"/>
      <c r="K179" s="464"/>
      <c r="L179" s="464"/>
      <c r="M179" s="464"/>
      <c r="N179" s="464"/>
      <c r="O179" s="464"/>
      <c r="P179" s="464"/>
      <c r="Q179" s="464"/>
      <c r="R179" s="464"/>
      <c r="S179" s="464"/>
      <c r="T179" s="464"/>
      <c r="U179" s="464"/>
      <c r="V179" s="464"/>
      <c r="W179" s="464"/>
      <c r="X179" s="464"/>
      <c r="Y179" s="464"/>
      <c r="Z179" s="464"/>
      <c r="AA179" s="464"/>
      <c r="AB179" s="464"/>
      <c r="AC179" s="464"/>
      <c r="AD179" s="464"/>
      <c r="AE179" s="464"/>
      <c r="AF179" s="464"/>
      <c r="AG179" s="464"/>
      <c r="AH179" s="464"/>
      <c r="AI179" s="19"/>
    </row>
    <row r="180" spans="1:35" x14ac:dyDescent="0.2">
      <c r="A180" s="4"/>
      <c r="B180" s="4"/>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row>
    <row r="206" spans="2:35" x14ac:dyDescent="0.2">
      <c r="B206" t="s">
        <v>1954</v>
      </c>
      <c r="C206" s="2" t="e">
        <f>+#REF!</f>
        <v>#REF!</v>
      </c>
      <c r="D206" s="2" t="e">
        <f>+#REF!</f>
        <v>#REF!</v>
      </c>
      <c r="E206" s="2" t="e">
        <f>+#REF!</f>
        <v>#REF!</v>
      </c>
      <c r="F206" s="2" t="e">
        <f>+#REF!</f>
        <v>#REF!</v>
      </c>
      <c r="G206" s="2" t="e">
        <f>+#REF!</f>
        <v>#REF!</v>
      </c>
      <c r="H206" s="2" t="e">
        <f>+#REF!</f>
        <v>#REF!</v>
      </c>
      <c r="I206" s="2" t="e">
        <f>+#REF!</f>
        <v>#REF!</v>
      </c>
      <c r="J206" s="2" t="e">
        <f>+#REF!</f>
        <v>#REF!</v>
      </c>
      <c r="K206" s="2" t="e">
        <f>+#REF!</f>
        <v>#REF!</v>
      </c>
      <c r="L206" s="2" t="e">
        <f>+#REF!</f>
        <v>#REF!</v>
      </c>
      <c r="M206" s="2" t="e">
        <f>+#REF!</f>
        <v>#REF!</v>
      </c>
      <c r="N206" s="2" t="e">
        <f>+#REF!</f>
        <v>#REF!</v>
      </c>
      <c r="O206" s="2" t="e">
        <f>+#REF!</f>
        <v>#REF!</v>
      </c>
      <c r="P206" s="2" t="e">
        <f>+#REF!</f>
        <v>#REF!</v>
      </c>
      <c r="Q206" s="2" t="e">
        <f>+#REF!</f>
        <v>#REF!</v>
      </c>
      <c r="R206" s="2" t="e">
        <f>+#REF!</f>
        <v>#REF!</v>
      </c>
      <c r="S206" s="2" t="e">
        <f>+#REF!</f>
        <v>#REF!</v>
      </c>
      <c r="T206" s="2" t="e">
        <f>+#REF!</f>
        <v>#REF!</v>
      </c>
      <c r="U206" s="2" t="e">
        <f>+#REF!</f>
        <v>#REF!</v>
      </c>
      <c r="V206" s="2" t="e">
        <f>+#REF!</f>
        <v>#REF!</v>
      </c>
      <c r="W206" s="2" t="e">
        <f>+#REF!</f>
        <v>#REF!</v>
      </c>
      <c r="X206" s="2" t="e">
        <f>+#REF!</f>
        <v>#REF!</v>
      </c>
      <c r="Y206" s="2" t="e">
        <f>+#REF!</f>
        <v>#REF!</v>
      </c>
      <c r="Z206" s="2" t="e">
        <f>+#REF!</f>
        <v>#REF!</v>
      </c>
      <c r="AA206" s="2" t="e">
        <f>+#REF!</f>
        <v>#REF!</v>
      </c>
      <c r="AB206" s="2" t="e">
        <f>+#REF!</f>
        <v>#REF!</v>
      </c>
      <c r="AC206" s="2" t="e">
        <f>+#REF!</f>
        <v>#REF!</v>
      </c>
      <c r="AD206" s="2" t="e">
        <f>+#REF!</f>
        <v>#REF!</v>
      </c>
      <c r="AE206" s="2" t="e">
        <f>+#REF!</f>
        <v>#REF!</v>
      </c>
      <c r="AF206" s="2" t="e">
        <f>+#REF!</f>
        <v>#REF!</v>
      </c>
      <c r="AG206" s="2" t="e">
        <f>+#REF!</f>
        <v>#REF!</v>
      </c>
      <c r="AH206" s="2" t="e">
        <f>+#REF!</f>
        <v>#REF!</v>
      </c>
      <c r="AI206" s="2" t="e">
        <f>+#REF!</f>
        <v>#REF!</v>
      </c>
    </row>
    <row r="207" spans="2:35" ht="15" x14ac:dyDescent="0.35">
      <c r="B207" t="s">
        <v>1956</v>
      </c>
      <c r="C207" s="305" t="e">
        <f>+#REF!</f>
        <v>#REF!</v>
      </c>
      <c r="D207" s="305" t="e">
        <f>+#REF!</f>
        <v>#REF!</v>
      </c>
      <c r="E207" s="305" t="e">
        <f>+#REF!</f>
        <v>#REF!</v>
      </c>
      <c r="F207" s="305" t="e">
        <f>+#REF!</f>
        <v>#REF!</v>
      </c>
      <c r="G207" s="305" t="e">
        <f>+#REF!</f>
        <v>#REF!</v>
      </c>
      <c r="H207" s="305" t="e">
        <f>+#REF!</f>
        <v>#REF!</v>
      </c>
      <c r="I207" s="305" t="e">
        <f>+#REF!</f>
        <v>#REF!</v>
      </c>
      <c r="J207" s="305" t="e">
        <f>+#REF!</f>
        <v>#REF!</v>
      </c>
      <c r="K207" s="305" t="e">
        <f>+#REF!</f>
        <v>#REF!</v>
      </c>
      <c r="L207" s="305" t="e">
        <f>+#REF!</f>
        <v>#REF!</v>
      </c>
      <c r="M207" s="305" t="e">
        <f>+#REF!</f>
        <v>#REF!</v>
      </c>
      <c r="N207" s="305" t="e">
        <f>+#REF!</f>
        <v>#REF!</v>
      </c>
      <c r="O207" s="305" t="e">
        <f>+#REF!</f>
        <v>#REF!</v>
      </c>
      <c r="P207" s="305" t="e">
        <f>+#REF!</f>
        <v>#REF!</v>
      </c>
      <c r="Q207" s="305" t="e">
        <f>+#REF!</f>
        <v>#REF!</v>
      </c>
      <c r="R207" s="305" t="e">
        <f>+#REF!</f>
        <v>#REF!</v>
      </c>
      <c r="S207" s="305" t="e">
        <f>+#REF!</f>
        <v>#REF!</v>
      </c>
      <c r="T207" s="305" t="e">
        <f>+#REF!</f>
        <v>#REF!</v>
      </c>
      <c r="U207" s="305" t="e">
        <f>+#REF!</f>
        <v>#REF!</v>
      </c>
      <c r="V207" s="305" t="e">
        <f>+#REF!</f>
        <v>#REF!</v>
      </c>
      <c r="W207" s="305" t="e">
        <f>+#REF!</f>
        <v>#REF!</v>
      </c>
      <c r="X207" s="305" t="e">
        <f>+#REF!</f>
        <v>#REF!</v>
      </c>
      <c r="Y207" s="305" t="e">
        <f>+#REF!</f>
        <v>#REF!</v>
      </c>
      <c r="Z207" s="305" t="e">
        <f>+#REF!</f>
        <v>#REF!</v>
      </c>
      <c r="AA207" s="305" t="e">
        <f>+#REF!</f>
        <v>#REF!</v>
      </c>
      <c r="AB207" s="305" t="e">
        <f>+#REF!</f>
        <v>#REF!</v>
      </c>
      <c r="AC207" s="305" t="e">
        <f>+#REF!</f>
        <v>#REF!</v>
      </c>
      <c r="AD207" s="305" t="e">
        <f>+#REF!</f>
        <v>#REF!</v>
      </c>
      <c r="AE207" s="305" t="e">
        <f>+#REF!</f>
        <v>#REF!</v>
      </c>
      <c r="AF207" s="305" t="e">
        <f>+#REF!</f>
        <v>#REF!</v>
      </c>
      <c r="AG207" s="305" t="e">
        <f>+#REF!</f>
        <v>#REF!</v>
      </c>
      <c r="AH207" s="305" t="e">
        <f>+#REF!</f>
        <v>#REF!</v>
      </c>
      <c r="AI207" s="305" t="e">
        <f>+#REF!</f>
        <v>#REF!</v>
      </c>
    </row>
    <row r="208" spans="2:35" x14ac:dyDescent="0.2">
      <c r="B208" t="s">
        <v>1958</v>
      </c>
      <c r="C208" s="2" t="e">
        <f t="shared" ref="C208:AI208" si="70">SUM(C206:C207)</f>
        <v>#REF!</v>
      </c>
      <c r="D208" s="2" t="e">
        <f t="shared" si="70"/>
        <v>#REF!</v>
      </c>
      <c r="E208" s="2" t="e">
        <f t="shared" si="70"/>
        <v>#REF!</v>
      </c>
      <c r="F208" s="2" t="e">
        <f t="shared" si="70"/>
        <v>#REF!</v>
      </c>
      <c r="G208" s="2" t="e">
        <f t="shared" si="70"/>
        <v>#REF!</v>
      </c>
      <c r="H208" s="2" t="e">
        <f t="shared" si="70"/>
        <v>#REF!</v>
      </c>
      <c r="I208" s="2" t="e">
        <f t="shared" si="70"/>
        <v>#REF!</v>
      </c>
      <c r="J208" s="2" t="e">
        <f t="shared" si="70"/>
        <v>#REF!</v>
      </c>
      <c r="K208" s="2" t="e">
        <f t="shared" si="70"/>
        <v>#REF!</v>
      </c>
      <c r="L208" s="2" t="e">
        <f t="shared" si="70"/>
        <v>#REF!</v>
      </c>
      <c r="M208" s="2" t="e">
        <f t="shared" si="70"/>
        <v>#REF!</v>
      </c>
      <c r="N208" s="2" t="e">
        <f t="shared" si="70"/>
        <v>#REF!</v>
      </c>
      <c r="O208" s="2" t="e">
        <f t="shared" si="70"/>
        <v>#REF!</v>
      </c>
      <c r="P208" s="2" t="e">
        <f t="shared" si="70"/>
        <v>#REF!</v>
      </c>
      <c r="Q208" s="2" t="e">
        <f t="shared" si="70"/>
        <v>#REF!</v>
      </c>
      <c r="R208" s="2" t="e">
        <f t="shared" si="70"/>
        <v>#REF!</v>
      </c>
      <c r="S208" s="2" t="e">
        <f t="shared" si="70"/>
        <v>#REF!</v>
      </c>
      <c r="T208" s="2" t="e">
        <f t="shared" si="70"/>
        <v>#REF!</v>
      </c>
      <c r="U208" s="2" t="e">
        <f t="shared" si="70"/>
        <v>#REF!</v>
      </c>
      <c r="V208" s="2" t="e">
        <f t="shared" si="70"/>
        <v>#REF!</v>
      </c>
      <c r="W208" s="2" t="e">
        <f t="shared" si="70"/>
        <v>#REF!</v>
      </c>
      <c r="X208" s="2" t="e">
        <f t="shared" si="70"/>
        <v>#REF!</v>
      </c>
      <c r="Y208" s="2" t="e">
        <f t="shared" si="70"/>
        <v>#REF!</v>
      </c>
      <c r="Z208" s="2" t="e">
        <f t="shared" si="70"/>
        <v>#REF!</v>
      </c>
      <c r="AA208" s="2" t="e">
        <f t="shared" si="70"/>
        <v>#REF!</v>
      </c>
      <c r="AB208" s="2" t="e">
        <f t="shared" si="70"/>
        <v>#REF!</v>
      </c>
      <c r="AC208" s="2" t="e">
        <f t="shared" si="70"/>
        <v>#REF!</v>
      </c>
      <c r="AD208" s="2" t="e">
        <f t="shared" si="70"/>
        <v>#REF!</v>
      </c>
      <c r="AE208" s="2" t="e">
        <f t="shared" si="70"/>
        <v>#REF!</v>
      </c>
      <c r="AF208" s="2" t="e">
        <f t="shared" si="70"/>
        <v>#REF!</v>
      </c>
      <c r="AG208" s="2" t="e">
        <f t="shared" si="70"/>
        <v>#REF!</v>
      </c>
      <c r="AH208" s="2" t="e">
        <f t="shared" si="70"/>
        <v>#REF!</v>
      </c>
      <c r="AI208" s="2" t="e">
        <f t="shared" si="70"/>
        <v>#REF!</v>
      </c>
    </row>
    <row r="210" spans="2:35" x14ac:dyDescent="0.2">
      <c r="B210" s="220" t="s">
        <v>1959</v>
      </c>
      <c r="C210" s="2" t="e">
        <f>+C208-#REF!</f>
        <v>#REF!</v>
      </c>
      <c r="D210" s="2" t="e">
        <f>+D208-#REF!</f>
        <v>#REF!</v>
      </c>
      <c r="E210" s="2" t="e">
        <f>+E208-#REF!</f>
        <v>#REF!</v>
      </c>
      <c r="F210" s="2" t="e">
        <f>+F208-#REF!</f>
        <v>#REF!</v>
      </c>
      <c r="G210" s="2" t="e">
        <f>+G208-#REF!</f>
        <v>#REF!</v>
      </c>
      <c r="H210" s="2" t="e">
        <f>+H208-#REF!</f>
        <v>#REF!</v>
      </c>
      <c r="I210" s="2" t="e">
        <f>+I208-#REF!</f>
        <v>#REF!</v>
      </c>
      <c r="J210" s="2" t="e">
        <f>+J208-#REF!</f>
        <v>#REF!</v>
      </c>
      <c r="K210" s="2" t="e">
        <f>+K208-#REF!</f>
        <v>#REF!</v>
      </c>
      <c r="L210" s="2" t="e">
        <f>+L208-#REF!</f>
        <v>#REF!</v>
      </c>
      <c r="M210" s="2" t="e">
        <f>+M208-#REF!</f>
        <v>#REF!</v>
      </c>
      <c r="N210" s="2" t="e">
        <f>+N208-#REF!</f>
        <v>#REF!</v>
      </c>
      <c r="O210" s="2" t="e">
        <f>+O208-#REF!</f>
        <v>#REF!</v>
      </c>
      <c r="P210" s="2" t="e">
        <f>+P208-#REF!</f>
        <v>#REF!</v>
      </c>
      <c r="Q210" s="2" t="e">
        <f>+Q208-#REF!</f>
        <v>#REF!</v>
      </c>
      <c r="R210" s="2" t="e">
        <f>+R208-#REF!</f>
        <v>#REF!</v>
      </c>
      <c r="S210" s="2" t="e">
        <f>+S208-#REF!</f>
        <v>#REF!</v>
      </c>
      <c r="T210" s="2" t="e">
        <f>+T208-#REF!</f>
        <v>#REF!</v>
      </c>
      <c r="U210" s="2" t="e">
        <f>+U208-#REF!</f>
        <v>#REF!</v>
      </c>
      <c r="V210" s="2" t="e">
        <f>+V208-#REF!</f>
        <v>#REF!</v>
      </c>
      <c r="W210" s="2" t="e">
        <f>+W208-#REF!</f>
        <v>#REF!</v>
      </c>
      <c r="X210" s="2" t="e">
        <f>+X208-#REF!</f>
        <v>#REF!</v>
      </c>
      <c r="Y210" s="2" t="e">
        <f>+Y208-#REF!</f>
        <v>#REF!</v>
      </c>
      <c r="Z210" s="2" t="e">
        <f>+Z208-#REF!</f>
        <v>#REF!</v>
      </c>
      <c r="AA210" s="2" t="e">
        <f>+AA208-#REF!</f>
        <v>#REF!</v>
      </c>
      <c r="AB210" s="2" t="e">
        <f>+AB208-#REF!</f>
        <v>#REF!</v>
      </c>
      <c r="AC210" s="2" t="e">
        <f>+AC208-#REF!</f>
        <v>#REF!</v>
      </c>
      <c r="AD210" s="2" t="e">
        <f>+AD208-#REF!</f>
        <v>#REF!</v>
      </c>
      <c r="AE210" s="2" t="e">
        <f>+AE208-#REF!</f>
        <v>#REF!</v>
      </c>
      <c r="AF210" s="2" t="e">
        <f>+AF208-#REF!</f>
        <v>#REF!</v>
      </c>
      <c r="AG210" s="2" t="e">
        <f>+AG208-#REF!</f>
        <v>#REF!</v>
      </c>
      <c r="AH210" s="2" t="e">
        <f>+AH208-#REF!</f>
        <v>#REF!</v>
      </c>
      <c r="AI210" s="2" t="e">
        <f>+AI208-#REF!</f>
        <v>#REF!</v>
      </c>
    </row>
  </sheetData>
  <hyperlinks>
    <hyperlink ref="A1" location="'Table of Contents'!A1" display="TOC" xr:uid="{00000000-0004-0000-4500-000000000000}"/>
  </hyperlinks>
  <pageMargins left="0.7" right="0.7" top="0.75" bottom="0.75" header="0.3" footer="0.3"/>
  <pageSetup orientation="portrait" r:id="rId1"/>
  <headerFooter>
    <oddFooter>&amp;L&amp;D &amp;T&amp;C&amp;F&amp;R&amp;A &amp;P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92D050"/>
  </sheetPr>
  <dimension ref="A1:J62"/>
  <sheetViews>
    <sheetView workbookViewId="0">
      <selection sqref="A1:A1048576"/>
    </sheetView>
  </sheetViews>
  <sheetFormatPr defaultRowHeight="12.75" x14ac:dyDescent="0.2"/>
  <cols>
    <col min="1" max="1" width="9.33203125" style="783" customWidth="1"/>
    <col min="2" max="2" width="11.33203125" customWidth="1"/>
    <col min="3" max="3" width="11" customWidth="1"/>
    <col min="5" max="5" width="11.5" bestFit="1" customWidth="1"/>
  </cols>
  <sheetData>
    <row r="1" spans="1:10" x14ac:dyDescent="0.2">
      <c r="A1" s="783" t="s">
        <v>1981</v>
      </c>
      <c r="B1" s="2"/>
      <c r="H1" s="308" t="s">
        <v>197</v>
      </c>
    </row>
    <row r="2" spans="1:10" x14ac:dyDescent="0.2">
      <c r="B2" s="2"/>
      <c r="C2" t="s">
        <v>1982</v>
      </c>
    </row>
    <row r="3" spans="1:10" x14ac:dyDescent="0.2">
      <c r="A3" s="827"/>
      <c r="B3" s="3"/>
      <c r="C3" s="363">
        <v>0.9</v>
      </c>
      <c r="D3" s="363">
        <v>0.75</v>
      </c>
      <c r="E3" s="363">
        <v>0.67</v>
      </c>
      <c r="F3" s="363">
        <v>0.5</v>
      </c>
      <c r="G3" s="363">
        <v>0.25</v>
      </c>
      <c r="H3" s="125">
        <v>0</v>
      </c>
    </row>
    <row r="4" spans="1:10" x14ac:dyDescent="0.2">
      <c r="A4" s="827" t="s">
        <v>1983</v>
      </c>
      <c r="B4" s="3" t="s">
        <v>1984</v>
      </c>
      <c r="C4" t="s">
        <v>1985</v>
      </c>
      <c r="J4" s="220"/>
    </row>
    <row r="5" spans="1:10" x14ac:dyDescent="0.2">
      <c r="A5" s="1043" t="s">
        <v>1986</v>
      </c>
      <c r="B5" s="364" t="s">
        <v>1987</v>
      </c>
      <c r="C5" s="365">
        <v>0.1</v>
      </c>
      <c r="D5" s="365">
        <v>0.25</v>
      </c>
      <c r="E5" s="365">
        <v>0.33</v>
      </c>
      <c r="F5" s="365">
        <v>0.5</v>
      </c>
      <c r="G5" s="365">
        <v>0.75</v>
      </c>
      <c r="H5" s="365">
        <v>1</v>
      </c>
    </row>
    <row r="6" spans="1:10" x14ac:dyDescent="0.2">
      <c r="A6" s="783">
        <v>2019</v>
      </c>
      <c r="B6" s="2">
        <v>155922</v>
      </c>
      <c r="C6" s="167">
        <f>ROUND(((+B6*0.485)*$C$5),0)</f>
        <v>7562</v>
      </c>
      <c r="D6" s="2">
        <f>ROUND(((+B6*0.485)*$D$5),0)</f>
        <v>18906</v>
      </c>
      <c r="E6" s="2">
        <f>ROUND(((+B6*0.485)*$E$5),0)</f>
        <v>24955</v>
      </c>
      <c r="F6" s="2">
        <f>ROUND(((+B6*0.485)*$F$5),0)</f>
        <v>37811</v>
      </c>
      <c r="G6" s="2">
        <f>ROUND(((+B6*0.485)*$G$5),0)</f>
        <v>56717</v>
      </c>
      <c r="H6" s="2">
        <f>ROUND(((+B6*0.485)*$H$5),0)</f>
        <v>75622</v>
      </c>
    </row>
    <row r="7" spans="1:10" x14ac:dyDescent="0.2">
      <c r="A7" s="783">
        <v>2020</v>
      </c>
      <c r="B7" s="2">
        <v>158729</v>
      </c>
      <c r="C7" s="160">
        <f t="shared" ref="C7:C30" si="0">ROUND(((+B7*0.485)*$C$5),0)</f>
        <v>7698</v>
      </c>
      <c r="D7" s="2">
        <f t="shared" ref="D7:D30" si="1">ROUND(((+B7*0.485)*$D$5),0)</f>
        <v>19246</v>
      </c>
      <c r="E7" s="2">
        <f t="shared" ref="E7:E30" si="2">ROUND(((+B7*0.485)*$E$5),0)</f>
        <v>25405</v>
      </c>
      <c r="F7" s="2">
        <f t="shared" ref="F7:F30" si="3">ROUND(((+B7*0.485)*$F$5),0)</f>
        <v>38492</v>
      </c>
      <c r="G7" s="2">
        <f t="shared" ref="G7:G30" si="4">ROUND(((+B7*0.485)*$G$5),0)</f>
        <v>57738</v>
      </c>
      <c r="H7" s="2">
        <f t="shared" ref="H7:H30" si="5">ROUND(((+B7*0.485)*$H$5),0)</f>
        <v>76984</v>
      </c>
    </row>
    <row r="8" spans="1:10" x14ac:dyDescent="0.2">
      <c r="A8" s="783">
        <v>2021</v>
      </c>
      <c r="B8" s="2">
        <v>161586</v>
      </c>
      <c r="C8" s="160">
        <f t="shared" si="0"/>
        <v>7837</v>
      </c>
      <c r="D8" s="2">
        <f t="shared" si="1"/>
        <v>19592</v>
      </c>
      <c r="E8" s="2">
        <f t="shared" si="2"/>
        <v>25862</v>
      </c>
      <c r="F8" s="2">
        <f t="shared" si="3"/>
        <v>39185</v>
      </c>
      <c r="G8" s="2">
        <f t="shared" si="4"/>
        <v>58777</v>
      </c>
      <c r="H8" s="2">
        <f t="shared" si="5"/>
        <v>78369</v>
      </c>
    </row>
    <row r="9" spans="1:10" x14ac:dyDescent="0.2">
      <c r="A9" s="783">
        <v>2022</v>
      </c>
      <c r="B9" s="2">
        <v>164494</v>
      </c>
      <c r="C9" s="160">
        <f t="shared" si="0"/>
        <v>7978</v>
      </c>
      <c r="D9" s="2">
        <f t="shared" si="1"/>
        <v>19945</v>
      </c>
      <c r="E9" s="2">
        <f t="shared" si="2"/>
        <v>26327</v>
      </c>
      <c r="F9" s="2">
        <f t="shared" si="3"/>
        <v>39890</v>
      </c>
      <c r="G9" s="2">
        <f t="shared" si="4"/>
        <v>59835</v>
      </c>
      <c r="H9" s="2">
        <f t="shared" si="5"/>
        <v>79780</v>
      </c>
    </row>
    <row r="10" spans="1:10" x14ac:dyDescent="0.2">
      <c r="A10" s="783">
        <v>2023</v>
      </c>
      <c r="B10" s="2">
        <v>167455</v>
      </c>
      <c r="C10" s="160">
        <f t="shared" si="0"/>
        <v>8122</v>
      </c>
      <c r="D10" s="2">
        <f t="shared" si="1"/>
        <v>20304</v>
      </c>
      <c r="E10" s="2">
        <f t="shared" si="2"/>
        <v>26801</v>
      </c>
      <c r="F10" s="2">
        <f t="shared" si="3"/>
        <v>40608</v>
      </c>
      <c r="G10" s="2">
        <f t="shared" si="4"/>
        <v>60912</v>
      </c>
      <c r="H10" s="2">
        <f t="shared" si="5"/>
        <v>81216</v>
      </c>
    </row>
    <row r="11" spans="1:10" x14ac:dyDescent="0.2">
      <c r="A11" s="783">
        <v>2024</v>
      </c>
      <c r="B11" s="2">
        <v>170469</v>
      </c>
      <c r="C11" s="160">
        <f t="shared" si="0"/>
        <v>8268</v>
      </c>
      <c r="D11" s="2">
        <f t="shared" si="1"/>
        <v>20669</v>
      </c>
      <c r="E11" s="2">
        <f t="shared" si="2"/>
        <v>27284</v>
      </c>
      <c r="F11" s="2">
        <f t="shared" si="3"/>
        <v>41339</v>
      </c>
      <c r="G11" s="2">
        <f t="shared" si="4"/>
        <v>62008</v>
      </c>
      <c r="H11" s="2">
        <f t="shared" si="5"/>
        <v>82677</v>
      </c>
    </row>
    <row r="12" spans="1:10" x14ac:dyDescent="0.2">
      <c r="A12" s="783">
        <v>2025</v>
      </c>
      <c r="B12" s="2">
        <v>173538</v>
      </c>
      <c r="C12" s="160">
        <f t="shared" si="0"/>
        <v>8417</v>
      </c>
      <c r="D12" s="2">
        <f t="shared" si="1"/>
        <v>21041</v>
      </c>
      <c r="E12" s="2">
        <f t="shared" si="2"/>
        <v>27775</v>
      </c>
      <c r="F12" s="2">
        <f t="shared" si="3"/>
        <v>42083</v>
      </c>
      <c r="G12" s="2">
        <f t="shared" si="4"/>
        <v>63124</v>
      </c>
      <c r="H12" s="2">
        <f t="shared" si="5"/>
        <v>84166</v>
      </c>
    </row>
    <row r="13" spans="1:10" x14ac:dyDescent="0.2">
      <c r="A13" s="783">
        <v>2026</v>
      </c>
      <c r="B13" s="2">
        <v>176661</v>
      </c>
      <c r="C13" s="160">
        <f t="shared" si="0"/>
        <v>8568</v>
      </c>
      <c r="D13" s="2">
        <f t="shared" si="1"/>
        <v>21420</v>
      </c>
      <c r="E13" s="2">
        <f t="shared" si="2"/>
        <v>28275</v>
      </c>
      <c r="F13" s="2">
        <f t="shared" si="3"/>
        <v>42840</v>
      </c>
      <c r="G13" s="2">
        <f t="shared" si="4"/>
        <v>64260</v>
      </c>
      <c r="H13" s="2">
        <f t="shared" si="5"/>
        <v>85681</v>
      </c>
    </row>
    <row r="14" spans="1:10" x14ac:dyDescent="0.2">
      <c r="A14" s="783">
        <v>2027</v>
      </c>
      <c r="B14" s="2">
        <v>179841</v>
      </c>
      <c r="C14" s="160">
        <f t="shared" si="0"/>
        <v>8722</v>
      </c>
      <c r="D14" s="2">
        <f t="shared" si="1"/>
        <v>21806</v>
      </c>
      <c r="E14" s="2">
        <f t="shared" si="2"/>
        <v>28784</v>
      </c>
      <c r="F14" s="2">
        <f t="shared" si="3"/>
        <v>43611</v>
      </c>
      <c r="G14" s="2">
        <f t="shared" si="4"/>
        <v>65417</v>
      </c>
      <c r="H14" s="2">
        <f t="shared" si="5"/>
        <v>87223</v>
      </c>
    </row>
    <row r="15" spans="1:10" x14ac:dyDescent="0.2">
      <c r="A15" s="783">
        <v>2028</v>
      </c>
      <c r="B15" s="2">
        <v>183079</v>
      </c>
      <c r="C15" s="160">
        <f t="shared" si="0"/>
        <v>8879</v>
      </c>
      <c r="D15" s="2">
        <f t="shared" si="1"/>
        <v>22198</v>
      </c>
      <c r="E15" s="2">
        <f t="shared" si="2"/>
        <v>29302</v>
      </c>
      <c r="F15" s="2">
        <f t="shared" si="3"/>
        <v>44397</v>
      </c>
      <c r="G15" s="2">
        <f t="shared" si="4"/>
        <v>66595</v>
      </c>
      <c r="H15" s="2">
        <f t="shared" si="5"/>
        <v>88793</v>
      </c>
    </row>
    <row r="16" spans="1:10" x14ac:dyDescent="0.2">
      <c r="A16" s="783">
        <v>2029</v>
      </c>
      <c r="B16" s="2">
        <v>186374</v>
      </c>
      <c r="C16" s="160">
        <f t="shared" si="0"/>
        <v>9039</v>
      </c>
      <c r="D16" s="2">
        <f t="shared" si="1"/>
        <v>22598</v>
      </c>
      <c r="E16" s="2">
        <f t="shared" si="2"/>
        <v>29829</v>
      </c>
      <c r="F16" s="2">
        <f t="shared" si="3"/>
        <v>45196</v>
      </c>
      <c r="G16" s="2">
        <f t="shared" si="4"/>
        <v>67794</v>
      </c>
      <c r="H16" s="2">
        <f t="shared" si="5"/>
        <v>90391</v>
      </c>
    </row>
    <row r="17" spans="1:8" x14ac:dyDescent="0.2">
      <c r="A17" s="783">
        <v>2030</v>
      </c>
      <c r="B17" s="2">
        <v>189729</v>
      </c>
      <c r="C17" s="160">
        <f t="shared" si="0"/>
        <v>9202</v>
      </c>
      <c r="D17" s="2">
        <f t="shared" si="1"/>
        <v>23005</v>
      </c>
      <c r="E17" s="2">
        <f t="shared" si="2"/>
        <v>30366</v>
      </c>
      <c r="F17" s="2">
        <f t="shared" si="3"/>
        <v>46009</v>
      </c>
      <c r="G17" s="2">
        <f t="shared" si="4"/>
        <v>69014</v>
      </c>
      <c r="H17" s="2">
        <f t="shared" si="5"/>
        <v>92019</v>
      </c>
    </row>
    <row r="18" spans="1:8" x14ac:dyDescent="0.2">
      <c r="A18" s="783">
        <v>2031</v>
      </c>
      <c r="B18" s="2">
        <v>193144</v>
      </c>
      <c r="C18" s="160">
        <f t="shared" si="0"/>
        <v>9367</v>
      </c>
      <c r="D18" s="2">
        <f t="shared" si="1"/>
        <v>23419</v>
      </c>
      <c r="E18" s="2">
        <f t="shared" si="2"/>
        <v>30913</v>
      </c>
      <c r="F18" s="2">
        <f t="shared" si="3"/>
        <v>46837</v>
      </c>
      <c r="G18" s="2">
        <f t="shared" si="4"/>
        <v>70256</v>
      </c>
      <c r="H18" s="2">
        <f t="shared" si="5"/>
        <v>93675</v>
      </c>
    </row>
    <row r="19" spans="1:8" x14ac:dyDescent="0.2">
      <c r="A19" s="783">
        <v>2032</v>
      </c>
      <c r="B19" s="2">
        <v>196620</v>
      </c>
      <c r="C19" s="160">
        <f t="shared" si="0"/>
        <v>9536</v>
      </c>
      <c r="D19" s="2">
        <f t="shared" si="1"/>
        <v>23840</v>
      </c>
      <c r="E19" s="2">
        <f t="shared" si="2"/>
        <v>31469</v>
      </c>
      <c r="F19" s="2">
        <f t="shared" si="3"/>
        <v>47680</v>
      </c>
      <c r="G19" s="2">
        <f t="shared" si="4"/>
        <v>71521</v>
      </c>
      <c r="H19" s="2">
        <f t="shared" si="5"/>
        <v>95361</v>
      </c>
    </row>
    <row r="20" spans="1:8" x14ac:dyDescent="0.2">
      <c r="A20" s="783">
        <v>2033</v>
      </c>
      <c r="B20" s="2">
        <v>200160</v>
      </c>
      <c r="C20" s="160">
        <f t="shared" si="0"/>
        <v>9708</v>
      </c>
      <c r="D20" s="2">
        <f t="shared" si="1"/>
        <v>24269</v>
      </c>
      <c r="E20" s="2">
        <f t="shared" si="2"/>
        <v>32036</v>
      </c>
      <c r="F20" s="2">
        <f t="shared" si="3"/>
        <v>48539</v>
      </c>
      <c r="G20" s="2">
        <f t="shared" si="4"/>
        <v>72808</v>
      </c>
      <c r="H20" s="2">
        <f t="shared" si="5"/>
        <v>97078</v>
      </c>
    </row>
    <row r="21" spans="1:8" x14ac:dyDescent="0.2">
      <c r="A21" s="783">
        <v>2034</v>
      </c>
      <c r="B21" s="2">
        <v>203762</v>
      </c>
      <c r="C21" s="160">
        <f t="shared" si="0"/>
        <v>9882</v>
      </c>
      <c r="D21" s="2">
        <f t="shared" si="1"/>
        <v>24706</v>
      </c>
      <c r="E21" s="2">
        <f t="shared" si="2"/>
        <v>32612</v>
      </c>
      <c r="F21" s="2">
        <f t="shared" si="3"/>
        <v>49412</v>
      </c>
      <c r="G21" s="2">
        <f t="shared" si="4"/>
        <v>74118</v>
      </c>
      <c r="H21" s="2">
        <f t="shared" si="5"/>
        <v>98825</v>
      </c>
    </row>
    <row r="22" spans="1:8" x14ac:dyDescent="0.2">
      <c r="A22" s="783">
        <v>2035</v>
      </c>
      <c r="B22" s="2">
        <v>207430</v>
      </c>
      <c r="C22" s="160">
        <f t="shared" si="0"/>
        <v>10060</v>
      </c>
      <c r="D22" s="2">
        <f t="shared" si="1"/>
        <v>25151</v>
      </c>
      <c r="E22" s="2">
        <f t="shared" si="2"/>
        <v>33199</v>
      </c>
      <c r="F22" s="2">
        <f t="shared" si="3"/>
        <v>50302</v>
      </c>
      <c r="G22" s="2">
        <f t="shared" si="4"/>
        <v>75453</v>
      </c>
      <c r="H22" s="2">
        <f t="shared" si="5"/>
        <v>100604</v>
      </c>
    </row>
    <row r="23" spans="1:8" x14ac:dyDescent="0.2">
      <c r="A23" s="783">
        <v>2036</v>
      </c>
      <c r="B23" s="2">
        <v>211164</v>
      </c>
      <c r="C23" s="160">
        <f t="shared" si="0"/>
        <v>10241</v>
      </c>
      <c r="D23" s="2">
        <f t="shared" si="1"/>
        <v>25604</v>
      </c>
      <c r="E23" s="2">
        <f t="shared" si="2"/>
        <v>33797</v>
      </c>
      <c r="F23" s="2">
        <f t="shared" si="3"/>
        <v>51207</v>
      </c>
      <c r="G23" s="2">
        <f t="shared" si="4"/>
        <v>76811</v>
      </c>
      <c r="H23" s="2">
        <f t="shared" si="5"/>
        <v>102415</v>
      </c>
    </row>
    <row r="24" spans="1:8" x14ac:dyDescent="0.2">
      <c r="A24" s="783">
        <v>2037</v>
      </c>
      <c r="B24" s="2">
        <v>214965</v>
      </c>
      <c r="C24" s="160">
        <f t="shared" si="0"/>
        <v>10426</v>
      </c>
      <c r="D24" s="2">
        <f t="shared" si="1"/>
        <v>26065</v>
      </c>
      <c r="E24" s="2">
        <f t="shared" si="2"/>
        <v>34405</v>
      </c>
      <c r="F24" s="2">
        <f t="shared" si="3"/>
        <v>52129</v>
      </c>
      <c r="G24" s="2">
        <f t="shared" si="4"/>
        <v>78194</v>
      </c>
      <c r="H24" s="2">
        <f t="shared" si="5"/>
        <v>104258</v>
      </c>
    </row>
    <row r="25" spans="1:8" x14ac:dyDescent="0.2">
      <c r="A25" s="783">
        <v>2038</v>
      </c>
      <c r="B25" s="2">
        <v>218834</v>
      </c>
      <c r="C25" s="160">
        <f t="shared" si="0"/>
        <v>10613</v>
      </c>
      <c r="D25" s="2">
        <f t="shared" si="1"/>
        <v>26534</v>
      </c>
      <c r="E25" s="2">
        <f t="shared" si="2"/>
        <v>35024</v>
      </c>
      <c r="F25" s="2">
        <f t="shared" si="3"/>
        <v>53067</v>
      </c>
      <c r="G25" s="2">
        <f t="shared" si="4"/>
        <v>79601</v>
      </c>
      <c r="H25" s="2">
        <f t="shared" si="5"/>
        <v>106134</v>
      </c>
    </row>
    <row r="26" spans="1:8" x14ac:dyDescent="0.2">
      <c r="A26" s="783">
        <v>2039</v>
      </c>
      <c r="B26" s="2">
        <v>222773</v>
      </c>
      <c r="C26" s="160">
        <f t="shared" si="0"/>
        <v>10804</v>
      </c>
      <c r="D26" s="2">
        <f t="shared" si="1"/>
        <v>27011</v>
      </c>
      <c r="E26" s="2">
        <f t="shared" si="2"/>
        <v>35655</v>
      </c>
      <c r="F26" s="2">
        <f t="shared" si="3"/>
        <v>54022</v>
      </c>
      <c r="G26" s="2">
        <f t="shared" si="4"/>
        <v>81034</v>
      </c>
      <c r="H26" s="2">
        <f t="shared" si="5"/>
        <v>108045</v>
      </c>
    </row>
    <row r="27" spans="1:8" x14ac:dyDescent="0.2">
      <c r="A27" s="783">
        <v>2040</v>
      </c>
      <c r="B27" s="2">
        <v>226783</v>
      </c>
      <c r="C27" s="160">
        <f t="shared" si="0"/>
        <v>10999</v>
      </c>
      <c r="D27" s="2">
        <f t="shared" si="1"/>
        <v>27497</v>
      </c>
      <c r="E27" s="2">
        <f t="shared" si="2"/>
        <v>36297</v>
      </c>
      <c r="F27" s="2">
        <f t="shared" si="3"/>
        <v>54995</v>
      </c>
      <c r="G27" s="2">
        <f t="shared" si="4"/>
        <v>82492</v>
      </c>
      <c r="H27" s="2">
        <f t="shared" si="5"/>
        <v>109990</v>
      </c>
    </row>
    <row r="28" spans="1:8" x14ac:dyDescent="0.2">
      <c r="A28" s="783">
        <v>2041</v>
      </c>
      <c r="B28" s="2">
        <v>230865</v>
      </c>
      <c r="C28" s="160">
        <f t="shared" si="0"/>
        <v>11197</v>
      </c>
      <c r="D28" s="2">
        <f t="shared" si="1"/>
        <v>27992</v>
      </c>
      <c r="E28" s="2">
        <f t="shared" si="2"/>
        <v>36950</v>
      </c>
      <c r="F28" s="2">
        <f t="shared" si="3"/>
        <v>55985</v>
      </c>
      <c r="G28" s="2">
        <f t="shared" si="4"/>
        <v>83977</v>
      </c>
      <c r="H28" s="2">
        <f t="shared" si="5"/>
        <v>111970</v>
      </c>
    </row>
    <row r="29" spans="1:8" x14ac:dyDescent="0.2">
      <c r="A29" s="783">
        <v>2042</v>
      </c>
      <c r="B29" s="2">
        <v>235021</v>
      </c>
      <c r="C29" s="160">
        <f t="shared" si="0"/>
        <v>11399</v>
      </c>
      <c r="D29" s="2">
        <f t="shared" si="1"/>
        <v>28496</v>
      </c>
      <c r="E29" s="2">
        <f t="shared" si="2"/>
        <v>37615</v>
      </c>
      <c r="F29" s="2">
        <f t="shared" si="3"/>
        <v>56993</v>
      </c>
      <c r="G29" s="2">
        <f t="shared" si="4"/>
        <v>85489</v>
      </c>
      <c r="H29" s="2">
        <f t="shared" si="5"/>
        <v>113985</v>
      </c>
    </row>
    <row r="30" spans="1:8" x14ac:dyDescent="0.2">
      <c r="A30" s="783">
        <v>2043</v>
      </c>
      <c r="B30" s="53">
        <v>239251</v>
      </c>
      <c r="C30" s="160">
        <f t="shared" si="0"/>
        <v>11604</v>
      </c>
      <c r="D30" s="2">
        <f t="shared" si="1"/>
        <v>29009</v>
      </c>
      <c r="E30" s="2">
        <f t="shared" si="2"/>
        <v>38292</v>
      </c>
      <c r="F30" s="2">
        <f t="shared" si="3"/>
        <v>58018</v>
      </c>
      <c r="G30" s="2">
        <f t="shared" si="4"/>
        <v>87028</v>
      </c>
      <c r="H30" s="2">
        <f t="shared" si="5"/>
        <v>116037</v>
      </c>
    </row>
    <row r="31" spans="1:8" x14ac:dyDescent="0.2">
      <c r="B31" s="2">
        <f>SUM(B6:B30)</f>
        <v>4868649</v>
      </c>
    </row>
    <row r="34" spans="1:8" x14ac:dyDescent="0.2">
      <c r="B34" s="220" t="s">
        <v>1988</v>
      </c>
      <c r="G34" s="220"/>
      <c r="H34" s="220"/>
    </row>
    <row r="35" spans="1:8" x14ac:dyDescent="0.2">
      <c r="A35" s="815" t="s">
        <v>1989</v>
      </c>
      <c r="B35" s="2">
        <v>9356560</v>
      </c>
      <c r="G35" s="220"/>
      <c r="H35" s="220"/>
    </row>
    <row r="36" spans="1:8" x14ac:dyDescent="0.2">
      <c r="A36" s="815" t="s">
        <v>1984</v>
      </c>
      <c r="B36" s="2"/>
      <c r="G36" s="220"/>
      <c r="H36" s="220"/>
    </row>
    <row r="37" spans="1:8" x14ac:dyDescent="0.2">
      <c r="A37" s="815" t="s">
        <v>1990</v>
      </c>
      <c r="B37" s="220" t="s">
        <v>1991</v>
      </c>
      <c r="C37" s="220" t="s">
        <v>1992</v>
      </c>
      <c r="D37" s="220" t="s">
        <v>1993</v>
      </c>
      <c r="G37" s="220"/>
      <c r="H37" s="220"/>
    </row>
    <row r="38" spans="1:8" x14ac:dyDescent="0.2">
      <c r="A38" s="815">
        <v>0</v>
      </c>
      <c r="B38" s="2">
        <v>9650455</v>
      </c>
      <c r="C38" s="2">
        <f>+B38-$B$35</f>
        <v>293895</v>
      </c>
      <c r="D38" s="124">
        <f>ROUND((+C38/$B$35),4)</f>
        <v>3.1399999999999997E-2</v>
      </c>
      <c r="G38" s="290"/>
      <c r="H38" s="2"/>
    </row>
    <row r="39" spans="1:8" x14ac:dyDescent="0.2">
      <c r="A39" s="815">
        <f>+C5</f>
        <v>0.1</v>
      </c>
      <c r="B39" s="2">
        <f>+B38+C6</f>
        <v>9658017</v>
      </c>
      <c r="C39" s="2">
        <f t="shared" ref="C39:C44" si="6">+B39-$B$35</f>
        <v>301457</v>
      </c>
      <c r="D39" s="124">
        <f t="shared" ref="D39:D44" si="7">ROUND((+C39/$B$35),4)</f>
        <v>3.2199999999999999E-2</v>
      </c>
      <c r="G39" s="2"/>
      <c r="H39" s="2"/>
    </row>
    <row r="40" spans="1:8" x14ac:dyDescent="0.2">
      <c r="A40" s="815">
        <f>+D5</f>
        <v>0.25</v>
      </c>
      <c r="B40" s="2">
        <f>+B38+D6</f>
        <v>9669361</v>
      </c>
      <c r="C40" s="2">
        <f t="shared" si="6"/>
        <v>312801</v>
      </c>
      <c r="D40" s="124">
        <f t="shared" si="7"/>
        <v>3.3399999999999999E-2</v>
      </c>
      <c r="G40" s="2"/>
      <c r="H40" s="2"/>
    </row>
    <row r="41" spans="1:8" x14ac:dyDescent="0.2">
      <c r="A41" s="815">
        <f>+E5</f>
        <v>0.33</v>
      </c>
      <c r="B41" s="2">
        <f>+B38+E6</f>
        <v>9675410</v>
      </c>
      <c r="C41" s="2">
        <f t="shared" si="6"/>
        <v>318850</v>
      </c>
      <c r="D41" s="124">
        <f t="shared" si="7"/>
        <v>3.4099999999999998E-2</v>
      </c>
      <c r="G41" s="2"/>
      <c r="H41" s="2"/>
    </row>
    <row r="42" spans="1:8" x14ac:dyDescent="0.2">
      <c r="A42" s="815">
        <f>+F5</f>
        <v>0.5</v>
      </c>
      <c r="B42" s="2">
        <f>+B38+F6</f>
        <v>9688266</v>
      </c>
      <c r="C42" s="2">
        <f t="shared" si="6"/>
        <v>331706</v>
      </c>
      <c r="D42" s="124">
        <f t="shared" si="7"/>
        <v>3.5499999999999997E-2</v>
      </c>
      <c r="G42" s="2"/>
      <c r="H42" s="2"/>
    </row>
    <row r="43" spans="1:8" x14ac:dyDescent="0.2">
      <c r="A43" s="815">
        <f>+G5</f>
        <v>0.75</v>
      </c>
      <c r="B43" s="2">
        <f>+B38+G6</f>
        <v>9707172</v>
      </c>
      <c r="C43" s="2">
        <f t="shared" si="6"/>
        <v>350612</v>
      </c>
      <c r="D43" s="124">
        <f t="shared" si="7"/>
        <v>3.7499999999999999E-2</v>
      </c>
      <c r="H43" s="2"/>
    </row>
    <row r="44" spans="1:8" x14ac:dyDescent="0.2">
      <c r="A44" s="815">
        <f>+H5</f>
        <v>1</v>
      </c>
      <c r="B44" s="2">
        <f>+B38+H6</f>
        <v>9726077</v>
      </c>
      <c r="C44" s="2">
        <f t="shared" si="6"/>
        <v>369517</v>
      </c>
      <c r="D44" s="124">
        <f t="shared" si="7"/>
        <v>3.95E-2</v>
      </c>
    </row>
    <row r="47" spans="1:8" x14ac:dyDescent="0.2">
      <c r="A47" s="815" t="s">
        <v>1994</v>
      </c>
      <c r="E47" s="220" t="s">
        <v>327</v>
      </c>
    </row>
    <row r="48" spans="1:8" x14ac:dyDescent="0.2">
      <c r="A48" s="815" t="s">
        <v>267</v>
      </c>
      <c r="B48" s="366">
        <v>7850604</v>
      </c>
    </row>
    <row r="49" spans="1:6" x14ac:dyDescent="0.2">
      <c r="A49" s="815" t="s">
        <v>268</v>
      </c>
      <c r="B49" s="366">
        <v>7965557</v>
      </c>
      <c r="C49" s="366">
        <f>+B49-B48</f>
        <v>114953</v>
      </c>
      <c r="D49" s="124">
        <f>ROUND((+C49/B48),4)</f>
        <v>1.46E-2</v>
      </c>
    </row>
    <row r="50" spans="1:6" x14ac:dyDescent="0.2">
      <c r="A50" s="815" t="s">
        <v>269</v>
      </c>
      <c r="B50" s="366">
        <v>8293458</v>
      </c>
      <c r="C50" s="366">
        <f>+B50-B49</f>
        <v>327901</v>
      </c>
      <c r="D50" s="124">
        <f>ROUND((+C50/B49),4)</f>
        <v>4.1200000000000001E-2</v>
      </c>
    </row>
    <row r="51" spans="1:6" x14ac:dyDescent="0.2">
      <c r="A51" s="815" t="s">
        <v>270</v>
      </c>
      <c r="B51" s="366">
        <v>8498343</v>
      </c>
      <c r="C51" s="366">
        <f>+B51-B50</f>
        <v>204885</v>
      </c>
      <c r="D51" s="124">
        <f>ROUND((+C51/B50),4)</f>
        <v>2.47E-2</v>
      </c>
    </row>
    <row r="52" spans="1:6" x14ac:dyDescent="0.2">
      <c r="A52" s="815" t="s">
        <v>271</v>
      </c>
      <c r="B52" s="366">
        <v>8852114</v>
      </c>
      <c r="C52" s="366">
        <f>+B52-B51</f>
        <v>353771</v>
      </c>
      <c r="D52" s="124">
        <f>ROUND((+C52/B51),4)</f>
        <v>4.1599999999999998E-2</v>
      </c>
    </row>
    <row r="53" spans="1:6" x14ac:dyDescent="0.2">
      <c r="A53" s="815" t="s">
        <v>272</v>
      </c>
      <c r="B53" s="366">
        <v>9356560</v>
      </c>
      <c r="C53" s="366">
        <f>+B53-B52</f>
        <v>504446</v>
      </c>
      <c r="D53" s="124">
        <f>ROUND((+C53/B52),4)</f>
        <v>5.7000000000000002E-2</v>
      </c>
      <c r="E53" s="366">
        <f>+B53-B48</f>
        <v>1505956</v>
      </c>
      <c r="F53" s="124">
        <f>ROUND((+E53/B48),4)</f>
        <v>0.1918</v>
      </c>
    </row>
    <row r="56" spans="1:6" x14ac:dyDescent="0.2">
      <c r="A56" s="815" t="s">
        <v>1995</v>
      </c>
    </row>
    <row r="57" spans="1:6" x14ac:dyDescent="0.2">
      <c r="A57" s="815" t="s">
        <v>267</v>
      </c>
      <c r="B57" s="366">
        <v>7488710</v>
      </c>
    </row>
    <row r="58" spans="1:6" x14ac:dyDescent="0.2">
      <c r="A58" s="815" t="s">
        <v>268</v>
      </c>
      <c r="B58" s="366">
        <v>7965557</v>
      </c>
      <c r="C58" s="366">
        <f>+B58-B57</f>
        <v>476847</v>
      </c>
      <c r="D58" s="124">
        <f>ROUND((+C58/B57),4)</f>
        <v>6.3700000000000007E-2</v>
      </c>
    </row>
    <row r="59" spans="1:6" x14ac:dyDescent="0.2">
      <c r="A59" s="815" t="s">
        <v>269</v>
      </c>
      <c r="B59" s="366">
        <v>8136058</v>
      </c>
      <c r="C59" s="366">
        <f>+B59-B58</f>
        <v>170501</v>
      </c>
      <c r="D59" s="124">
        <f>ROUND((+C59/B58),4)</f>
        <v>2.1399999999999999E-2</v>
      </c>
    </row>
    <row r="60" spans="1:6" x14ac:dyDescent="0.2">
      <c r="A60" s="815" t="s">
        <v>270</v>
      </c>
      <c r="B60" s="366">
        <v>8373806</v>
      </c>
      <c r="C60" s="366">
        <f>+B60-B59</f>
        <v>237748</v>
      </c>
      <c r="D60" s="124">
        <f>ROUND((+C60/B59),4)</f>
        <v>2.92E-2</v>
      </c>
    </row>
    <row r="61" spans="1:6" x14ac:dyDescent="0.2">
      <c r="A61" s="815" t="s">
        <v>271</v>
      </c>
      <c r="B61" s="366">
        <v>8725506</v>
      </c>
      <c r="C61" s="366">
        <f>+B61-B60</f>
        <v>351700</v>
      </c>
      <c r="D61" s="124">
        <f>ROUND((+C61/B60),4)</f>
        <v>4.2000000000000003E-2</v>
      </c>
    </row>
    <row r="62" spans="1:6" x14ac:dyDescent="0.2">
      <c r="A62" s="815" t="s">
        <v>272</v>
      </c>
      <c r="B62" s="366">
        <v>8993941</v>
      </c>
      <c r="C62" s="366">
        <f>+B62-B61</f>
        <v>268435</v>
      </c>
      <c r="D62" s="124">
        <f>ROUND((+C62/B61),4)</f>
        <v>3.0800000000000001E-2</v>
      </c>
      <c r="E62" s="366">
        <f>+B62-B57</f>
        <v>1505231</v>
      </c>
      <c r="F62" s="124">
        <f>ROUND((+E62/B57),4)</f>
        <v>0.20100000000000001</v>
      </c>
    </row>
  </sheetData>
  <hyperlinks>
    <hyperlink ref="H1" location="'Table of Contents'!A1" display="TOC" xr:uid="{00000000-0004-0000-4600-000000000000}"/>
  </hyperlinks>
  <pageMargins left="0.7" right="0.7" top="0.75" bottom="0.75" header="0.3" footer="0.3"/>
  <pageSetup orientation="portrait" r:id="rId1"/>
  <headerFooter>
    <oddFooter>&amp;L&amp;D &amp;T&amp;C&amp;F&amp;R&amp;A&amp;P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000"/>
  </sheetPr>
  <dimension ref="A1:K125"/>
  <sheetViews>
    <sheetView workbookViewId="0">
      <selection sqref="A1:F125"/>
    </sheetView>
  </sheetViews>
  <sheetFormatPr defaultRowHeight="12.75" x14ac:dyDescent="0.2"/>
  <cols>
    <col min="1" max="1" width="3.83203125" style="4" customWidth="1"/>
    <col min="2" max="2" width="34.5" style="4" customWidth="1"/>
    <col min="3" max="3" width="6.1640625" style="774" customWidth="1"/>
    <col min="4" max="4" width="15.1640625" style="4" bestFit="1" customWidth="1"/>
    <col min="5" max="5" width="14.6640625" style="4" customWidth="1"/>
    <col min="6" max="6" width="4.6640625" style="4" customWidth="1"/>
    <col min="7" max="7" width="30.6640625" customWidth="1"/>
    <col min="8" max="8" width="6.33203125" style="783" customWidth="1"/>
    <col min="9" max="9" width="14.33203125" customWidth="1"/>
    <col min="10" max="10" width="13.83203125" customWidth="1"/>
  </cols>
  <sheetData>
    <row r="1" spans="1:9" x14ac:dyDescent="0.2">
      <c r="A1" s="1172" t="s">
        <v>1996</v>
      </c>
      <c r="B1" s="1172"/>
      <c r="C1" s="1172"/>
      <c r="D1" s="1172"/>
      <c r="E1" s="1172"/>
      <c r="F1" s="1172"/>
    </row>
    <row r="3" spans="1:9" ht="15" x14ac:dyDescent="0.25">
      <c r="D3" s="205" t="s">
        <v>277</v>
      </c>
      <c r="G3" s="221"/>
      <c r="H3" s="785"/>
      <c r="I3" s="222"/>
    </row>
    <row r="4" spans="1:9" ht="15" x14ac:dyDescent="0.25">
      <c r="B4" s="563" t="s">
        <v>1997</v>
      </c>
      <c r="C4" s="854" t="s">
        <v>1998</v>
      </c>
      <c r="D4" s="564" t="s">
        <v>1999</v>
      </c>
      <c r="G4" s="223"/>
      <c r="H4" s="856"/>
      <c r="I4" s="224"/>
    </row>
    <row r="5" spans="1:9" x14ac:dyDescent="0.2">
      <c r="A5" s="74" t="s">
        <v>2000</v>
      </c>
      <c r="B5" s="74"/>
      <c r="C5" s="855"/>
    </row>
    <row r="6" spans="1:9" x14ac:dyDescent="0.2">
      <c r="B6" s="4" t="s">
        <v>884</v>
      </c>
      <c r="C6" s="855">
        <v>11</v>
      </c>
      <c r="D6" s="149">
        <f>+'122 Selectboard'!P42</f>
        <v>124233</v>
      </c>
    </row>
    <row r="7" spans="1:9" x14ac:dyDescent="0.2">
      <c r="B7" s="4" t="s">
        <v>2001</v>
      </c>
      <c r="C7" s="855">
        <v>2</v>
      </c>
      <c r="D7" s="149">
        <v>86924</v>
      </c>
    </row>
    <row r="8" spans="1:9" x14ac:dyDescent="0.2">
      <c r="B8" s="4" t="s">
        <v>2002</v>
      </c>
      <c r="C8" s="855">
        <v>11</v>
      </c>
      <c r="D8" s="149">
        <f>+'122 Selectboard'!P44</f>
        <v>54636.4</v>
      </c>
    </row>
    <row r="9" spans="1:9" x14ac:dyDescent="0.2">
      <c r="B9" s="4" t="s">
        <v>2003</v>
      </c>
      <c r="C9" s="855">
        <v>2</v>
      </c>
      <c r="D9" s="149">
        <f>+'122 Selectboard'!P45</f>
        <v>25773.75</v>
      </c>
    </row>
    <row r="11" spans="1:9" x14ac:dyDescent="0.2">
      <c r="A11" s="74" t="s">
        <v>914</v>
      </c>
    </row>
    <row r="12" spans="1:9" x14ac:dyDescent="0.2">
      <c r="B12" s="4" t="s">
        <v>914</v>
      </c>
      <c r="C12" s="855">
        <v>11</v>
      </c>
      <c r="D12" s="149">
        <f>+'135 Acct'!P33</f>
        <v>80384</v>
      </c>
    </row>
    <row r="14" spans="1:9" x14ac:dyDescent="0.2">
      <c r="A14" s="74" t="s">
        <v>2004</v>
      </c>
    </row>
    <row r="15" spans="1:9" x14ac:dyDescent="0.2">
      <c r="B15" s="4" t="s">
        <v>955</v>
      </c>
      <c r="C15" s="855">
        <v>11</v>
      </c>
      <c r="D15" s="149">
        <f>+'141 BOA'!P48</f>
        <v>80384</v>
      </c>
    </row>
    <row r="16" spans="1:9" x14ac:dyDescent="0.2">
      <c r="B16" s="4" t="s">
        <v>956</v>
      </c>
      <c r="C16" s="855">
        <v>5</v>
      </c>
      <c r="D16" s="149">
        <f>+'141 BOA'!P49</f>
        <v>38711.4</v>
      </c>
    </row>
    <row r="18" spans="1:5" x14ac:dyDescent="0.2">
      <c r="A18" s="74" t="s">
        <v>2005</v>
      </c>
    </row>
    <row r="19" spans="1:5" x14ac:dyDescent="0.2">
      <c r="B19" s="4" t="s">
        <v>2005</v>
      </c>
      <c r="C19" s="774">
        <v>9</v>
      </c>
      <c r="D19" s="149">
        <f>+'145 Treas'!P41+'145 Treas'!P42</f>
        <v>78423</v>
      </c>
    </row>
    <row r="20" spans="1:5" x14ac:dyDescent="0.2">
      <c r="B20" s="4" t="s">
        <v>2006</v>
      </c>
      <c r="C20" s="774">
        <v>7</v>
      </c>
      <c r="D20" s="149">
        <f>+'145 Treas'!P44</f>
        <v>47483.8</v>
      </c>
    </row>
    <row r="21" spans="1:5" x14ac:dyDescent="0.2">
      <c r="B21" s="4" t="s">
        <v>2007</v>
      </c>
      <c r="C21" s="774">
        <v>10</v>
      </c>
      <c r="D21" s="149">
        <f>+'145 Treas'!P43</f>
        <v>43170.400000000001</v>
      </c>
    </row>
    <row r="23" spans="1:5" x14ac:dyDescent="0.2">
      <c r="A23" s="74" t="s">
        <v>1051</v>
      </c>
    </row>
    <row r="24" spans="1:5" x14ac:dyDescent="0.2">
      <c r="B24" s="4" t="s">
        <v>1051</v>
      </c>
      <c r="C24" s="855">
        <v>11</v>
      </c>
      <c r="D24" s="149">
        <f>+'161 Clerk'!P51+'161 Clerk'!P52+'161 Clerk'!P53</f>
        <v>73350</v>
      </c>
      <c r="E24" s="4" t="s">
        <v>2008</v>
      </c>
    </row>
    <row r="25" spans="1:5" x14ac:dyDescent="0.2">
      <c r="B25" s="4" t="s">
        <v>1054</v>
      </c>
      <c r="C25" s="774">
        <v>10</v>
      </c>
      <c r="D25" s="149">
        <f>+'161 Clerk'!P55</f>
        <v>41932.800000000003</v>
      </c>
    </row>
    <row r="27" spans="1:5" x14ac:dyDescent="0.2">
      <c r="A27" s="74" t="s">
        <v>2009</v>
      </c>
    </row>
    <row r="28" spans="1:5" x14ac:dyDescent="0.2">
      <c r="B28" s="4" t="s">
        <v>2010</v>
      </c>
      <c r="C28" s="774">
        <v>10</v>
      </c>
      <c r="D28" s="149">
        <f>+'175 Planning'!P38</f>
        <v>78423</v>
      </c>
    </row>
    <row r="29" spans="1:5" x14ac:dyDescent="0.2">
      <c r="B29" s="4" t="s">
        <v>1066</v>
      </c>
      <c r="C29" s="774">
        <v>6</v>
      </c>
      <c r="D29" s="149">
        <f>+'175 Planning'!P39</f>
        <v>46555.6</v>
      </c>
    </row>
    <row r="31" spans="1:5" x14ac:dyDescent="0.2">
      <c r="A31" s="74" t="s">
        <v>2011</v>
      </c>
    </row>
    <row r="32" spans="1:5" x14ac:dyDescent="0.2">
      <c r="B32" s="4" t="s">
        <v>2012</v>
      </c>
      <c r="C32" s="774">
        <v>10</v>
      </c>
      <c r="D32" s="149">
        <f>+'211 Police'!S68+'211 Police'!P68</f>
        <v>127742.78400000001</v>
      </c>
      <c r="E32" s="4" t="s">
        <v>2013</v>
      </c>
    </row>
    <row r="33" spans="2:11" x14ac:dyDescent="0.2">
      <c r="B33" s="4" t="s">
        <v>2014</v>
      </c>
      <c r="C33" s="855">
        <v>11</v>
      </c>
      <c r="D33" s="149">
        <f>+'211 Police'!S69+'211 Police'!P69</f>
        <v>116145</v>
      </c>
    </row>
    <row r="34" spans="2:11" x14ac:dyDescent="0.2">
      <c r="B34" s="4" t="s">
        <v>1891</v>
      </c>
      <c r="C34" s="855">
        <v>5</v>
      </c>
      <c r="D34" s="149">
        <f>+'211 Police'!P70+'211 Police'!S70</f>
        <v>98449.8</v>
      </c>
    </row>
    <row r="35" spans="2:11" x14ac:dyDescent="0.2">
      <c r="B35" s="4" t="s">
        <v>1890</v>
      </c>
      <c r="C35" s="855">
        <v>5</v>
      </c>
      <c r="D35" s="149">
        <f>+'211 Police'!S71+'211 Police'!P71</f>
        <v>81251.5</v>
      </c>
    </row>
    <row r="36" spans="2:11" x14ac:dyDescent="0.2">
      <c r="B36" s="4" t="s">
        <v>1890</v>
      </c>
      <c r="C36" s="855">
        <v>5</v>
      </c>
      <c r="D36" s="149">
        <f>+'211 Police'!S72+'211 Police'!P72</f>
        <v>73865</v>
      </c>
    </row>
    <row r="37" spans="2:11" x14ac:dyDescent="0.2">
      <c r="B37" s="4" t="s">
        <v>1890</v>
      </c>
      <c r="C37" s="855">
        <v>5</v>
      </c>
      <c r="D37" s="149">
        <f>+'211 Police'!S73+'211 Police'!P73</f>
        <v>81251.5</v>
      </c>
    </row>
    <row r="38" spans="2:11" x14ac:dyDescent="0.2">
      <c r="B38" s="4" t="s">
        <v>2015</v>
      </c>
      <c r="C38" s="855">
        <v>3</v>
      </c>
      <c r="D38" s="149">
        <f>+'211 Police'!P85</f>
        <v>63891.25</v>
      </c>
    </row>
    <row r="39" spans="2:11" x14ac:dyDescent="0.2">
      <c r="B39" s="4" t="s">
        <v>1889</v>
      </c>
      <c r="C39" s="855">
        <v>8</v>
      </c>
      <c r="D39" s="149">
        <f>+'211 Police'!S75+'211 Police'!P75</f>
        <v>76233.024999999994</v>
      </c>
    </row>
    <row r="40" spans="2:11" x14ac:dyDescent="0.2">
      <c r="B40" s="4" t="s">
        <v>1889</v>
      </c>
      <c r="C40" s="774">
        <v>5</v>
      </c>
      <c r="D40" s="149">
        <f>+'211 Police'!S76+'211 Police'!P76</f>
        <v>76835.399999999994</v>
      </c>
      <c r="K40" s="220"/>
    </row>
    <row r="41" spans="2:11" x14ac:dyDescent="0.2">
      <c r="B41" s="4" t="s">
        <v>2016</v>
      </c>
      <c r="C41" s="855">
        <v>8</v>
      </c>
      <c r="D41" s="149">
        <f>+'211 Police'!S77+'211 Police'!P77</f>
        <v>63891.25</v>
      </c>
      <c r="K41" s="220"/>
    </row>
    <row r="42" spans="2:11" x14ac:dyDescent="0.2">
      <c r="B42" s="4" t="s">
        <v>2016</v>
      </c>
      <c r="C42" s="855">
        <v>8</v>
      </c>
      <c r="D42" s="149">
        <f>+'211 Police'!S78+'211 Police'!P78</f>
        <v>63891.25</v>
      </c>
    </row>
    <row r="43" spans="2:11" x14ac:dyDescent="0.2">
      <c r="B43" s="4" t="s">
        <v>2017</v>
      </c>
      <c r="C43" s="855">
        <v>8</v>
      </c>
      <c r="D43" s="149">
        <f>+'211 Police'!S79+'211 Police'!P79</f>
        <v>63891.25</v>
      </c>
    </row>
    <row r="44" spans="2:11" x14ac:dyDescent="0.2">
      <c r="B44" s="4" t="s">
        <v>2017</v>
      </c>
      <c r="C44" s="774">
        <v>7</v>
      </c>
      <c r="D44" s="149">
        <f>+'211 Police'!S80+'211 Police'!P80</f>
        <v>70280.375</v>
      </c>
    </row>
    <row r="45" spans="2:11" x14ac:dyDescent="0.2">
      <c r="B45" s="4" t="s">
        <v>2017</v>
      </c>
      <c r="C45" s="855">
        <v>8</v>
      </c>
      <c r="D45" s="149">
        <f>+'211 Police'!S81+'211 Police'!P81</f>
        <v>63891.25</v>
      </c>
    </row>
    <row r="46" spans="2:11" x14ac:dyDescent="0.2">
      <c r="B46" s="4" t="s">
        <v>2017</v>
      </c>
      <c r="C46" s="855">
        <v>8</v>
      </c>
      <c r="D46" s="149">
        <f>+'211 Police'!S82+'211 Police'!P82</f>
        <v>63891.25</v>
      </c>
      <c r="E46" s="149"/>
    </row>
    <row r="47" spans="2:11" x14ac:dyDescent="0.2">
      <c r="B47" s="4" t="s">
        <v>2017</v>
      </c>
      <c r="C47" s="774">
        <v>5</v>
      </c>
      <c r="D47" s="149">
        <f>+'211 Police'!S83+'211 Police'!P83</f>
        <v>65022.925000000003</v>
      </c>
      <c r="E47" s="149"/>
    </row>
    <row r="48" spans="2:11" x14ac:dyDescent="0.2">
      <c r="B48" s="4" t="s">
        <v>2017</v>
      </c>
      <c r="C48" s="774">
        <v>4</v>
      </c>
      <c r="D48" s="149">
        <f>+'211 Police'!S74+'211 Police'!P74</f>
        <v>68315.25</v>
      </c>
      <c r="E48" s="149"/>
    </row>
    <row r="49" spans="1:5" x14ac:dyDescent="0.2">
      <c r="B49" s="4" t="s">
        <v>2017</v>
      </c>
      <c r="C49" s="774">
        <v>3</v>
      </c>
      <c r="D49" s="149">
        <f>+'211 Police'!S84+'211 Police'!P84</f>
        <v>65601.600000000006</v>
      </c>
      <c r="E49" s="149"/>
    </row>
    <row r="50" spans="1:5" x14ac:dyDescent="0.2">
      <c r="B50" s="4" t="s">
        <v>2018</v>
      </c>
      <c r="C50" s="774">
        <v>9</v>
      </c>
      <c r="D50" s="149">
        <f>+'211 Police'!P86</f>
        <v>15998.45</v>
      </c>
      <c r="E50" s="4" t="s">
        <v>2019</v>
      </c>
    </row>
    <row r="51" spans="1:5" x14ac:dyDescent="0.2">
      <c r="D51" s="149"/>
    </row>
    <row r="52" spans="1:5" x14ac:dyDescent="0.2">
      <c r="B52" s="4" t="s">
        <v>2020</v>
      </c>
    </row>
    <row r="53" spans="1:5" x14ac:dyDescent="0.2">
      <c r="E53" s="149"/>
    </row>
    <row r="54" spans="1:5" x14ac:dyDescent="0.2">
      <c r="A54" s="74" t="s">
        <v>103</v>
      </c>
    </row>
    <row r="55" spans="1:5" x14ac:dyDescent="0.2">
      <c r="B55" s="4" t="s">
        <v>2021</v>
      </c>
      <c r="C55" s="855">
        <v>11</v>
      </c>
      <c r="D55" s="149">
        <f>+'212 Dispatch'!P36</f>
        <v>62441.599999999999</v>
      </c>
    </row>
    <row r="56" spans="1:5" x14ac:dyDescent="0.2">
      <c r="B56" s="4" t="s">
        <v>2022</v>
      </c>
      <c r="C56" s="774">
        <v>3</v>
      </c>
      <c r="D56" s="149">
        <f>+'212 Dispatch'!P37</f>
        <v>46886.5</v>
      </c>
    </row>
    <row r="57" spans="1:5" x14ac:dyDescent="0.2">
      <c r="B57" s="4" t="s">
        <v>2022</v>
      </c>
      <c r="C57" s="774">
        <v>7</v>
      </c>
      <c r="D57" s="149">
        <f>+'212 Dispatch'!P38</f>
        <v>51527.75</v>
      </c>
    </row>
    <row r="58" spans="1:5" x14ac:dyDescent="0.2">
      <c r="B58" s="4" t="s">
        <v>2022</v>
      </c>
      <c r="C58" s="855">
        <v>11</v>
      </c>
      <c r="D58" s="149">
        <f>+'212 Dispatch'!P39</f>
        <v>54924.75</v>
      </c>
    </row>
    <row r="59" spans="1:5" x14ac:dyDescent="0.2">
      <c r="B59" s="4" t="s">
        <v>2022</v>
      </c>
      <c r="C59" s="774">
        <v>10</v>
      </c>
      <c r="D59" s="149">
        <f>+'212 Dispatch'!P40</f>
        <v>54924.75</v>
      </c>
    </row>
    <row r="60" spans="1:5" x14ac:dyDescent="0.2">
      <c r="B60" s="4" t="s">
        <v>2023</v>
      </c>
      <c r="C60" s="774">
        <v>2</v>
      </c>
      <c r="D60" s="149">
        <f>+'212 Dispatch'!P41</f>
        <v>45760.75</v>
      </c>
    </row>
    <row r="62" spans="1:5" x14ac:dyDescent="0.2">
      <c r="A62" s="74" t="s">
        <v>104</v>
      </c>
    </row>
    <row r="63" spans="1:5" x14ac:dyDescent="0.2">
      <c r="B63" s="4" t="s">
        <v>2024</v>
      </c>
      <c r="C63" s="774">
        <v>4</v>
      </c>
      <c r="D63" s="149">
        <f>+'241 Bldg'!P42</f>
        <v>70681</v>
      </c>
    </row>
    <row r="64" spans="1:5" x14ac:dyDescent="0.2">
      <c r="B64" s="4" t="s">
        <v>2025</v>
      </c>
      <c r="C64" s="855">
        <v>11</v>
      </c>
      <c r="D64" s="149">
        <f>+'241 Bldg'!P43</f>
        <v>43170.400000000001</v>
      </c>
    </row>
    <row r="66" spans="1:9" x14ac:dyDescent="0.2">
      <c r="A66" s="74" t="s">
        <v>213</v>
      </c>
    </row>
    <row r="67" spans="1:9" x14ac:dyDescent="0.2">
      <c r="B67" s="4" t="s">
        <v>2026</v>
      </c>
      <c r="C67" s="855">
        <v>11</v>
      </c>
      <c r="D67" s="149">
        <f>+'420 DPW'!P69</f>
        <v>102672</v>
      </c>
    </row>
    <row r="68" spans="1:9" x14ac:dyDescent="0.2">
      <c r="B68" s="4" t="s">
        <v>2027</v>
      </c>
      <c r="C68" s="774">
        <v>7</v>
      </c>
      <c r="D68" s="149">
        <f>+'420 DPW'!P70</f>
        <v>58572.800000000003</v>
      </c>
    </row>
    <row r="69" spans="1:9" x14ac:dyDescent="0.2">
      <c r="B69" s="4" t="s">
        <v>2028</v>
      </c>
      <c r="C69" s="774">
        <v>7</v>
      </c>
      <c r="D69" s="149">
        <f>+'420 DPW'!P71</f>
        <v>69534.399999999994</v>
      </c>
      <c r="I69" s="64"/>
    </row>
    <row r="70" spans="1:9" x14ac:dyDescent="0.2">
      <c r="B70" s="4" t="s">
        <v>2029</v>
      </c>
      <c r="C70" s="774">
        <v>5</v>
      </c>
      <c r="D70" s="149">
        <f>+'420 DPW'!P72</f>
        <v>57408</v>
      </c>
    </row>
    <row r="71" spans="1:9" x14ac:dyDescent="0.2">
      <c r="B71" s="4" t="s">
        <v>2030</v>
      </c>
      <c r="C71" s="774">
        <v>4</v>
      </c>
      <c r="D71" s="149">
        <f>+'420 DPW'!P73</f>
        <v>50856</v>
      </c>
      <c r="G71" s="220" t="s">
        <v>2031</v>
      </c>
      <c r="H71" s="783">
        <v>85</v>
      </c>
    </row>
    <row r="72" spans="1:9" x14ac:dyDescent="0.2">
      <c r="B72" s="4" t="s">
        <v>2032</v>
      </c>
      <c r="C72" s="774">
        <v>10</v>
      </c>
      <c r="D72" s="149">
        <f>+'420 DPW'!P74</f>
        <v>53081.599999999999</v>
      </c>
      <c r="G72" s="220" t="s">
        <v>2033</v>
      </c>
      <c r="H72" s="783">
        <v>23</v>
      </c>
      <c r="I72" s="307">
        <f>ROUND((+H72/$H$71),4)</f>
        <v>0.27060000000000001</v>
      </c>
    </row>
    <row r="73" spans="1:9" x14ac:dyDescent="0.2">
      <c r="B73" s="4" t="s">
        <v>2032</v>
      </c>
      <c r="C73" s="774">
        <v>7</v>
      </c>
      <c r="D73" s="149">
        <f>+'420 DPW'!P75</f>
        <v>45552</v>
      </c>
      <c r="G73" s="220" t="s">
        <v>2034</v>
      </c>
      <c r="H73" s="783">
        <v>34</v>
      </c>
      <c r="I73" s="307">
        <f>ROUND((+H73/$H$71),4)</f>
        <v>0.4</v>
      </c>
    </row>
    <row r="74" spans="1:9" x14ac:dyDescent="0.2">
      <c r="B74" s="4" t="s">
        <v>2035</v>
      </c>
      <c r="C74" s="774">
        <v>8</v>
      </c>
      <c r="D74" s="149">
        <f>+'420 DPW'!P76</f>
        <v>41849.599999999999</v>
      </c>
    </row>
    <row r="75" spans="1:9" x14ac:dyDescent="0.2">
      <c r="B75" s="4" t="s">
        <v>2036</v>
      </c>
      <c r="C75" s="774">
        <v>8</v>
      </c>
      <c r="D75" s="149">
        <f>+'420 DPW'!P79</f>
        <v>55619.199999999997</v>
      </c>
    </row>
    <row r="76" spans="1:9" x14ac:dyDescent="0.2">
      <c r="B76" s="4" t="s">
        <v>2037</v>
      </c>
      <c r="C76" s="774">
        <v>5</v>
      </c>
      <c r="D76" s="149">
        <f>+'420 DPW'!P77</f>
        <v>47860.800000000003</v>
      </c>
    </row>
    <row r="77" spans="1:9" x14ac:dyDescent="0.2">
      <c r="B77" s="4" t="s">
        <v>2037</v>
      </c>
      <c r="C77" s="774">
        <v>2</v>
      </c>
      <c r="D77" s="149">
        <f>+'420 DPW'!P78</f>
        <v>44428.800000000003</v>
      </c>
    </row>
    <row r="78" spans="1:9" x14ac:dyDescent="0.2">
      <c r="B78" s="4" t="s">
        <v>2038</v>
      </c>
      <c r="C78" s="774">
        <v>3</v>
      </c>
      <c r="D78" s="149">
        <f>+'420 DPW'!P80</f>
        <v>13470.6</v>
      </c>
      <c r="E78" s="4" t="s">
        <v>2039</v>
      </c>
    </row>
    <row r="79" spans="1:9" x14ac:dyDescent="0.2">
      <c r="B79" s="4" t="s">
        <v>2040</v>
      </c>
      <c r="C79" s="774">
        <v>4</v>
      </c>
      <c r="D79" s="149">
        <f>+'420 DPW'!P81</f>
        <v>0</v>
      </c>
    </row>
    <row r="80" spans="1:9" x14ac:dyDescent="0.2">
      <c r="B80" s="4" t="s">
        <v>2040</v>
      </c>
      <c r="C80" s="774">
        <v>5</v>
      </c>
      <c r="D80" s="149">
        <f>+'420 DPW'!P83</f>
        <v>52166.400000000001</v>
      </c>
    </row>
    <row r="81" spans="1:5" x14ac:dyDescent="0.2">
      <c r="B81" s="4" t="s">
        <v>2040</v>
      </c>
      <c r="C81" s="774">
        <v>4</v>
      </c>
      <c r="D81" s="149">
        <f>+'420 DPW'!P82</f>
        <v>50856</v>
      </c>
    </row>
    <row r="82" spans="1:5" x14ac:dyDescent="0.2">
      <c r="B82" s="4" t="s">
        <v>2041</v>
      </c>
      <c r="C82" s="774">
        <v>4</v>
      </c>
      <c r="D82" s="149">
        <f>+'420 DPW'!P85</f>
        <v>46654.400000000001</v>
      </c>
    </row>
    <row r="83" spans="1:5" x14ac:dyDescent="0.2">
      <c r="B83" s="4" t="s">
        <v>2042</v>
      </c>
      <c r="C83" s="774">
        <v>4</v>
      </c>
      <c r="D83" s="149">
        <f>+'420 DPW'!P86</f>
        <v>46654.400000000001</v>
      </c>
    </row>
    <row r="84" spans="1:5" x14ac:dyDescent="0.2">
      <c r="A84" s="149"/>
      <c r="B84" s="4" t="s">
        <v>2043</v>
      </c>
      <c r="C84" s="774">
        <v>4</v>
      </c>
      <c r="D84" s="149">
        <f>+'420 DPW'!P87</f>
        <v>46654.400000000001</v>
      </c>
      <c r="E84" s="149"/>
    </row>
    <row r="85" spans="1:5" x14ac:dyDescent="0.2">
      <c r="A85" s="149"/>
      <c r="B85" s="4" t="s">
        <v>2042</v>
      </c>
      <c r="C85" s="774">
        <v>10</v>
      </c>
      <c r="D85" s="149">
        <f>+'420 DPW'!P88</f>
        <v>53081.599999999999</v>
      </c>
      <c r="E85" s="149"/>
    </row>
    <row r="86" spans="1:5" x14ac:dyDescent="0.2">
      <c r="A86" s="149"/>
      <c r="B86" s="4" t="s">
        <v>2041</v>
      </c>
      <c r="C86" s="774">
        <v>9</v>
      </c>
      <c r="D86" s="149">
        <f>+'420 DPW'!P89</f>
        <v>52041.599999999999</v>
      </c>
      <c r="E86" s="149"/>
    </row>
    <row r="87" spans="1:5" x14ac:dyDescent="0.2">
      <c r="D87" s="149"/>
    </row>
    <row r="88" spans="1:5" x14ac:dyDescent="0.2">
      <c r="A88" s="74" t="s">
        <v>119</v>
      </c>
    </row>
    <row r="89" spans="1:5" x14ac:dyDescent="0.2">
      <c r="B89" s="4" t="s">
        <v>1435</v>
      </c>
      <c r="C89" s="774">
        <v>8</v>
      </c>
      <c r="D89" s="149">
        <f>+'511 BOH'!P49</f>
        <v>76884</v>
      </c>
    </row>
    <row r="90" spans="1:5" x14ac:dyDescent="0.2">
      <c r="B90" s="4" t="s">
        <v>2025</v>
      </c>
      <c r="C90" s="774">
        <v>10</v>
      </c>
      <c r="D90" s="149">
        <f>+'511 BOH'!P50</f>
        <v>43170.400000000001</v>
      </c>
    </row>
    <row r="92" spans="1:5" x14ac:dyDescent="0.2">
      <c r="A92" s="74" t="s">
        <v>120</v>
      </c>
    </row>
    <row r="93" spans="1:5" x14ac:dyDescent="0.2">
      <c r="B93" s="4" t="s">
        <v>2044</v>
      </c>
      <c r="C93" s="774">
        <v>10</v>
      </c>
      <c r="D93" s="149">
        <f>+'541 COA'!P32</f>
        <v>45383.519999999997</v>
      </c>
      <c r="E93" s="4" t="s">
        <v>2045</v>
      </c>
    </row>
    <row r="95" spans="1:5" x14ac:dyDescent="0.2">
      <c r="A95" s="74" t="s">
        <v>122</v>
      </c>
    </row>
    <row r="96" spans="1:5" x14ac:dyDescent="0.2">
      <c r="B96" s="4" t="s">
        <v>1472</v>
      </c>
      <c r="C96" s="774">
        <v>10</v>
      </c>
      <c r="D96" s="149">
        <f>+'610 Library'!P55</f>
        <v>80384</v>
      </c>
    </row>
    <row r="97" spans="1:5" x14ac:dyDescent="0.2">
      <c r="B97" s="4" t="s">
        <v>2046</v>
      </c>
      <c r="C97" s="774">
        <v>10</v>
      </c>
      <c r="D97" s="149">
        <f>+'610 Library'!P56+'610 Library'!P57</f>
        <v>58136.4</v>
      </c>
      <c r="E97" s="4" t="s">
        <v>2047</v>
      </c>
    </row>
    <row r="98" spans="1:5" x14ac:dyDescent="0.2">
      <c r="B98" s="4" t="s">
        <v>2048</v>
      </c>
      <c r="C98" s="774">
        <v>7</v>
      </c>
      <c r="D98" s="149">
        <f>+'610 Library'!P58</f>
        <v>40458.6</v>
      </c>
    </row>
    <row r="99" spans="1:5" x14ac:dyDescent="0.2">
      <c r="B99" s="4" t="s">
        <v>2049</v>
      </c>
      <c r="C99" s="774">
        <v>4</v>
      </c>
      <c r="D99" s="149">
        <f>+'610 Library'!P59</f>
        <v>10669.75</v>
      </c>
      <c r="E99" s="4" t="s">
        <v>2050</v>
      </c>
    </row>
    <row r="100" spans="1:5" x14ac:dyDescent="0.2">
      <c r="B100" s="4" t="s">
        <v>2049</v>
      </c>
      <c r="C100" s="774">
        <v>5</v>
      </c>
      <c r="D100" s="149">
        <f>+'610 Library'!P60</f>
        <v>24660.68</v>
      </c>
      <c r="E100" s="4" t="s">
        <v>2051</v>
      </c>
    </row>
    <row r="101" spans="1:5" x14ac:dyDescent="0.2">
      <c r="B101" s="4" t="s">
        <v>2049</v>
      </c>
      <c r="C101" s="855">
        <v>11</v>
      </c>
      <c r="D101" s="149">
        <f>+'610 Library'!P61</f>
        <v>9717.9599999999991</v>
      </c>
      <c r="E101" s="4" t="s">
        <v>2052</v>
      </c>
    </row>
    <row r="102" spans="1:5" x14ac:dyDescent="0.2">
      <c r="B102" s="4" t="s">
        <v>2049</v>
      </c>
      <c r="C102" s="774">
        <v>10</v>
      </c>
      <c r="D102" s="149">
        <f>+'610 Library'!P62</f>
        <v>29174</v>
      </c>
      <c r="E102" s="4" t="s">
        <v>2053</v>
      </c>
    </row>
    <row r="103" spans="1:5" x14ac:dyDescent="0.2">
      <c r="B103" s="4" t="s">
        <v>2049</v>
      </c>
      <c r="C103" s="774">
        <v>5</v>
      </c>
      <c r="D103" s="149">
        <f>+'610 Library'!P63</f>
        <v>19970.28</v>
      </c>
      <c r="E103" s="4" t="s">
        <v>2054</v>
      </c>
    </row>
    <row r="104" spans="1:5" x14ac:dyDescent="0.2">
      <c r="B104" s="4" t="s">
        <v>2049</v>
      </c>
      <c r="C104" s="774">
        <v>4</v>
      </c>
      <c r="D104" s="149">
        <f>+'610 Library'!P64</f>
        <v>14898.73</v>
      </c>
      <c r="E104" s="4" t="s">
        <v>2055</v>
      </c>
    </row>
    <row r="105" spans="1:5" x14ac:dyDescent="0.2">
      <c r="A105" s="149"/>
      <c r="B105" s="4" t="s">
        <v>2049</v>
      </c>
      <c r="C105" s="774">
        <v>7</v>
      </c>
      <c r="D105" s="149">
        <f>+'610 Library'!P65</f>
        <v>7166.8</v>
      </c>
      <c r="E105" s="4" t="s">
        <v>2050</v>
      </c>
    </row>
    <row r="106" spans="1:5" x14ac:dyDescent="0.2">
      <c r="A106" s="149"/>
      <c r="B106" s="4" t="s">
        <v>2056</v>
      </c>
      <c r="C106" s="774">
        <v>4</v>
      </c>
      <c r="D106" s="149">
        <f>+'610 Library'!P67</f>
        <v>14852</v>
      </c>
      <c r="E106" s="4" t="s">
        <v>2057</v>
      </c>
    </row>
    <row r="108" spans="1:5" x14ac:dyDescent="0.2">
      <c r="A108" s="74" t="s">
        <v>2058</v>
      </c>
    </row>
    <row r="109" spans="1:5" x14ac:dyDescent="0.2">
      <c r="B109" s="4" t="s">
        <v>1488</v>
      </c>
      <c r="C109" s="855">
        <v>11</v>
      </c>
      <c r="D109" s="149">
        <f>+'630 Recreation'!P38</f>
        <v>80384</v>
      </c>
    </row>
    <row r="110" spans="1:5" x14ac:dyDescent="0.2">
      <c r="B110" s="4" t="s">
        <v>2025</v>
      </c>
      <c r="C110" s="774">
        <v>10</v>
      </c>
      <c r="D110" s="149">
        <f>+'630 Recreation'!P39</f>
        <v>24668.799999999999</v>
      </c>
      <c r="E110" s="4" t="s">
        <v>2045</v>
      </c>
    </row>
    <row r="112" spans="1:5" x14ac:dyDescent="0.2">
      <c r="A112" s="74" t="s">
        <v>131</v>
      </c>
    </row>
    <row r="113" spans="1:5" x14ac:dyDescent="0.2">
      <c r="B113" s="4" t="s">
        <v>2059</v>
      </c>
      <c r="C113" s="774">
        <v>9</v>
      </c>
      <c r="D113" s="149">
        <f>+'600 482 Airport'!P60</f>
        <v>62741.8</v>
      </c>
      <c r="E113" s="4" t="s">
        <v>2060</v>
      </c>
    </row>
    <row r="114" spans="1:5" x14ac:dyDescent="0.2">
      <c r="B114" s="4" t="s">
        <v>2061</v>
      </c>
      <c r="C114" s="774">
        <v>9</v>
      </c>
      <c r="D114" s="23">
        <f>+'600 482 Airport'!Q10</f>
        <v>47234</v>
      </c>
      <c r="E114" s="4" t="s">
        <v>2062</v>
      </c>
    </row>
    <row r="116" spans="1:5" x14ac:dyDescent="0.2">
      <c r="A116" s="74" t="s">
        <v>2063</v>
      </c>
    </row>
    <row r="117" spans="1:5" x14ac:dyDescent="0.2">
      <c r="B117" s="4" t="s">
        <v>2064</v>
      </c>
      <c r="C117" s="774">
        <v>7</v>
      </c>
      <c r="D117" s="149">
        <f>+'661 440 CWF'!P73</f>
        <v>96280</v>
      </c>
    </row>
    <row r="118" spans="1:5" x14ac:dyDescent="0.2">
      <c r="B118" s="4" t="s">
        <v>2065</v>
      </c>
      <c r="C118" s="774">
        <v>3</v>
      </c>
      <c r="D118" s="149">
        <f>+'661 440 CWF'!P75</f>
        <v>64896</v>
      </c>
    </row>
    <row r="119" spans="1:5" x14ac:dyDescent="0.2">
      <c r="B119" s="4" t="s">
        <v>2066</v>
      </c>
      <c r="C119" s="774">
        <v>10</v>
      </c>
      <c r="D119" s="149">
        <f>+'661 440 CWF'!P76</f>
        <v>52270.400000000001</v>
      </c>
    </row>
    <row r="120" spans="1:5" x14ac:dyDescent="0.2">
      <c r="B120" s="4" t="s">
        <v>2030</v>
      </c>
      <c r="C120" s="855">
        <v>10</v>
      </c>
      <c r="D120" s="149">
        <f>+'661 440 CWF'!P77</f>
        <v>62483.199999999997</v>
      </c>
    </row>
    <row r="121" spans="1:5" x14ac:dyDescent="0.2">
      <c r="B121" s="4" t="s">
        <v>2067</v>
      </c>
      <c r="C121" s="774">
        <v>4</v>
      </c>
      <c r="D121" s="149">
        <f>+'661 440 CWF'!P78</f>
        <v>48443.199999999997</v>
      </c>
    </row>
    <row r="122" spans="1:5" x14ac:dyDescent="0.2">
      <c r="B122" s="4" t="s">
        <v>2067</v>
      </c>
      <c r="C122" s="774">
        <v>3</v>
      </c>
      <c r="D122" s="149">
        <f>+'661 440 CWF'!P79</f>
        <v>48443.199999999997</v>
      </c>
    </row>
    <row r="123" spans="1:5" x14ac:dyDescent="0.2">
      <c r="B123" s="4" t="s">
        <v>2068</v>
      </c>
      <c r="C123" s="774">
        <v>6</v>
      </c>
      <c r="D123" s="149">
        <f>+'661 440 CWF'!P80</f>
        <v>42328</v>
      </c>
    </row>
    <row r="124" spans="1:5" x14ac:dyDescent="0.2">
      <c r="B124" s="4" t="s">
        <v>2069</v>
      </c>
      <c r="C124" s="774">
        <v>2</v>
      </c>
      <c r="D124" s="149">
        <f>+'661 440 CWF'!P81</f>
        <v>48193.599999999999</v>
      </c>
    </row>
    <row r="125" spans="1:5" x14ac:dyDescent="0.2">
      <c r="B125" s="4" t="s">
        <v>2025</v>
      </c>
      <c r="C125" s="774">
        <v>4</v>
      </c>
      <c r="D125" s="23">
        <f>+'661 440 CWF'!P74</f>
        <v>43346.879999999997</v>
      </c>
    </row>
  </sheetData>
  <mergeCells count="1">
    <mergeCell ref="A1:F1"/>
  </mergeCells>
  <phoneticPr fontId="15" type="noConversion"/>
  <printOptions horizontalCentered="1"/>
  <pageMargins left="0.75" right="0.75" top="1" bottom="1" header="0.5" footer="0.5"/>
  <pageSetup scale="97" fitToHeight="3" orientation="portrait" r:id="rId1"/>
  <headerFooter alignWithMargins="0">
    <oddFooter>&amp;L&amp;D &amp;T&amp;C&amp;F&amp;R&amp;A&amp;P</oddFooter>
  </headerFooter>
  <rowBreaks count="1" manualBreakCount="1">
    <brk id="87" max="5"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B0F0"/>
  </sheetPr>
  <dimension ref="A1:P123"/>
  <sheetViews>
    <sheetView zoomScaleNormal="100" workbookViewId="0">
      <selection activeCell="B106" sqref="B106"/>
    </sheetView>
  </sheetViews>
  <sheetFormatPr defaultRowHeight="14.25" x14ac:dyDescent="0.2"/>
  <cols>
    <col min="1" max="1" width="4.83203125" style="773" customWidth="1"/>
    <col min="2" max="2" width="26.33203125" style="43" customWidth="1"/>
    <col min="3" max="9" width="16.83203125" style="565" hidden="1" customWidth="1"/>
    <col min="10" max="10" width="12.83203125" style="565" hidden="1" customWidth="1"/>
    <col min="11" max="12" width="12.83203125" style="565" customWidth="1"/>
    <col min="13" max="13" width="14.83203125" style="43" customWidth="1"/>
    <col min="14" max="14" width="10" style="43" customWidth="1"/>
    <col min="15" max="15" width="9.33203125" style="43" customWidth="1"/>
  </cols>
  <sheetData>
    <row r="1" spans="1:15" ht="15" x14ac:dyDescent="0.25">
      <c r="A1" s="1173" t="s">
        <v>2070</v>
      </c>
      <c r="B1" s="1173"/>
      <c r="C1" s="1173"/>
      <c r="D1" s="1173"/>
      <c r="E1" s="1173"/>
      <c r="F1" s="1173"/>
      <c r="G1" s="1173"/>
      <c r="H1" s="1173"/>
      <c r="I1" s="1173"/>
      <c r="J1" s="1173"/>
      <c r="K1" s="1173"/>
      <c r="L1" s="1173"/>
      <c r="M1" s="1173"/>
      <c r="N1" s="1173"/>
      <c r="O1" s="1173"/>
    </row>
    <row r="2" spans="1:15" ht="15" x14ac:dyDescent="0.25">
      <c r="A2" s="1173" t="s">
        <v>2071</v>
      </c>
      <c r="B2" s="1173"/>
      <c r="C2" s="1173"/>
      <c r="D2" s="1173"/>
      <c r="E2" s="1173"/>
      <c r="F2" s="1173"/>
      <c r="G2" s="1173"/>
      <c r="H2" s="1173"/>
      <c r="I2" s="1173"/>
      <c r="J2" s="1173"/>
      <c r="K2" s="1173"/>
      <c r="L2" s="1173"/>
      <c r="M2" s="1173"/>
      <c r="N2" s="1173"/>
      <c r="O2" s="1173"/>
    </row>
    <row r="4" spans="1:15" ht="15" x14ac:dyDescent="0.25">
      <c r="A4" s="811"/>
      <c r="B4" s="867"/>
      <c r="C4" s="868"/>
      <c r="D4" s="868"/>
      <c r="E4" s="868"/>
      <c r="F4" s="868"/>
      <c r="G4" s="868"/>
      <c r="H4" s="868"/>
      <c r="I4" s="868"/>
      <c r="J4" s="868"/>
      <c r="K4" s="868"/>
      <c r="L4" s="868"/>
      <c r="M4" s="869" t="s">
        <v>620</v>
      </c>
      <c r="N4" s="867"/>
      <c r="O4" s="867"/>
    </row>
    <row r="5" spans="1:15" ht="15" x14ac:dyDescent="0.25">
      <c r="A5" s="811"/>
      <c r="B5" s="867"/>
      <c r="C5" s="868"/>
      <c r="D5" s="868"/>
      <c r="E5" s="868"/>
      <c r="F5" s="868"/>
      <c r="G5" s="868"/>
      <c r="H5" s="868"/>
      <c r="I5" s="868"/>
      <c r="J5" s="868"/>
      <c r="K5" s="868"/>
      <c r="L5" s="868"/>
      <c r="M5" s="869" t="s">
        <v>2072</v>
      </c>
      <c r="N5" s="867"/>
      <c r="O5" s="867"/>
    </row>
    <row r="6" spans="1:15" ht="15" x14ac:dyDescent="0.25">
      <c r="A6" s="811" t="s">
        <v>2073</v>
      </c>
      <c r="B6" s="867"/>
      <c r="C6" s="869" t="s">
        <v>2074</v>
      </c>
      <c r="D6" s="869" t="s">
        <v>2074</v>
      </c>
      <c r="E6" s="869" t="s">
        <v>2074</v>
      </c>
      <c r="F6" s="869" t="s">
        <v>2074</v>
      </c>
      <c r="G6" s="869" t="s">
        <v>2074</v>
      </c>
      <c r="H6" s="869" t="s">
        <v>2074</v>
      </c>
      <c r="I6" s="869" t="s">
        <v>2074</v>
      </c>
      <c r="J6" s="869" t="s">
        <v>2074</v>
      </c>
      <c r="K6" s="869" t="s">
        <v>2075</v>
      </c>
      <c r="L6" s="869" t="s">
        <v>2076</v>
      </c>
      <c r="M6" s="869" t="s">
        <v>2077</v>
      </c>
      <c r="N6" s="869" t="s">
        <v>840</v>
      </c>
      <c r="O6" s="869" t="s">
        <v>841</v>
      </c>
    </row>
    <row r="7" spans="1:15" ht="15" x14ac:dyDescent="0.25">
      <c r="A7" s="811" t="s">
        <v>2078</v>
      </c>
      <c r="B7" s="867"/>
      <c r="C7" s="869" t="s">
        <v>563</v>
      </c>
      <c r="D7" s="869" t="s">
        <v>564</v>
      </c>
      <c r="E7" s="869" t="s">
        <v>1285</v>
      </c>
      <c r="F7" s="869" t="s">
        <v>567</v>
      </c>
      <c r="G7" s="869" t="s">
        <v>568</v>
      </c>
      <c r="H7" s="869" t="s">
        <v>569</v>
      </c>
      <c r="I7" s="869" t="s">
        <v>570</v>
      </c>
      <c r="J7" s="869" t="s">
        <v>275</v>
      </c>
      <c r="K7" s="869" t="s">
        <v>277</v>
      </c>
      <c r="L7" s="869" t="s">
        <v>571</v>
      </c>
      <c r="M7" s="869" t="s">
        <v>571</v>
      </c>
      <c r="N7" s="870" t="s">
        <v>473</v>
      </c>
      <c r="O7" s="870" t="s">
        <v>473</v>
      </c>
    </row>
    <row r="8" spans="1:15" ht="15" x14ac:dyDescent="0.25">
      <c r="A8" s="811"/>
      <c r="B8" s="867" t="str">
        <f>+'Working Budget with funding det'!B37</f>
        <v>GENERAL GOVERNMENT</v>
      </c>
      <c r="C8" s="868"/>
      <c r="D8" s="868"/>
      <c r="E8" s="868"/>
      <c r="F8" s="868"/>
      <c r="G8" s="868"/>
      <c r="H8" s="868"/>
      <c r="I8" s="868"/>
      <c r="J8" s="868"/>
      <c r="K8" s="868"/>
      <c r="L8" s="868"/>
      <c r="M8" s="867"/>
      <c r="N8" s="867"/>
      <c r="O8" s="867"/>
    </row>
    <row r="9" spans="1:15" ht="15" x14ac:dyDescent="0.25">
      <c r="A9" s="811">
        <f>+'Working Budget with funding det'!A38</f>
        <v>113</v>
      </c>
      <c r="B9" s="867" t="str">
        <f>+'Working Budget with funding det'!B38</f>
        <v>TOWN MEETING</v>
      </c>
      <c r="C9" s="868">
        <f>+'113 Town Mtg'!C23</f>
        <v>1561.73</v>
      </c>
      <c r="D9" s="868">
        <f>+'113 Town Mtg'!D23</f>
        <v>1423.38</v>
      </c>
      <c r="E9" s="868">
        <f>+'113 Town Mtg'!E23</f>
        <v>1614.6</v>
      </c>
      <c r="F9" s="868">
        <f>+'113 Town Mtg'!G23</f>
        <v>1581.73</v>
      </c>
      <c r="G9" s="868">
        <f>+'113 Town Mtg'!H23</f>
        <v>1783.82</v>
      </c>
      <c r="H9" s="868">
        <f>+'113 Town Mtg'!I23</f>
        <v>1800</v>
      </c>
      <c r="I9" s="868">
        <f>+'113 Town Mtg'!J23</f>
        <v>4037.63</v>
      </c>
      <c r="J9" s="868">
        <f>+'113 Town Mtg'!L23</f>
        <v>1403.7</v>
      </c>
      <c r="K9" s="868">
        <f>+'113 Town Mtg'!O23</f>
        <v>2390</v>
      </c>
      <c r="L9" s="868">
        <f>+'113 Town Mtg'!Q23</f>
        <v>2980</v>
      </c>
      <c r="M9" s="868">
        <f>+'113 Town Mtg'!S23</f>
        <v>2980</v>
      </c>
      <c r="N9" s="868">
        <f>+M9-K9</f>
        <v>590</v>
      </c>
      <c r="O9" s="871">
        <f>ROUND((+N9/K9),4)</f>
        <v>0.24690000000000001</v>
      </c>
    </row>
    <row r="10" spans="1:15" ht="15" x14ac:dyDescent="0.25">
      <c r="A10" s="811">
        <f>+'Working Budget with funding det'!A39</f>
        <v>122</v>
      </c>
      <c r="B10" s="867" t="str">
        <f>+'Working Budget with funding det'!B39</f>
        <v>SELECTBOARD</v>
      </c>
      <c r="C10" s="868">
        <f>+'122 Selectboard'!C36</f>
        <v>129636.18999999999</v>
      </c>
      <c r="D10" s="868">
        <f>+'122 Selectboard'!D36</f>
        <v>141863.65000000002</v>
      </c>
      <c r="E10" s="868">
        <f>+'122 Selectboard'!E36</f>
        <v>148667.49</v>
      </c>
      <c r="F10" s="868">
        <f>+'122 Selectboard'!G36</f>
        <v>193441</v>
      </c>
      <c r="G10" s="868">
        <f>+'122 Selectboard'!H36</f>
        <v>175165.72999999998</v>
      </c>
      <c r="H10" s="868">
        <f>+'122 Selectboard'!I36</f>
        <v>172490.09999999998</v>
      </c>
      <c r="I10" s="868">
        <f>+'122 Selectboard'!J36</f>
        <v>181145.66999999998</v>
      </c>
      <c r="J10" s="868">
        <f>+'122 Selectboard'!L36</f>
        <v>189784.35</v>
      </c>
      <c r="K10" s="868">
        <f>+'122 Selectboard'!O36</f>
        <v>313510</v>
      </c>
      <c r="L10" s="868">
        <f>+'122 Selectboard'!Q36</f>
        <v>329781</v>
      </c>
      <c r="M10" s="868">
        <f>+'122 Selectboard'!S36</f>
        <v>329781</v>
      </c>
      <c r="N10" s="868">
        <f t="shared" ref="N10:N23" si="0">+M10-K10</f>
        <v>16271</v>
      </c>
      <c r="O10" s="871">
        <f t="shared" ref="O10:O23" si="1">ROUND((+N10/K10),4)</f>
        <v>5.1900000000000002E-2</v>
      </c>
    </row>
    <row r="11" spans="1:15" ht="15" x14ac:dyDescent="0.25">
      <c r="A11" s="811">
        <f>+'Working Budget with funding det'!A40</f>
        <v>131</v>
      </c>
      <c r="B11" s="867" t="str">
        <f>+'Working Budget with funding det'!B40</f>
        <v>FINANCE COMMITTEE</v>
      </c>
      <c r="C11" s="868">
        <f>+'131 Fin Comm'!C20</f>
        <v>659.25</v>
      </c>
      <c r="D11" s="868">
        <f>+'131 Fin Comm'!D20</f>
        <v>315.39999999999998</v>
      </c>
      <c r="E11" s="868">
        <f>+'131 Fin Comm'!E20</f>
        <v>571.79999999999995</v>
      </c>
      <c r="F11" s="868">
        <f>+'131 Fin Comm'!G20</f>
        <v>422</v>
      </c>
      <c r="G11" s="868">
        <f>+'131 Fin Comm'!H20</f>
        <v>468</v>
      </c>
      <c r="H11" s="868">
        <f>+'131 Fin Comm'!I20</f>
        <v>673.07999999999993</v>
      </c>
      <c r="I11" s="868">
        <f>+'131 Fin Comm'!J20</f>
        <v>464.1</v>
      </c>
      <c r="J11" s="868">
        <f>+'131 Fin Comm'!L20</f>
        <v>280</v>
      </c>
      <c r="K11" s="868">
        <f>+'131 Fin Comm'!O20</f>
        <v>2000</v>
      </c>
      <c r="L11" s="868">
        <f>+'131 Fin Comm'!Q20</f>
        <v>2000</v>
      </c>
      <c r="M11" s="868">
        <f>+'131 Fin Comm'!S20</f>
        <v>2000</v>
      </c>
      <c r="N11" s="868">
        <f t="shared" si="0"/>
        <v>0</v>
      </c>
      <c r="O11" s="871">
        <f t="shared" si="1"/>
        <v>0</v>
      </c>
    </row>
    <row r="12" spans="1:15" ht="15" x14ac:dyDescent="0.25">
      <c r="A12" s="811">
        <f>+'Working Budget with funding det'!A41</f>
        <v>132</v>
      </c>
      <c r="B12" s="867" t="str">
        <f>+'Working Budget with funding det'!B41</f>
        <v>RESERVE FUND</v>
      </c>
      <c r="C12" s="868">
        <f>+'132 Reserve Fund'!C14</f>
        <v>44620</v>
      </c>
      <c r="D12" s="868">
        <f>+'132 Reserve Fund'!D14</f>
        <v>24500</v>
      </c>
      <c r="E12" s="868">
        <f>+'132 Reserve Fund'!E14</f>
        <v>41400</v>
      </c>
      <c r="F12" s="868">
        <f>+'132 Reserve Fund'!G14</f>
        <v>58400.800000000003</v>
      </c>
      <c r="G12" s="868">
        <f>+'132 Reserve Fund'!H14</f>
        <v>43309.74</v>
      </c>
      <c r="H12" s="868">
        <f>+'132 Reserve Fund'!I14</f>
        <v>20200</v>
      </c>
      <c r="I12" s="868">
        <f>+'132 Reserve Fund'!J14</f>
        <v>29700</v>
      </c>
      <c r="J12" s="868">
        <f>+'132 Reserve Fund'!L14</f>
        <v>18500</v>
      </c>
      <c r="K12" s="868">
        <f>+'132 Reserve Fund'!O14</f>
        <v>50000</v>
      </c>
      <c r="L12" s="868">
        <f>+'132 Reserve Fund'!Q14</f>
        <v>50000</v>
      </c>
      <c r="M12" s="868">
        <f>+'132 Reserve Fund'!S14</f>
        <v>50000</v>
      </c>
      <c r="N12" s="868">
        <f t="shared" si="0"/>
        <v>0</v>
      </c>
      <c r="O12" s="871">
        <f t="shared" si="1"/>
        <v>0</v>
      </c>
    </row>
    <row r="13" spans="1:15" ht="15" x14ac:dyDescent="0.25">
      <c r="A13" s="811">
        <f>+'Working Budget with funding det'!A42</f>
        <v>135</v>
      </c>
      <c r="B13" s="867" t="str">
        <f>+'Working Budget with funding det'!B42</f>
        <v>TOWN ACCOUNTANT</v>
      </c>
      <c r="C13" s="868">
        <f>+'135 Acct'!C28</f>
        <v>69678.560000000012</v>
      </c>
      <c r="D13" s="868">
        <f>+'135 Acct'!D28</f>
        <v>69599.66</v>
      </c>
      <c r="E13" s="868">
        <f>+'135 Acct'!E28</f>
        <v>73935.94</v>
      </c>
      <c r="F13" s="868">
        <f>+'135 Acct'!G28</f>
        <v>75098.350000000006</v>
      </c>
      <c r="G13" s="868">
        <f>+'135 Acct'!H28</f>
        <v>75900.149999999994</v>
      </c>
      <c r="H13" s="868">
        <f>+'135 Acct'!I28</f>
        <v>77521.61</v>
      </c>
      <c r="I13" s="868">
        <f>+'135 Acct'!J28</f>
        <v>80373.84</v>
      </c>
      <c r="J13" s="868">
        <f>+'135 Acct'!L28</f>
        <v>81589.320000000007</v>
      </c>
      <c r="K13" s="868">
        <f>+'135 Acct'!O28</f>
        <v>90884</v>
      </c>
      <c r="L13" s="868">
        <f>+'135 Acct'!Q28</f>
        <v>89500</v>
      </c>
      <c r="M13" s="868">
        <f>+'135 Acct'!S28</f>
        <v>89500</v>
      </c>
      <c r="N13" s="868">
        <f t="shared" si="0"/>
        <v>-1384</v>
      </c>
      <c r="O13" s="871">
        <f t="shared" si="1"/>
        <v>-1.52E-2</v>
      </c>
    </row>
    <row r="14" spans="1:15" ht="15" x14ac:dyDescent="0.25">
      <c r="A14" s="811">
        <f>+'Working Budget with funding det'!A43</f>
        <v>141</v>
      </c>
      <c r="B14" s="867" t="str">
        <f>+'Working Budget with funding det'!B43</f>
        <v>ASSESSORS</v>
      </c>
      <c r="C14" s="868">
        <f>+'141 BOA'!C42</f>
        <v>141651.54</v>
      </c>
      <c r="D14" s="868">
        <f>+'141 BOA'!D42</f>
        <v>144985.04999999999</v>
      </c>
      <c r="E14" s="868">
        <f>+'141 BOA'!E42</f>
        <v>151757</v>
      </c>
      <c r="F14" s="868">
        <f>+'141 BOA'!G42</f>
        <v>163402.36000000002</v>
      </c>
      <c r="G14" s="868">
        <f>+'141 BOA'!H42</f>
        <v>172805.62</v>
      </c>
      <c r="H14" s="868">
        <f>+'141 BOA'!I42</f>
        <v>172698.83000000002</v>
      </c>
      <c r="I14" s="868">
        <f>+'141 BOA'!J42</f>
        <v>184928.44</v>
      </c>
      <c r="J14" s="868">
        <f>+'141 BOA'!L42</f>
        <v>169249.33</v>
      </c>
      <c r="K14" s="868">
        <f>+'141 BOA'!O42</f>
        <v>190623</v>
      </c>
      <c r="L14" s="868">
        <f>+'141 BOA'!Q42</f>
        <v>189801</v>
      </c>
      <c r="M14" s="868">
        <f>+'141 BOA'!S42</f>
        <v>189801</v>
      </c>
      <c r="N14" s="868">
        <f t="shared" si="0"/>
        <v>-822</v>
      </c>
      <c r="O14" s="871">
        <f t="shared" si="1"/>
        <v>-4.3E-3</v>
      </c>
    </row>
    <row r="15" spans="1:15" ht="15" x14ac:dyDescent="0.25">
      <c r="A15" s="811">
        <f>+'Working Budget with funding det'!A45</f>
        <v>145</v>
      </c>
      <c r="B15" s="867" t="str">
        <f>+'Working Budget with funding det'!B45</f>
        <v>TREASURER/COLLECTOR</v>
      </c>
      <c r="C15" s="868">
        <f>+'145 Treas'!C33</f>
        <v>191039.90999999997</v>
      </c>
      <c r="D15" s="868">
        <f>+'145 Treas'!D33</f>
        <v>197309.9</v>
      </c>
      <c r="E15" s="868">
        <f>+'145 Treas'!E33</f>
        <v>206758.38</v>
      </c>
      <c r="F15" s="868">
        <f>+'145 Treas'!G33</f>
        <v>213700.67</v>
      </c>
      <c r="G15" s="868">
        <f>+'145 Treas'!H33</f>
        <v>208670.33</v>
      </c>
      <c r="H15" s="868">
        <f>+'145 Treas'!I33</f>
        <v>206826.21</v>
      </c>
      <c r="I15" s="868">
        <f>+'145 Treas'!J33</f>
        <v>219412.09000000003</v>
      </c>
      <c r="J15" s="868">
        <f>+'145 Treas'!L33</f>
        <v>223197.94</v>
      </c>
      <c r="K15" s="868">
        <f>+'145 Treas'!O33</f>
        <v>220713</v>
      </c>
      <c r="L15" s="868">
        <f>+'145 Treas'!Q33</f>
        <v>230748.2</v>
      </c>
      <c r="M15" s="868">
        <f>+'145 Treas'!S33</f>
        <v>230748.2</v>
      </c>
      <c r="N15" s="868">
        <f t="shared" si="0"/>
        <v>10035.200000000012</v>
      </c>
      <c r="O15" s="871">
        <f t="shared" si="1"/>
        <v>4.5499999999999999E-2</v>
      </c>
    </row>
    <row r="16" spans="1:15" ht="15" x14ac:dyDescent="0.25">
      <c r="A16" s="811">
        <f>+'Working Budget with funding det'!A46</f>
        <v>151</v>
      </c>
      <c r="B16" s="867" t="str">
        <f>+'Working Budget with funding det'!B46</f>
        <v>TOWN COUNSEL</v>
      </c>
      <c r="C16" s="868">
        <f>+'151 Counsel'!C16</f>
        <v>79291.739999999991</v>
      </c>
      <c r="D16" s="868">
        <f>+'151 Counsel'!D16</f>
        <v>68222.33</v>
      </c>
      <c r="E16" s="868">
        <f>+'151 Counsel'!E16</f>
        <v>104258.47</v>
      </c>
      <c r="F16" s="868">
        <f>+'151 Counsel'!G16</f>
        <v>94990.93</v>
      </c>
      <c r="G16" s="868">
        <f>+'151 Counsel'!H16</f>
        <v>78752.53</v>
      </c>
      <c r="H16" s="868">
        <f>+'151 Counsel'!I16</f>
        <v>62050.99</v>
      </c>
      <c r="I16" s="868">
        <f>+'151 Counsel'!J16</f>
        <v>47390.289999999994</v>
      </c>
      <c r="J16" s="868">
        <f>+'151 Counsel'!L16</f>
        <v>51028.08</v>
      </c>
      <c r="K16" s="868">
        <f>+'151 Counsel'!O16</f>
        <v>75000</v>
      </c>
      <c r="L16" s="868">
        <f>+'151 Counsel'!Q16</f>
        <v>80000</v>
      </c>
      <c r="M16" s="868">
        <f>+'151 Counsel'!S16</f>
        <v>80000</v>
      </c>
      <c r="N16" s="868">
        <f t="shared" si="0"/>
        <v>5000</v>
      </c>
      <c r="O16" s="871">
        <f t="shared" si="1"/>
        <v>6.6699999999999995E-2</v>
      </c>
    </row>
    <row r="17" spans="1:15" ht="15" x14ac:dyDescent="0.25">
      <c r="A17" s="811">
        <v>155</v>
      </c>
      <c r="B17" s="867" t="s">
        <v>628</v>
      </c>
      <c r="C17" s="868">
        <f>+'155 IT'!C29</f>
        <v>21070.73</v>
      </c>
      <c r="D17" s="868">
        <f>+'155 IT'!D29</f>
        <v>21720.39</v>
      </c>
      <c r="E17" s="868">
        <f>+'155 IT'!E29</f>
        <v>22312.94</v>
      </c>
      <c r="F17" s="868">
        <f>+'155 IT'!G29</f>
        <v>33814.289999999994</v>
      </c>
      <c r="G17" s="868">
        <f>+'155 IT'!H29</f>
        <v>43349.700000000004</v>
      </c>
      <c r="H17" s="868">
        <f>+'155 IT'!I29</f>
        <v>46323.6</v>
      </c>
      <c r="I17" s="868">
        <f>+'155 IT'!J29</f>
        <v>56002.240000000005</v>
      </c>
      <c r="J17" s="868">
        <f>+'155 IT'!L29</f>
        <v>71280.13</v>
      </c>
      <c r="K17" s="868">
        <f>+'155 IT'!O29</f>
        <v>79000</v>
      </c>
      <c r="L17" s="868">
        <f>+'155 IT'!Q29</f>
        <v>80500</v>
      </c>
      <c r="M17" s="868">
        <f>+'155 IT'!S29</f>
        <v>80500</v>
      </c>
      <c r="N17" s="868">
        <f t="shared" si="0"/>
        <v>1500</v>
      </c>
      <c r="O17" s="871">
        <f t="shared" si="1"/>
        <v>1.9E-2</v>
      </c>
    </row>
    <row r="18" spans="1:15" ht="15" x14ac:dyDescent="0.25">
      <c r="A18" s="811">
        <f>+'Working Budget with funding det'!A48</f>
        <v>159</v>
      </c>
      <c r="B18" s="867" t="str">
        <f>+'Working Budget with funding det'!B48</f>
        <v>SHARED COSTS</v>
      </c>
      <c r="C18" s="868">
        <f>+'159 Shared Costs'!C21</f>
        <v>41297.370000000003</v>
      </c>
      <c r="D18" s="868">
        <f>+'159 Shared Costs'!D21</f>
        <v>40543.560000000005</v>
      </c>
      <c r="E18" s="868">
        <f>+'159 Shared Costs'!E23</f>
        <v>43387.42</v>
      </c>
      <c r="F18" s="868">
        <f>+'159 Shared Costs'!G21</f>
        <v>43321.19</v>
      </c>
      <c r="G18" s="868">
        <f>+'159 Shared Costs'!H21</f>
        <v>72116.45</v>
      </c>
      <c r="H18" s="868">
        <f>+'159 Shared Costs'!I21</f>
        <v>81055.099999999991</v>
      </c>
      <c r="I18" s="868">
        <f>+'159 Shared Costs'!J21</f>
        <v>59453.41</v>
      </c>
      <c r="J18" s="868">
        <f>+'159 Shared Costs'!L21</f>
        <v>62336.41</v>
      </c>
      <c r="K18" s="868">
        <f>+'159 Shared Costs'!O21</f>
        <v>78079</v>
      </c>
      <c r="L18" s="868">
        <f>+'159 Shared Costs'!Q21</f>
        <v>85907</v>
      </c>
      <c r="M18" s="868">
        <f>+'159 Shared Costs'!S21</f>
        <v>85907</v>
      </c>
      <c r="N18" s="868">
        <f t="shared" si="0"/>
        <v>7828</v>
      </c>
      <c r="O18" s="871">
        <f t="shared" si="1"/>
        <v>0.1003</v>
      </c>
    </row>
    <row r="19" spans="1:15" ht="15" x14ac:dyDescent="0.25">
      <c r="A19" s="811">
        <f>+'Working Budget with funding det'!A49</f>
        <v>161</v>
      </c>
      <c r="B19" s="867" t="str">
        <f>+'Working Budget with funding det'!B49</f>
        <v>TOWN CLERK</v>
      </c>
      <c r="C19" s="868">
        <f>+'161 Clerk'!C38</f>
        <v>130503.54</v>
      </c>
      <c r="D19" s="868">
        <f>+'161 Clerk'!D38</f>
        <v>113509.36</v>
      </c>
      <c r="E19" s="868">
        <f>+'161 Clerk'!E38</f>
        <v>134637.65</v>
      </c>
      <c r="F19" s="868">
        <f>+'161 Clerk'!G38</f>
        <v>142245.75999999998</v>
      </c>
      <c r="G19" s="868">
        <f>+'161 Clerk'!H38</f>
        <v>134774.06</v>
      </c>
      <c r="H19" s="868">
        <f>+'161 Clerk'!I38</f>
        <v>164798.6</v>
      </c>
      <c r="I19" s="868">
        <f>+'161 Clerk'!J38</f>
        <v>152976.47999999998</v>
      </c>
      <c r="J19" s="868">
        <f>+'161 Clerk'!L38</f>
        <v>163415.98000000001</v>
      </c>
      <c r="K19" s="868">
        <f>+'161 Clerk'!O38</f>
        <v>195844</v>
      </c>
      <c r="L19" s="868">
        <f>+'161 Clerk'!Q38</f>
        <v>243041</v>
      </c>
      <c r="M19" s="868">
        <f>+'161 Clerk'!S38</f>
        <v>243041</v>
      </c>
      <c r="N19" s="868">
        <f t="shared" si="0"/>
        <v>47197</v>
      </c>
      <c r="O19" s="871">
        <f t="shared" si="1"/>
        <v>0.24099999999999999</v>
      </c>
    </row>
    <row r="20" spans="1:15" ht="15" x14ac:dyDescent="0.25">
      <c r="A20" s="811">
        <f>+'Working Budget with funding det'!A50</f>
        <v>175</v>
      </c>
      <c r="B20" s="867" t="str">
        <f>+'Working Budget with funding det'!B50</f>
        <v>PLANNING</v>
      </c>
      <c r="C20" s="868">
        <f>+'175 Planning'!C32</f>
        <v>64295.68</v>
      </c>
      <c r="D20" s="868">
        <f>+'175 Planning'!D32</f>
        <v>74043.48</v>
      </c>
      <c r="E20" s="868">
        <f>+'175 Planning'!E32</f>
        <v>76609.999999999985</v>
      </c>
      <c r="F20" s="868">
        <f>+'175 Planning'!G32</f>
        <v>85614.25</v>
      </c>
      <c r="G20" s="868">
        <f>+'175 Planning'!H32</f>
        <v>89106.83</v>
      </c>
      <c r="H20" s="868">
        <f>+'175 Planning'!I32</f>
        <v>113367.35999999999</v>
      </c>
      <c r="I20" s="868">
        <f>+'175 Planning'!J32</f>
        <v>123363.51</v>
      </c>
      <c r="J20" s="868">
        <f>+'175 Planning'!L32</f>
        <v>119134.15999999999</v>
      </c>
      <c r="K20" s="868">
        <f>+'175 Planning'!O32</f>
        <v>129007</v>
      </c>
      <c r="L20" s="868">
        <f>+'175 Planning'!Q32</f>
        <v>134429</v>
      </c>
      <c r="M20" s="868">
        <f>+'175 Planning'!S32</f>
        <v>134429</v>
      </c>
      <c r="N20" s="868">
        <f t="shared" si="0"/>
        <v>5422</v>
      </c>
      <c r="O20" s="871">
        <f t="shared" si="1"/>
        <v>4.2000000000000003E-2</v>
      </c>
    </row>
    <row r="21" spans="1:15" ht="15" x14ac:dyDescent="0.25">
      <c r="A21" s="811">
        <f>+'Working Budget with funding det'!A51</f>
        <v>176</v>
      </c>
      <c r="B21" s="867" t="str">
        <f>+'Working Budget with funding det'!B51</f>
        <v>ZONING BOARD OF APPEALS</v>
      </c>
      <c r="C21" s="868">
        <f>+'176 ZBA'!C18</f>
        <v>3437.02</v>
      </c>
      <c r="D21" s="868">
        <f>+'176 ZBA'!D18</f>
        <v>1079.7</v>
      </c>
      <c r="E21" s="868">
        <f>+'176 ZBA'!E18</f>
        <v>1238.56</v>
      </c>
      <c r="F21" s="868">
        <f>+'176 ZBA'!G18</f>
        <v>2086.86</v>
      </c>
      <c r="G21" s="868">
        <f>+'176 ZBA'!H18</f>
        <v>3065.5</v>
      </c>
      <c r="H21" s="868">
        <f>+'176 ZBA'!I18</f>
        <v>611.48</v>
      </c>
      <c r="I21" s="868">
        <f>+'176 ZBA'!J18</f>
        <v>789.57</v>
      </c>
      <c r="J21" s="868">
        <f>+'176 ZBA'!L18</f>
        <v>214.56</v>
      </c>
      <c r="K21" s="868">
        <f>+'176 ZBA'!O18</f>
        <v>700</v>
      </c>
      <c r="L21" s="868">
        <f>+'176 ZBA'!Q18</f>
        <v>700</v>
      </c>
      <c r="M21" s="868">
        <f>+'176 ZBA'!S18</f>
        <v>700</v>
      </c>
      <c r="N21" s="868">
        <f t="shared" si="0"/>
        <v>0</v>
      </c>
      <c r="O21" s="871">
        <f t="shared" si="1"/>
        <v>0</v>
      </c>
    </row>
    <row r="22" spans="1:15" ht="15" x14ac:dyDescent="0.25">
      <c r="A22" s="811">
        <f>+'Working Budget with funding det'!A52</f>
        <v>190</v>
      </c>
      <c r="B22" s="867" t="str">
        <f>+'Working Budget with funding det'!B52</f>
        <v>PUBLIC BLDG UTILITIES</v>
      </c>
      <c r="C22" s="872">
        <f>+'190 Publ Bldg Utilities'!C41</f>
        <v>89938.37</v>
      </c>
      <c r="D22" s="872">
        <f>+'190 Publ Bldg Utilities'!D41</f>
        <v>103744.03</v>
      </c>
      <c r="E22" s="872">
        <f>+'190 Publ Bldg Utilities'!E41</f>
        <v>94949.29</v>
      </c>
      <c r="F22" s="872">
        <f>+'190 Publ Bldg Utilities'!G41</f>
        <v>86631.79</v>
      </c>
      <c r="G22" s="872">
        <f>+'190 Publ Bldg Utilities'!H41</f>
        <v>88374.909999999974</v>
      </c>
      <c r="H22" s="872">
        <f>+'190 Publ Bldg Utilities'!I41</f>
        <v>92714.789999999964</v>
      </c>
      <c r="I22" s="872">
        <f>+'190 Publ Bldg Utilities'!J41</f>
        <v>77501.360000000015</v>
      </c>
      <c r="J22" s="872">
        <f>+'190 Publ Bldg Utilities'!L41</f>
        <v>85460.26</v>
      </c>
      <c r="K22" s="868">
        <f>+'190 Publ Bldg Utilities'!O41</f>
        <v>130782</v>
      </c>
      <c r="L22" s="868">
        <f>+'190 Publ Bldg Utilities'!Q41</f>
        <v>155932</v>
      </c>
      <c r="M22" s="868">
        <f>+'190 Publ Bldg Utilities'!S41</f>
        <v>155932</v>
      </c>
      <c r="N22" s="868">
        <f>+M22-K22</f>
        <v>25150</v>
      </c>
      <c r="O22" s="871">
        <f>ROUND((+N22/K22),4)</f>
        <v>0.1923</v>
      </c>
    </row>
    <row r="23" spans="1:15" ht="15" x14ac:dyDescent="0.25">
      <c r="A23" s="811">
        <v>197</v>
      </c>
      <c r="B23" s="867" t="s">
        <v>2306</v>
      </c>
      <c r="C23" s="868">
        <f>+'197 Farm Mkt'!C17</f>
        <v>0</v>
      </c>
      <c r="D23" s="868">
        <f>+'197 Farm Mkt'!D17</f>
        <v>0</v>
      </c>
      <c r="E23" s="868">
        <f>+'197 Farm Mkt'!E17</f>
        <v>0</v>
      </c>
      <c r="F23" s="868">
        <f>+'197 Farm Mkt'!G17</f>
        <v>0</v>
      </c>
      <c r="G23" s="868">
        <f>+'197 Farm Mkt'!H17</f>
        <v>0</v>
      </c>
      <c r="H23" s="868">
        <f>+'197 Farm Mkt'!I17</f>
        <v>0</v>
      </c>
      <c r="I23" s="868">
        <f>+'197 Farm Mkt'!J17</f>
        <v>0</v>
      </c>
      <c r="J23" s="868">
        <f>+'197 Farm Mkt'!L17</f>
        <v>0</v>
      </c>
      <c r="K23" s="872">
        <f>+'197 Farm Mkt'!O17</f>
        <v>0</v>
      </c>
      <c r="L23" s="872">
        <f>+'197 Farm Mkt'!Q17</f>
        <v>5000</v>
      </c>
      <c r="M23" s="872">
        <f>+'197 Farm Mkt'!S17</f>
        <v>5000</v>
      </c>
      <c r="N23" s="872">
        <f t="shared" si="0"/>
        <v>5000</v>
      </c>
      <c r="O23" s="951" t="e">
        <f t="shared" si="1"/>
        <v>#DIV/0!</v>
      </c>
    </row>
    <row r="24" spans="1:15" ht="15" x14ac:dyDescent="0.25">
      <c r="A24" s="811"/>
      <c r="B24" s="867" t="s">
        <v>2079</v>
      </c>
      <c r="C24" s="868">
        <f t="shared" ref="C24:M24" si="2">SUM(C9:C23)</f>
        <v>1008681.63</v>
      </c>
      <c r="D24" s="868">
        <f t="shared" si="2"/>
        <v>1002859.89</v>
      </c>
      <c r="E24" s="868">
        <f t="shared" si="2"/>
        <v>1102099.54</v>
      </c>
      <c r="F24" s="868">
        <f t="shared" si="2"/>
        <v>1194751.9800000002</v>
      </c>
      <c r="G24" s="868">
        <f t="shared" si="2"/>
        <v>1187643.3699999999</v>
      </c>
      <c r="H24" s="868">
        <f t="shared" si="2"/>
        <v>1213131.75</v>
      </c>
      <c r="I24" s="868">
        <f t="shared" si="2"/>
        <v>1217538.6300000001</v>
      </c>
      <c r="J24" s="868">
        <f t="shared" si="2"/>
        <v>1236874.22</v>
      </c>
      <c r="K24" s="868">
        <f t="shared" si="2"/>
        <v>1558532</v>
      </c>
      <c r="L24" s="868">
        <f t="shared" si="2"/>
        <v>1680319.2</v>
      </c>
      <c r="M24" s="868">
        <f t="shared" si="2"/>
        <v>1680319.2</v>
      </c>
      <c r="N24" s="868">
        <f>+M24-K24</f>
        <v>121787.19999999995</v>
      </c>
      <c r="O24" s="871">
        <f>ROUND((+N24/K24),4)</f>
        <v>7.8100000000000003E-2</v>
      </c>
    </row>
    <row r="25" spans="1:15" ht="15" x14ac:dyDescent="0.25">
      <c r="A25" s="811"/>
      <c r="B25" s="867"/>
      <c r="C25" s="868"/>
      <c r="D25" s="868"/>
      <c r="E25" s="868"/>
      <c r="F25" s="868"/>
      <c r="G25" s="868"/>
      <c r="H25" s="868"/>
      <c r="I25" s="868"/>
      <c r="J25" s="868"/>
      <c r="K25" s="868"/>
      <c r="L25" s="868"/>
      <c r="M25" s="868"/>
      <c r="N25" s="867"/>
      <c r="O25" s="867"/>
    </row>
    <row r="26" spans="1:15" ht="15" x14ac:dyDescent="0.25">
      <c r="A26" s="811"/>
      <c r="B26" s="867" t="str">
        <f>+'Working Budget with funding det'!B57</f>
        <v>PUBLIC SAFETY</v>
      </c>
      <c r="C26" s="868"/>
      <c r="D26" s="868"/>
      <c r="E26" s="868"/>
      <c r="F26" s="868"/>
      <c r="G26" s="868"/>
      <c r="H26" s="868"/>
      <c r="I26" s="868"/>
      <c r="J26" s="868"/>
      <c r="K26" s="868"/>
      <c r="L26" s="868"/>
      <c r="M26" s="868"/>
      <c r="N26" s="867"/>
      <c r="O26" s="867"/>
    </row>
    <row r="27" spans="1:15" ht="15" x14ac:dyDescent="0.25">
      <c r="A27" s="811">
        <f>+'Working Budget with funding det'!A58</f>
        <v>211</v>
      </c>
      <c r="B27" s="867" t="str">
        <f>+'Working Budget with funding det'!B58</f>
        <v>POLICE</v>
      </c>
      <c r="C27" s="868">
        <f>+'211 Police'!C59-C28</f>
        <v>1203014.26</v>
      </c>
      <c r="D27" s="868">
        <f>+'211 Police'!D59-D28</f>
        <v>1263124.29</v>
      </c>
      <c r="E27" s="868">
        <f>+'211 Police'!E59-E28</f>
        <v>1370950.0999999999</v>
      </c>
      <c r="F27" s="868">
        <f>+'211 Police'!G59-F28</f>
        <v>1470652.1500000001</v>
      </c>
      <c r="G27" s="868">
        <f>+'211 Police'!H59-G28</f>
        <v>1309212.4100000001</v>
      </c>
      <c r="H27" s="868">
        <f>+'211 Police'!I59-H28</f>
        <v>1550896.98</v>
      </c>
      <c r="I27" s="868">
        <f>+'211 Police'!J59-I28</f>
        <v>1595325.69</v>
      </c>
      <c r="J27" s="873">
        <f>+'211 Police'!L59-J28</f>
        <v>1627631.8900000001</v>
      </c>
      <c r="K27" s="873">
        <f>+'211 Police'!O59-K28</f>
        <v>1878434</v>
      </c>
      <c r="L27" s="868">
        <f>+'211 Police'!Q59-L28</f>
        <v>1970054.0889999999</v>
      </c>
      <c r="M27" s="868">
        <f>+'211 Police'!S59-M28</f>
        <v>1970054.0889999999</v>
      </c>
      <c r="N27" s="868">
        <f t="shared" ref="N27:N36" si="3">+M27-K27</f>
        <v>91620.08899999992</v>
      </c>
      <c r="O27" s="871">
        <f t="shared" ref="O27:O36" si="4">ROUND((+N27/K27),4)</f>
        <v>4.8800000000000003E-2</v>
      </c>
    </row>
    <row r="28" spans="1:15" ht="15" x14ac:dyDescent="0.25">
      <c r="A28" s="811">
        <v>211</v>
      </c>
      <c r="B28" s="867" t="s">
        <v>637</v>
      </c>
      <c r="C28" s="868">
        <f>+'211 Police'!C57</f>
        <v>36895.4</v>
      </c>
      <c r="D28" s="868">
        <f>+'211 Police'!D57</f>
        <v>39483.5</v>
      </c>
      <c r="E28" s="868">
        <f>+'211 Police'!E57</f>
        <v>39102.5</v>
      </c>
      <c r="F28" s="868">
        <f>+'211 Police'!G57</f>
        <v>39500</v>
      </c>
      <c r="G28" s="868">
        <f>+'211 Police'!H57</f>
        <v>41424</v>
      </c>
      <c r="H28" s="868">
        <f>+'211 Police'!I57</f>
        <v>34000</v>
      </c>
      <c r="I28" s="868">
        <f>+'211 Police'!J57</f>
        <v>51600</v>
      </c>
      <c r="J28" s="868">
        <f>+'211 Police'!L57</f>
        <v>22900</v>
      </c>
      <c r="K28" s="868">
        <f>+'211 Police'!O57</f>
        <v>54000</v>
      </c>
      <c r="L28" s="868">
        <f>+'211 Police'!Q57</f>
        <v>68100</v>
      </c>
      <c r="M28" s="868">
        <f>+'211 Police'!S57</f>
        <v>68100</v>
      </c>
      <c r="N28" s="868">
        <f t="shared" si="3"/>
        <v>14100</v>
      </c>
      <c r="O28" s="871">
        <f t="shared" si="4"/>
        <v>0.2611</v>
      </c>
    </row>
    <row r="29" spans="1:15" ht="15" x14ac:dyDescent="0.25">
      <c r="A29" s="811">
        <f>+'Working Budget with funding det'!A60</f>
        <v>212</v>
      </c>
      <c r="B29" s="867" t="str">
        <f>+'Working Budget with funding det'!B60</f>
        <v>DISPATCH</v>
      </c>
      <c r="C29" s="868">
        <f>+'212 Dispatch'!C26</f>
        <v>219830.37</v>
      </c>
      <c r="D29" s="868">
        <f>+'212 Dispatch'!D26</f>
        <v>247066.76000000004</v>
      </c>
      <c r="E29" s="868">
        <f>+'212 Dispatch'!E26</f>
        <v>261015.62</v>
      </c>
      <c r="F29" s="868">
        <f>+'212 Dispatch'!G26</f>
        <v>268261.88000000006</v>
      </c>
      <c r="G29" s="868">
        <f>+'212 Dispatch'!H26</f>
        <v>297260.07</v>
      </c>
      <c r="H29" s="868">
        <f>+'212 Dispatch'!I26</f>
        <v>299708.75999999995</v>
      </c>
      <c r="I29" s="868">
        <f>+'212 Dispatch'!J26</f>
        <v>313079.05999999994</v>
      </c>
      <c r="J29" s="868">
        <f>+'212 Dispatch'!L26</f>
        <v>286236</v>
      </c>
      <c r="K29" s="868">
        <f>+'212 Dispatch'!O26</f>
        <v>377862</v>
      </c>
      <c r="L29" s="868">
        <f>+'212 Dispatch'!Q26</f>
        <v>395588.1</v>
      </c>
      <c r="M29" s="868">
        <f>+'212 Dispatch'!S26</f>
        <v>395588.1</v>
      </c>
      <c r="N29" s="868">
        <f t="shared" si="3"/>
        <v>17726.099999999977</v>
      </c>
      <c r="O29" s="871">
        <f t="shared" si="4"/>
        <v>4.6899999999999997E-2</v>
      </c>
    </row>
    <row r="30" spans="1:15" ht="15" x14ac:dyDescent="0.25">
      <c r="A30" s="811">
        <f>+'Working Budget with funding det'!A61</f>
        <v>241</v>
      </c>
      <c r="B30" s="867" t="str">
        <f>+'Working Budget with funding det'!B61</f>
        <v>BUILDING INSPECTOR</v>
      </c>
      <c r="C30" s="868">
        <f>+'241 Bldg'!C35</f>
        <v>111725.37000000001</v>
      </c>
      <c r="D30" s="868">
        <f>+'241 Bldg'!D35</f>
        <v>114463.61999999998</v>
      </c>
      <c r="E30" s="868">
        <f>+'241 Bldg'!E35</f>
        <v>118337.56</v>
      </c>
      <c r="F30" s="868">
        <f>+'241 Bldg'!G35</f>
        <v>124191.90999999999</v>
      </c>
      <c r="G30" s="868">
        <f>+'241 Bldg'!H35</f>
        <v>142151.04999999999</v>
      </c>
      <c r="H30" s="868">
        <f>+'241 Bldg'!I35</f>
        <v>124218.98</v>
      </c>
      <c r="I30" s="868">
        <f>+'241 Bldg'!J35</f>
        <v>135195.35999999999</v>
      </c>
      <c r="J30" s="868">
        <f>+'241 Bldg'!L35</f>
        <v>139843.77000000002</v>
      </c>
      <c r="K30" s="868">
        <f>+'241 Bldg'!O35</f>
        <v>140666</v>
      </c>
      <c r="L30" s="868">
        <f>+'241 Bldg'!Q35</f>
        <v>148621</v>
      </c>
      <c r="M30" s="868">
        <f>+'241 Bldg'!S35</f>
        <v>148621</v>
      </c>
      <c r="N30" s="868">
        <f t="shared" si="3"/>
        <v>7955</v>
      </c>
      <c r="O30" s="871">
        <f t="shared" si="4"/>
        <v>5.6599999999999998E-2</v>
      </c>
    </row>
    <row r="31" spans="1:15" ht="15" x14ac:dyDescent="0.25">
      <c r="A31" s="811">
        <f>+'Working Budget with funding det'!A62</f>
        <v>244</v>
      </c>
      <c r="B31" s="867" t="str">
        <f>+'Working Budget with funding det'!B62</f>
        <v xml:space="preserve">SEALER OF WEIGHTS </v>
      </c>
      <c r="C31" s="868">
        <f>+'244 Sealer'!C12</f>
        <v>2750</v>
      </c>
      <c r="D31" s="868">
        <f>+'244 Sealer'!D12</f>
        <v>2750</v>
      </c>
      <c r="E31" s="868">
        <f>+'244 Sealer'!E12</f>
        <v>2750</v>
      </c>
      <c r="F31" s="868">
        <f>+'244 Sealer'!G12</f>
        <v>2750</v>
      </c>
      <c r="G31" s="868">
        <f>+'244 Sealer'!H12</f>
        <v>2750</v>
      </c>
      <c r="H31" s="868">
        <f>+'244 Sealer'!I12</f>
        <v>2750</v>
      </c>
      <c r="I31" s="868">
        <f>+'244 Sealer'!J12</f>
        <v>2750</v>
      </c>
      <c r="J31" s="868">
        <f>+'244 Sealer'!L12</f>
        <v>2750</v>
      </c>
      <c r="K31" s="868">
        <f>+'244 Sealer'!O12</f>
        <v>7182</v>
      </c>
      <c r="L31" s="868">
        <f>+'244 Sealer'!Q12</f>
        <v>7182</v>
      </c>
      <c r="M31" s="868">
        <f>+'244 Sealer'!S12</f>
        <v>7182</v>
      </c>
      <c r="N31" s="868">
        <f t="shared" si="3"/>
        <v>0</v>
      </c>
      <c r="O31" s="871">
        <f t="shared" si="4"/>
        <v>0</v>
      </c>
    </row>
    <row r="32" spans="1:15" ht="15" x14ac:dyDescent="0.25">
      <c r="A32" s="811">
        <f>+'Working Budget with funding det'!A63</f>
        <v>291</v>
      </c>
      <c r="B32" s="867" t="str">
        <f>+'Working Budget with funding det'!B63</f>
        <v>EMERGENCY MANAGEMENT</v>
      </c>
      <c r="C32" s="868">
        <f>+'291 Emergency'!C16</f>
        <v>5490</v>
      </c>
      <c r="D32" s="868">
        <f>+'291 Emergency'!D16</f>
        <v>5590</v>
      </c>
      <c r="E32" s="868">
        <f>+'291 Emergency'!E16</f>
        <v>5590</v>
      </c>
      <c r="F32" s="868">
        <f>+'291 Emergency'!G16</f>
        <v>5490</v>
      </c>
      <c r="G32" s="868">
        <f>+'291 Emergency'!H16</f>
        <v>5490</v>
      </c>
      <c r="H32" s="868">
        <f>+'291 Emergency'!I16</f>
        <v>5490</v>
      </c>
      <c r="I32" s="868">
        <f>+'291 Emergency'!J16</f>
        <v>5765</v>
      </c>
      <c r="J32" s="868">
        <f>+'291 Emergency'!L16</f>
        <v>5765</v>
      </c>
      <c r="K32" s="868">
        <f>+'291 Emergency'!O16</f>
        <v>6265</v>
      </c>
      <c r="L32" s="868">
        <f>+'291 Emergency'!Q16</f>
        <v>6265</v>
      </c>
      <c r="M32" s="868">
        <f>+'291 Emergency'!S16</f>
        <v>6265</v>
      </c>
      <c r="N32" s="868">
        <f t="shared" si="3"/>
        <v>0</v>
      </c>
      <c r="O32" s="871">
        <f t="shared" si="4"/>
        <v>0</v>
      </c>
    </row>
    <row r="33" spans="1:15" ht="15" x14ac:dyDescent="0.25">
      <c r="A33" s="811">
        <f>+'Working Budget with funding det'!A64</f>
        <v>292</v>
      </c>
      <c r="B33" s="867" t="str">
        <f>+'Working Budget with funding det'!B64</f>
        <v>ANIMAL CONTROL</v>
      </c>
      <c r="C33" s="868">
        <f>+'292 Animal'!C21</f>
        <v>3869.81</v>
      </c>
      <c r="D33" s="868">
        <f>+'292 Animal'!D21</f>
        <v>12240.720000000001</v>
      </c>
      <c r="E33" s="868">
        <f>+'292 Animal'!E21</f>
        <v>16352.41</v>
      </c>
      <c r="F33" s="868">
        <f>+'292 Animal'!G21</f>
        <v>17994.600000000002</v>
      </c>
      <c r="G33" s="868">
        <f>+'292 Animal'!H21</f>
        <v>26165.239999999998</v>
      </c>
      <c r="H33" s="868">
        <f>+'292 Animal'!I21</f>
        <v>19156.59</v>
      </c>
      <c r="I33" s="868">
        <f>+'292 Animal'!J21</f>
        <v>20200.080000000002</v>
      </c>
      <c r="J33" s="868">
        <f>+'292 Animal'!L21</f>
        <v>20141.48</v>
      </c>
      <c r="K33" s="868">
        <f>+'292 Animal'!O21</f>
        <v>21765</v>
      </c>
      <c r="L33" s="868">
        <f>+'292 Animal'!Q21</f>
        <v>23112</v>
      </c>
      <c r="M33" s="868">
        <f>+'292 Animal'!S21</f>
        <v>23112</v>
      </c>
      <c r="N33" s="868">
        <f t="shared" si="3"/>
        <v>1347</v>
      </c>
      <c r="O33" s="871">
        <f t="shared" si="4"/>
        <v>6.1899999999999997E-2</v>
      </c>
    </row>
    <row r="34" spans="1:15" ht="15" x14ac:dyDescent="0.25">
      <c r="A34" s="811">
        <f>+'Working Budget with funding det'!A66</f>
        <v>294</v>
      </c>
      <c r="B34" s="867" t="str">
        <f>+'Working Budget with funding det'!B66</f>
        <v>FOREST WARDEN</v>
      </c>
      <c r="C34" s="868">
        <f>+'294 Forest Warden'!C12</f>
        <v>1584</v>
      </c>
      <c r="D34" s="868">
        <f>+'294 Forest Warden'!D12</f>
        <v>1631</v>
      </c>
      <c r="E34" s="868">
        <f>+'294 Forest Warden'!E12</f>
        <v>1631</v>
      </c>
      <c r="F34" s="868">
        <f>+'294 Forest Warden'!G12</f>
        <v>1631</v>
      </c>
      <c r="G34" s="868">
        <f>+'294 Forest Warden'!H12</f>
        <v>1631</v>
      </c>
      <c r="H34" s="868">
        <f>+'294 Forest Warden'!I12</f>
        <v>1631</v>
      </c>
      <c r="I34" s="868">
        <f>+'294 Forest Warden'!J12</f>
        <v>1710</v>
      </c>
      <c r="J34" s="868">
        <f>+'294 Forest Warden'!L12</f>
        <v>1710</v>
      </c>
      <c r="K34" s="868">
        <f>+'294 Forest Warden'!O12</f>
        <v>1710</v>
      </c>
      <c r="L34" s="868">
        <f>+'294 Forest Warden'!Q12</f>
        <v>1710</v>
      </c>
      <c r="M34" s="868">
        <f>+'294 Forest Warden'!S12</f>
        <v>1710</v>
      </c>
      <c r="N34" s="868">
        <f t="shared" si="3"/>
        <v>0</v>
      </c>
      <c r="O34" s="871">
        <f t="shared" si="4"/>
        <v>0</v>
      </c>
    </row>
    <row r="35" spans="1:15" ht="15" x14ac:dyDescent="0.25">
      <c r="A35" s="811">
        <f>+'Working Budget with funding det'!A67</f>
        <v>299</v>
      </c>
      <c r="B35" s="867" t="str">
        <f>+'Working Budget with funding det'!B67</f>
        <v>TREE WARDEN</v>
      </c>
      <c r="C35" s="872">
        <f>+'299 Tree Warden'!C19</f>
        <v>11817.089999999998</v>
      </c>
      <c r="D35" s="872">
        <f>+'299 Tree Warden'!D19</f>
        <v>11889.699999999999</v>
      </c>
      <c r="E35" s="872">
        <f>+'299 Tree Warden'!E19</f>
        <v>12951.44</v>
      </c>
      <c r="F35" s="872">
        <f>+'299 Tree Warden'!G19</f>
        <v>13716</v>
      </c>
      <c r="G35" s="872">
        <f>+'299 Tree Warden'!H19</f>
        <v>16680.8</v>
      </c>
      <c r="H35" s="872">
        <f>+'299 Tree Warden'!I19</f>
        <v>17045.5</v>
      </c>
      <c r="I35" s="872">
        <f>+'299 Tree Warden'!J19</f>
        <v>15710</v>
      </c>
      <c r="J35" s="872">
        <f>+'299 Tree Warden'!L19</f>
        <v>19260</v>
      </c>
      <c r="K35" s="872">
        <f>+'299 Tree Warden'!O19</f>
        <v>30285</v>
      </c>
      <c r="L35" s="872">
        <f>+'299 Tree Warden'!Q19</f>
        <v>30285</v>
      </c>
      <c r="M35" s="872">
        <f>+'299 Tree Warden'!S19</f>
        <v>30285</v>
      </c>
      <c r="N35" s="872">
        <f t="shared" si="3"/>
        <v>0</v>
      </c>
      <c r="O35" s="951">
        <f t="shared" si="4"/>
        <v>0</v>
      </c>
    </row>
    <row r="36" spans="1:15" ht="15" x14ac:dyDescent="0.25">
      <c r="A36" s="811"/>
      <c r="B36" s="867" t="str">
        <f>+'Working Budget with funding det'!B69</f>
        <v>TOTAL PUBLIC SAFETY</v>
      </c>
      <c r="C36" s="868">
        <f t="shared" ref="C36:G36" si="5">SUM(C27:C35)</f>
        <v>1596976.3</v>
      </c>
      <c r="D36" s="868">
        <f t="shared" si="5"/>
        <v>1698239.5899999999</v>
      </c>
      <c r="E36" s="868">
        <f t="shared" si="5"/>
        <v>1828680.6299999997</v>
      </c>
      <c r="F36" s="868">
        <f t="shared" si="5"/>
        <v>1944187.5400000003</v>
      </c>
      <c r="G36" s="868">
        <f t="shared" si="5"/>
        <v>1842764.5700000003</v>
      </c>
      <c r="H36" s="868">
        <f t="shared" ref="H36:I36" si="6">SUM(H27:H35)</f>
        <v>2054897.81</v>
      </c>
      <c r="I36" s="868">
        <f t="shared" si="6"/>
        <v>2141335.19</v>
      </c>
      <c r="J36" s="868">
        <f>SUM(J27:J35)</f>
        <v>2126238.14</v>
      </c>
      <c r="K36" s="868">
        <f>SUM(K27:K35)</f>
        <v>2518169</v>
      </c>
      <c r="L36" s="868">
        <f>SUM(L27:L35)</f>
        <v>2650917.1889999998</v>
      </c>
      <c r="M36" s="868">
        <f>SUM(M27:M35)</f>
        <v>2650917.1889999998</v>
      </c>
      <c r="N36" s="868">
        <f t="shared" si="3"/>
        <v>132748.18899999978</v>
      </c>
      <c r="O36" s="871">
        <f t="shared" si="4"/>
        <v>5.2699999999999997E-2</v>
      </c>
    </row>
    <row r="37" spans="1:15" ht="15" x14ac:dyDescent="0.25">
      <c r="A37" s="811"/>
      <c r="B37" s="867"/>
      <c r="C37" s="868"/>
      <c r="D37" s="868"/>
      <c r="E37" s="868"/>
      <c r="F37" s="868"/>
      <c r="G37" s="868"/>
      <c r="H37" s="868"/>
      <c r="I37" s="868"/>
      <c r="J37" s="868"/>
      <c r="K37" s="868"/>
      <c r="L37" s="868"/>
      <c r="M37" s="868"/>
      <c r="N37" s="867"/>
      <c r="O37" s="867"/>
    </row>
    <row r="38" spans="1:15" ht="15" x14ac:dyDescent="0.25">
      <c r="A38" s="811"/>
      <c r="B38" s="867" t="str">
        <f>+'Working Budget with funding det'!B71</f>
        <v>PUBLIC WORKS</v>
      </c>
      <c r="C38" s="868"/>
      <c r="D38" s="868"/>
      <c r="E38" s="868"/>
      <c r="F38" s="868"/>
      <c r="G38" s="868"/>
      <c r="H38" s="868"/>
      <c r="I38" s="868"/>
      <c r="J38" s="868"/>
      <c r="K38" s="868"/>
      <c r="L38" s="868"/>
      <c r="M38" s="868"/>
      <c r="N38" s="867"/>
      <c r="O38" s="867"/>
    </row>
    <row r="39" spans="1:15" ht="15" x14ac:dyDescent="0.25">
      <c r="A39" s="811">
        <f>+'Working Budget with funding det'!A72</f>
        <v>420</v>
      </c>
      <c r="B39" s="867" t="str">
        <f>+'Working Budget with funding det'!B72</f>
        <v>DEPT OF PUBLIC WORKS</v>
      </c>
      <c r="C39" s="868">
        <f>+'420 DPW'!C60</f>
        <v>961847.43</v>
      </c>
      <c r="D39" s="868">
        <f>+'420 DPW'!D60</f>
        <v>1059583.8599999999</v>
      </c>
      <c r="E39" s="868">
        <f>+'420 DPW'!E60</f>
        <v>1131643.6700000004</v>
      </c>
      <c r="F39" s="868">
        <f>+'420 DPW'!G60</f>
        <v>1120246.68</v>
      </c>
      <c r="G39" s="868">
        <f>+'420 DPW'!H60</f>
        <v>1203442.93</v>
      </c>
      <c r="H39" s="868">
        <f>+'420 DPW'!I60</f>
        <v>1313961.4099999999</v>
      </c>
      <c r="I39" s="868">
        <f>+'420 DPW'!J60</f>
        <v>1376050.41</v>
      </c>
      <c r="J39" s="868">
        <f>+'420 DPW'!L55+'420 DPW'!L17</f>
        <v>1353859.55</v>
      </c>
      <c r="K39" s="868">
        <f>+'420 DPW'!O55+'420 DPW'!O17</f>
        <v>1571829</v>
      </c>
      <c r="L39" s="868">
        <f>+'420 DPW'!Q60-L40</f>
        <v>1746505.8</v>
      </c>
      <c r="M39" s="868">
        <f>+'420 DPW'!S60-M40</f>
        <v>1746505.8</v>
      </c>
      <c r="N39" s="868">
        <f t="shared" ref="N39:N45" si="7">+M39-K39</f>
        <v>174676.80000000005</v>
      </c>
      <c r="O39" s="871">
        <f t="shared" ref="O39:O45" si="8">ROUND((+N39/K39),4)</f>
        <v>0.1111</v>
      </c>
    </row>
    <row r="40" spans="1:15" ht="15" x14ac:dyDescent="0.25">
      <c r="A40" s="811">
        <v>420</v>
      </c>
      <c r="B40" s="867" t="s">
        <v>2080</v>
      </c>
      <c r="C40" s="868"/>
      <c r="D40" s="868"/>
      <c r="E40" s="868"/>
      <c r="F40" s="868"/>
      <c r="G40" s="868"/>
      <c r="H40" s="868"/>
      <c r="I40" s="868"/>
      <c r="J40" s="868">
        <f>+'420 DPW'!L57</f>
        <v>21320.41</v>
      </c>
      <c r="K40" s="868">
        <f>+'420 DPW'!O57</f>
        <v>0</v>
      </c>
      <c r="L40" s="868">
        <f>+'422 Maintenance'!Q53</f>
        <v>0</v>
      </c>
      <c r="M40" s="868">
        <f>+'422 Maintenance'!S53</f>
        <v>0</v>
      </c>
      <c r="N40" s="868">
        <f t="shared" si="7"/>
        <v>0</v>
      </c>
      <c r="O40" s="871" t="e">
        <f t="shared" si="8"/>
        <v>#DIV/0!</v>
      </c>
    </row>
    <row r="41" spans="1:15" ht="15" x14ac:dyDescent="0.25">
      <c r="A41" s="811">
        <f>+'Working Budget with funding det'!A74</f>
        <v>423</v>
      </c>
      <c r="B41" s="867" t="str">
        <f>+'Working Budget with funding det'!B74</f>
        <v>SNOW &amp; ICE</v>
      </c>
      <c r="C41" s="868">
        <f>+'423 Snow'!C20</f>
        <v>160444.29999999999</v>
      </c>
      <c r="D41" s="868">
        <f>+'423 Snow'!D20</f>
        <v>210140.56</v>
      </c>
      <c r="E41" s="868">
        <f>+'423 Snow'!E20</f>
        <v>219244.89</v>
      </c>
      <c r="F41" s="868">
        <f>+'423 Snow'!G20</f>
        <v>205328.90000000002</v>
      </c>
      <c r="G41" s="868">
        <f>+'423 Snow'!H20</f>
        <v>222597.99</v>
      </c>
      <c r="H41" s="868">
        <f>+'423 Snow'!I20</f>
        <v>200141.16999999998</v>
      </c>
      <c r="I41" s="868">
        <f>+'423 Snow'!J20</f>
        <v>183319.78999999998</v>
      </c>
      <c r="J41" s="868">
        <f>+'423 Snow'!L20</f>
        <v>161279.20000000001</v>
      </c>
      <c r="K41" s="868">
        <f>+'423 Snow'!O20</f>
        <v>281050</v>
      </c>
      <c r="L41" s="868">
        <f>+'423 Snow'!Q20</f>
        <v>311250</v>
      </c>
      <c r="M41" s="868">
        <f>+'423 Snow'!S20</f>
        <v>311250</v>
      </c>
      <c r="N41" s="868">
        <f t="shared" si="7"/>
        <v>30200</v>
      </c>
      <c r="O41" s="871">
        <f t="shared" si="8"/>
        <v>0.1075</v>
      </c>
    </row>
    <row r="42" spans="1:15" ht="15" x14ac:dyDescent="0.25">
      <c r="A42" s="811">
        <f>+'Working Budget with funding det'!A75</f>
        <v>433</v>
      </c>
      <c r="B42" s="867" t="str">
        <f>+'Working Budget with funding det'!B75</f>
        <v>SOLID WASTE</v>
      </c>
      <c r="C42" s="868">
        <f>+'433 Solid Waste'!C27</f>
        <v>429438.93999999994</v>
      </c>
      <c r="D42" s="868">
        <f>+'433 Solid Waste'!D27</f>
        <v>431107.1</v>
      </c>
      <c r="E42" s="868">
        <f>+'433 Solid Waste'!E27</f>
        <v>408831.09</v>
      </c>
      <c r="F42" s="868">
        <f>+'433 Solid Waste'!G27</f>
        <v>424079.87999999995</v>
      </c>
      <c r="G42" s="868">
        <f>+'433 Solid Waste'!H27</f>
        <v>441302.8</v>
      </c>
      <c r="H42" s="868">
        <f>+'433 Solid Waste'!I27</f>
        <v>458147.52</v>
      </c>
      <c r="I42" s="868">
        <f>+'433 Solid Waste'!J27</f>
        <v>517898.2900000001</v>
      </c>
      <c r="J42" s="868">
        <f>+'433 Solid Waste'!L27</f>
        <v>564292.41999999993</v>
      </c>
      <c r="K42" s="868">
        <f>+'433 Solid Waste'!O27</f>
        <v>656338</v>
      </c>
      <c r="L42" s="868">
        <f>+'433 Solid Waste'!Q27</f>
        <v>679221</v>
      </c>
      <c r="M42" s="868">
        <f>+'433 Solid Waste'!S27</f>
        <v>679221</v>
      </c>
      <c r="N42" s="868">
        <f t="shared" si="7"/>
        <v>22883</v>
      </c>
      <c r="O42" s="871">
        <f t="shared" si="8"/>
        <v>3.49E-2</v>
      </c>
    </row>
    <row r="43" spans="1:15" ht="15" x14ac:dyDescent="0.25">
      <c r="A43" s="811">
        <v>480</v>
      </c>
      <c r="B43" s="867" t="s">
        <v>652</v>
      </c>
      <c r="C43" s="868"/>
      <c r="D43" s="868"/>
      <c r="E43" s="868"/>
      <c r="F43" s="868"/>
      <c r="G43" s="868"/>
      <c r="H43" s="868"/>
      <c r="I43" s="868"/>
      <c r="J43" s="868">
        <f>+'480 Charging Stations'!L15</f>
        <v>3227.64</v>
      </c>
      <c r="K43" s="868">
        <f>+'480 Charging Stations'!O15</f>
        <v>6000</v>
      </c>
      <c r="L43" s="868">
        <f>+'480 Charging Stations'!Q13</f>
        <v>7380</v>
      </c>
      <c r="M43" s="868">
        <f>+'480 Charging Stations'!S13</f>
        <v>7380</v>
      </c>
      <c r="N43" s="868">
        <f t="shared" si="7"/>
        <v>1380</v>
      </c>
      <c r="O43" s="871">
        <f t="shared" si="8"/>
        <v>0.23</v>
      </c>
    </row>
    <row r="44" spans="1:15" ht="15" x14ac:dyDescent="0.25">
      <c r="A44" s="811">
        <f>+'Working Budget with funding det'!A77</f>
        <v>491</v>
      </c>
      <c r="B44" s="867" t="str">
        <f>+'Working Budget with funding det'!B77</f>
        <v>CEMETERIES</v>
      </c>
      <c r="C44" s="872">
        <f>+'491 Cemetery'!C18</f>
        <v>4741</v>
      </c>
      <c r="D44" s="872">
        <f>+'491 Cemetery'!D18</f>
        <v>2715</v>
      </c>
      <c r="E44" s="872">
        <f>+'491 Cemetery'!E18</f>
        <v>5850</v>
      </c>
      <c r="F44" s="872">
        <f>+'491 Cemetery'!G18</f>
        <v>6040</v>
      </c>
      <c r="G44" s="872">
        <f>+'491 Cemetery'!H18</f>
        <v>5440</v>
      </c>
      <c r="H44" s="872">
        <f>+'491 Cemetery'!I18</f>
        <v>6955</v>
      </c>
      <c r="I44" s="872">
        <f>+'491 Cemetery'!J18</f>
        <v>6845</v>
      </c>
      <c r="J44" s="872">
        <f>+'491 Cemetery'!L18</f>
        <v>3227.64</v>
      </c>
      <c r="K44" s="872">
        <f>+'491 Cemetery'!O18</f>
        <v>13440</v>
      </c>
      <c r="L44" s="872">
        <f>+'491 Cemetery'!Q18</f>
        <v>30150</v>
      </c>
      <c r="M44" s="872">
        <f>+'491 Cemetery'!S18</f>
        <v>30150</v>
      </c>
      <c r="N44" s="872">
        <f t="shared" si="7"/>
        <v>16710</v>
      </c>
      <c r="O44" s="951">
        <f t="shared" si="8"/>
        <v>1.2433000000000001</v>
      </c>
    </row>
    <row r="45" spans="1:15" ht="15" x14ac:dyDescent="0.25">
      <c r="A45" s="811"/>
      <c r="B45" s="867" t="str">
        <f>+'Working Budget with funding det'!B79</f>
        <v>TOTAL PUBLIC WORKS</v>
      </c>
      <c r="C45" s="868">
        <f t="shared" ref="C45:L45" si="9">SUM(C39:C44)</f>
        <v>1556471.67</v>
      </c>
      <c r="D45" s="868">
        <f t="shared" si="9"/>
        <v>1703546.52</v>
      </c>
      <c r="E45" s="868">
        <f t="shared" si="9"/>
        <v>1765569.6500000006</v>
      </c>
      <c r="F45" s="868">
        <f t="shared" si="9"/>
        <v>1755695.46</v>
      </c>
      <c r="G45" s="868">
        <f t="shared" si="9"/>
        <v>1872783.72</v>
      </c>
      <c r="H45" s="868">
        <f t="shared" ref="H45:I45" si="10">SUM(H39:H44)</f>
        <v>1979205.0999999999</v>
      </c>
      <c r="I45" s="868">
        <f t="shared" si="10"/>
        <v>2084113.49</v>
      </c>
      <c r="J45" s="868">
        <f t="shared" si="9"/>
        <v>2107206.8600000003</v>
      </c>
      <c r="K45" s="868">
        <f t="shared" ref="K45" si="11">SUM(K39:K44)</f>
        <v>2528657</v>
      </c>
      <c r="L45" s="868">
        <f t="shared" si="9"/>
        <v>2774506.8</v>
      </c>
      <c r="M45" s="868">
        <f t="shared" ref="M45" si="12">SUM(M39:M44)</f>
        <v>2774506.8</v>
      </c>
      <c r="N45" s="868">
        <f t="shared" si="7"/>
        <v>245849.79999999981</v>
      </c>
      <c r="O45" s="871">
        <f t="shared" si="8"/>
        <v>9.7199999999999995E-2</v>
      </c>
    </row>
    <row r="46" spans="1:15" ht="15" x14ac:dyDescent="0.25">
      <c r="A46" s="811"/>
      <c r="B46" s="867"/>
      <c r="C46" s="868"/>
      <c r="D46" s="868"/>
      <c r="E46" s="868"/>
      <c r="F46" s="868"/>
      <c r="G46" s="868"/>
      <c r="H46" s="868"/>
      <c r="I46" s="868"/>
      <c r="J46" s="868"/>
      <c r="K46" s="868"/>
      <c r="L46" s="868"/>
      <c r="M46" s="868"/>
      <c r="N46" s="867"/>
      <c r="O46" s="867"/>
    </row>
    <row r="47" spans="1:15" ht="15" x14ac:dyDescent="0.25">
      <c r="A47" s="1173" t="s">
        <v>2070</v>
      </c>
      <c r="B47" s="1173"/>
      <c r="C47" s="1173"/>
      <c r="D47" s="1173"/>
      <c r="E47" s="1173"/>
      <c r="F47" s="1173"/>
      <c r="G47" s="1173"/>
      <c r="H47" s="1173"/>
      <c r="I47" s="1173"/>
      <c r="J47" s="1173"/>
      <c r="K47" s="1173"/>
      <c r="L47" s="1173"/>
      <c r="M47" s="1173"/>
      <c r="N47" s="1173"/>
      <c r="O47" s="1173"/>
    </row>
    <row r="48" spans="1:15" ht="15" x14ac:dyDescent="0.25">
      <c r="A48" s="1173" t="s">
        <v>2071</v>
      </c>
      <c r="B48" s="1173"/>
      <c r="C48" s="1173"/>
      <c r="D48" s="1173"/>
      <c r="E48" s="1173"/>
      <c r="F48" s="1173"/>
      <c r="G48" s="1173"/>
      <c r="H48" s="1173"/>
      <c r="I48" s="1173"/>
      <c r="J48" s="1173"/>
      <c r="K48" s="1173"/>
      <c r="L48" s="1173"/>
      <c r="M48" s="1173"/>
      <c r="N48" s="1173"/>
      <c r="O48" s="1173"/>
    </row>
    <row r="50" spans="1:15" ht="15" x14ac:dyDescent="0.25">
      <c r="A50" s="811"/>
      <c r="B50" s="867"/>
      <c r="C50" s="868"/>
      <c r="D50" s="868"/>
      <c r="E50" s="868"/>
      <c r="F50" s="868"/>
      <c r="G50" s="868"/>
      <c r="H50" s="868"/>
      <c r="I50" s="868"/>
      <c r="J50" s="868"/>
      <c r="K50" s="868"/>
      <c r="L50" s="868"/>
      <c r="M50" s="869" t="s">
        <v>620</v>
      </c>
      <c r="N50" s="867"/>
      <c r="O50" s="867"/>
    </row>
    <row r="51" spans="1:15" ht="15" x14ac:dyDescent="0.25">
      <c r="A51" s="811"/>
      <c r="B51" s="867"/>
      <c r="C51" s="868"/>
      <c r="D51" s="868"/>
      <c r="E51" s="868"/>
      <c r="F51" s="868"/>
      <c r="G51" s="868"/>
      <c r="H51" s="868"/>
      <c r="I51" s="868"/>
      <c r="J51" s="868"/>
      <c r="K51" s="868"/>
      <c r="L51" s="868"/>
      <c r="M51" s="869" t="s">
        <v>2072</v>
      </c>
      <c r="N51" s="867"/>
      <c r="O51" s="867"/>
    </row>
    <row r="52" spans="1:15" ht="15" x14ac:dyDescent="0.25">
      <c r="A52" s="811" t="s">
        <v>2073</v>
      </c>
      <c r="B52" s="867"/>
      <c r="C52" s="869" t="s">
        <v>2074</v>
      </c>
      <c r="D52" s="869" t="s">
        <v>2074</v>
      </c>
      <c r="E52" s="869" t="s">
        <v>2074</v>
      </c>
      <c r="F52" s="869" t="s">
        <v>2074</v>
      </c>
      <c r="G52" s="869" t="s">
        <v>2074</v>
      </c>
      <c r="H52" s="869" t="s">
        <v>2074</v>
      </c>
      <c r="I52" s="869" t="s">
        <v>2074</v>
      </c>
      <c r="J52" s="869" t="s">
        <v>2074</v>
      </c>
      <c r="K52" s="869" t="s">
        <v>2075</v>
      </c>
      <c r="L52" s="869" t="s">
        <v>2076</v>
      </c>
      <c r="M52" s="869" t="s">
        <v>2077</v>
      </c>
      <c r="N52" s="869" t="s">
        <v>840</v>
      </c>
      <c r="O52" s="869" t="s">
        <v>841</v>
      </c>
    </row>
    <row r="53" spans="1:15" ht="15" x14ac:dyDescent="0.25">
      <c r="A53" s="811" t="s">
        <v>2078</v>
      </c>
      <c r="B53" s="867"/>
      <c r="C53" s="869" t="s">
        <v>563</v>
      </c>
      <c r="D53" s="869" t="s">
        <v>564</v>
      </c>
      <c r="E53" s="869" t="s">
        <v>1285</v>
      </c>
      <c r="F53" s="869" t="s">
        <v>567</v>
      </c>
      <c r="G53" s="869" t="s">
        <v>568</v>
      </c>
      <c r="H53" s="869" t="s">
        <v>569</v>
      </c>
      <c r="I53" s="869" t="s">
        <v>570</v>
      </c>
      <c r="J53" s="869" t="s">
        <v>275</v>
      </c>
      <c r="K53" s="869" t="s">
        <v>277</v>
      </c>
      <c r="L53" s="869" t="s">
        <v>571</v>
      </c>
      <c r="M53" s="869" t="s">
        <v>571</v>
      </c>
      <c r="N53" s="870" t="s">
        <v>473</v>
      </c>
      <c r="O53" s="870" t="s">
        <v>473</v>
      </c>
    </row>
    <row r="54" spans="1:15" ht="15" x14ac:dyDescent="0.25">
      <c r="A54" s="811"/>
      <c r="B54" s="867" t="str">
        <f>+'Working Budget with funding det'!B81</f>
        <v>HUMAN SERVICES</v>
      </c>
      <c r="C54" s="868"/>
      <c r="D54" s="868"/>
      <c r="E54" s="868"/>
      <c r="F54" s="868"/>
      <c r="G54" s="868"/>
      <c r="H54" s="868"/>
      <c r="I54" s="868"/>
      <c r="J54" s="868"/>
      <c r="K54" s="868"/>
      <c r="L54" s="868"/>
      <c r="M54" s="868"/>
      <c r="N54" s="867"/>
      <c r="O54" s="867"/>
    </row>
    <row r="55" spans="1:15" ht="15" x14ac:dyDescent="0.25">
      <c r="A55" s="811"/>
      <c r="B55" s="867"/>
      <c r="C55" s="868"/>
      <c r="D55" s="868"/>
      <c r="E55" s="868"/>
      <c r="F55" s="868"/>
      <c r="G55" s="868"/>
      <c r="H55" s="868"/>
      <c r="I55" s="868"/>
      <c r="J55" s="868"/>
      <c r="K55" s="868"/>
      <c r="L55" s="868"/>
      <c r="M55" s="868"/>
      <c r="N55" s="867"/>
      <c r="O55" s="867"/>
    </row>
    <row r="56" spans="1:15" ht="15" x14ac:dyDescent="0.25">
      <c r="A56" s="811">
        <f>+'Working Budget with funding det'!A83</f>
        <v>511</v>
      </c>
      <c r="B56" s="867" t="str">
        <f>+'Working Budget with funding det'!B83</f>
        <v>BOARD OF HEALTH</v>
      </c>
      <c r="C56" s="868">
        <f>+'511 BOH'!C41</f>
        <v>109258.64</v>
      </c>
      <c r="D56" s="868">
        <f>+'511 BOH'!D41</f>
        <v>120985.98999999999</v>
      </c>
      <c r="E56" s="868">
        <f>+'511 BOH'!E41</f>
        <v>119109.4</v>
      </c>
      <c r="F56" s="868">
        <f>+'511 BOH'!G41</f>
        <v>128828.22999999998</v>
      </c>
      <c r="G56" s="868">
        <f>+'511 BOH'!H41</f>
        <v>132189.9</v>
      </c>
      <c r="H56" s="868">
        <f>+'511 BOH'!I41</f>
        <v>129404.04000000001</v>
      </c>
      <c r="I56" s="868">
        <f>+'511 BOH'!J41</f>
        <v>122512.12</v>
      </c>
      <c r="J56" s="868">
        <f>+'511 BOH'!L41</f>
        <v>135821.25</v>
      </c>
      <c r="K56" s="868">
        <f>+'511 BOH'!O41</f>
        <v>165193</v>
      </c>
      <c r="L56" s="868">
        <f>+'511 BOH'!Q41</f>
        <v>175444</v>
      </c>
      <c r="M56" s="868">
        <f>+'511 BOH'!S41</f>
        <v>175444</v>
      </c>
      <c r="N56" s="868">
        <f t="shared" ref="N56:N59" si="13">+M56-K56</f>
        <v>10251</v>
      </c>
      <c r="O56" s="871">
        <f t="shared" ref="O56:O59" si="14">ROUND((+N56/K56),4)</f>
        <v>6.2100000000000002E-2</v>
      </c>
    </row>
    <row r="57" spans="1:15" ht="15" x14ac:dyDescent="0.25">
      <c r="A57" s="811">
        <f>+'Working Budget with funding det'!A84</f>
        <v>541</v>
      </c>
      <c r="B57" s="867" t="str">
        <f>+'Working Budget with funding det'!B84</f>
        <v>COUNCIL ON AGING</v>
      </c>
      <c r="C57" s="868">
        <f>+'541 COA'!C26</f>
        <v>27212.79</v>
      </c>
      <c r="D57" s="868">
        <f>+'541 COA'!D26</f>
        <v>36745</v>
      </c>
      <c r="E57" s="868">
        <f>+'541 COA'!E26</f>
        <v>37843.519999999997</v>
      </c>
      <c r="F57" s="868">
        <f>+'541 COA'!G26</f>
        <v>42457.31</v>
      </c>
      <c r="G57" s="868">
        <f>+'541 COA'!H26</f>
        <v>42878.82</v>
      </c>
      <c r="H57" s="868">
        <f>+'541 COA'!I26</f>
        <v>43889</v>
      </c>
      <c r="I57" s="868">
        <f>+'541 COA'!J26</f>
        <v>42131.199999999997</v>
      </c>
      <c r="J57" s="868">
        <f>+'541 COA'!L26</f>
        <v>38774.019999999997</v>
      </c>
      <c r="K57" s="868">
        <f>+'541 COA'!O26</f>
        <v>56594</v>
      </c>
      <c r="L57" s="868">
        <f>+'541 COA'!Q26</f>
        <v>58593</v>
      </c>
      <c r="M57" s="868">
        <f>+'541 COA'!S26</f>
        <v>58593</v>
      </c>
      <c r="N57" s="868">
        <f t="shared" si="13"/>
        <v>1999</v>
      </c>
      <c r="O57" s="871">
        <f t="shared" si="14"/>
        <v>3.5299999999999998E-2</v>
      </c>
    </row>
    <row r="58" spans="1:15" ht="15" x14ac:dyDescent="0.25">
      <c r="A58" s="811">
        <f>+'Working Budget with funding det'!A85</f>
        <v>543</v>
      </c>
      <c r="B58" s="867" t="str">
        <f>+'Working Budget with funding det'!B85</f>
        <v>VETERANS' SERVICES</v>
      </c>
      <c r="C58" s="872">
        <f>+'543 Vets'!C15</f>
        <v>143993.04</v>
      </c>
      <c r="D58" s="872">
        <f>+'543 Vets'!D15</f>
        <v>154826.14000000001</v>
      </c>
      <c r="E58" s="872">
        <f>+'543 Vets'!E15</f>
        <v>161951.34</v>
      </c>
      <c r="F58" s="872">
        <f>+'543 Vets'!G15</f>
        <v>113174.07</v>
      </c>
      <c r="G58" s="872">
        <f>+'543 Vets'!H15</f>
        <v>84869.32</v>
      </c>
      <c r="H58" s="872">
        <f>+'543 Vets'!I15</f>
        <v>74175.16</v>
      </c>
      <c r="I58" s="872">
        <f>+'543 Vets'!J15</f>
        <v>74474.489999999991</v>
      </c>
      <c r="J58" s="872">
        <f>+'543 Vets'!L15</f>
        <v>73756.39</v>
      </c>
      <c r="K58" s="872">
        <f>+'543 Vets'!O15</f>
        <v>76500</v>
      </c>
      <c r="L58" s="872">
        <f>+'543 Vets'!Q15</f>
        <v>76500</v>
      </c>
      <c r="M58" s="872">
        <f>+'543 Vets'!S15</f>
        <v>76500</v>
      </c>
      <c r="N58" s="872">
        <f t="shared" si="13"/>
        <v>0</v>
      </c>
      <c r="O58" s="951">
        <f t="shared" si="14"/>
        <v>0</v>
      </c>
    </row>
    <row r="59" spans="1:15" ht="15" x14ac:dyDescent="0.25">
      <c r="A59" s="811"/>
      <c r="B59" s="867" t="str">
        <f>+'Working Budget with funding det'!B87</f>
        <v>TOTAL HUMAN SERVICES</v>
      </c>
      <c r="C59" s="868">
        <f t="shared" ref="C59:F59" si="15">SUM(C57:C58)</f>
        <v>171205.83000000002</v>
      </c>
      <c r="D59" s="868">
        <f t="shared" si="15"/>
        <v>191571.14</v>
      </c>
      <c r="E59" s="868">
        <f t="shared" si="15"/>
        <v>199794.86</v>
      </c>
      <c r="F59" s="868">
        <f t="shared" si="15"/>
        <v>155631.38</v>
      </c>
      <c r="G59" s="868">
        <f t="shared" ref="G59:I59" si="16">SUM(G57:G58)</f>
        <v>127748.14000000001</v>
      </c>
      <c r="H59" s="868">
        <f t="shared" si="16"/>
        <v>118064.16</v>
      </c>
      <c r="I59" s="868">
        <f t="shared" si="16"/>
        <v>116605.68999999999</v>
      </c>
      <c r="J59" s="868">
        <f>SUM(J56:J58)</f>
        <v>248351.65999999997</v>
      </c>
      <c r="K59" s="868">
        <f>SUM(K56:K58)</f>
        <v>298287</v>
      </c>
      <c r="L59" s="868">
        <f t="shared" ref="L59" si="17">SUM(L56:L58)</f>
        <v>310537</v>
      </c>
      <c r="M59" s="868">
        <f t="shared" ref="M59" si="18">SUM(M56:M58)</f>
        <v>310537</v>
      </c>
      <c r="N59" s="868">
        <f t="shared" si="13"/>
        <v>12250</v>
      </c>
      <c r="O59" s="871">
        <f t="shared" si="14"/>
        <v>4.1099999999999998E-2</v>
      </c>
    </row>
    <row r="60" spans="1:15" ht="15" x14ac:dyDescent="0.25">
      <c r="A60" s="811"/>
      <c r="B60" s="867"/>
      <c r="C60" s="868"/>
      <c r="D60" s="868"/>
      <c r="E60" s="868"/>
      <c r="F60" s="868"/>
      <c r="G60" s="868"/>
      <c r="H60" s="868"/>
      <c r="I60" s="868"/>
      <c r="J60" s="868"/>
      <c r="K60" s="868"/>
      <c r="L60" s="868"/>
      <c r="M60" s="868"/>
      <c r="N60" s="867"/>
      <c r="O60" s="867"/>
    </row>
    <row r="61" spans="1:15" ht="15" x14ac:dyDescent="0.25">
      <c r="A61" s="811"/>
      <c r="B61" s="867" t="str">
        <f>+'Working Budget with funding det'!B89</f>
        <v>CULTURE &amp; RECREATION</v>
      </c>
      <c r="C61" s="868"/>
      <c r="D61" s="868"/>
      <c r="E61" s="868"/>
      <c r="F61" s="868"/>
      <c r="G61" s="868"/>
      <c r="H61" s="868"/>
      <c r="I61" s="868"/>
      <c r="J61" s="868"/>
      <c r="K61" s="868"/>
      <c r="L61" s="868"/>
      <c r="M61" s="868"/>
      <c r="N61" s="867"/>
      <c r="O61" s="867"/>
    </row>
    <row r="62" spans="1:15" ht="15" x14ac:dyDescent="0.25">
      <c r="A62" s="811">
        <f>+'Working Budget with funding det'!A90</f>
        <v>610</v>
      </c>
      <c r="B62" s="867" t="str">
        <f>+'Working Budget with funding det'!B90</f>
        <v>LIBRARIES</v>
      </c>
      <c r="C62" s="868">
        <f>+'610 Library'!C46</f>
        <v>303901</v>
      </c>
      <c r="D62" s="868">
        <f>+'610 Library'!D46</f>
        <v>325233</v>
      </c>
      <c r="E62" s="868">
        <f>+'610 Library'!E46</f>
        <v>337643</v>
      </c>
      <c r="F62" s="868">
        <f>+'610 Library'!G46</f>
        <v>364970</v>
      </c>
      <c r="G62" s="868">
        <f>+'610 Library'!H46</f>
        <v>386328.00000000006</v>
      </c>
      <c r="H62" s="868">
        <f>+'610 Library'!I46</f>
        <v>401962</v>
      </c>
      <c r="I62" s="868">
        <f>+'610 Library'!J46</f>
        <v>411071</v>
      </c>
      <c r="J62" s="868">
        <f>+'610 Library'!L46</f>
        <v>426453.92999999993</v>
      </c>
      <c r="K62" s="868">
        <f>+'610 Library'!O46</f>
        <v>465607</v>
      </c>
      <c r="L62" s="868">
        <f>+'610 Library'!Q46</f>
        <v>503336</v>
      </c>
      <c r="M62" s="868">
        <f>+'610 Library'!S46</f>
        <v>503336</v>
      </c>
      <c r="N62" s="868">
        <f t="shared" ref="N62:N66" si="19">+M62-K62</f>
        <v>37729</v>
      </c>
      <c r="O62" s="871">
        <f t="shared" ref="O62:O66" si="20">ROUND((+N62/K62),4)</f>
        <v>8.1000000000000003E-2</v>
      </c>
    </row>
    <row r="63" spans="1:15" ht="15" x14ac:dyDescent="0.25">
      <c r="A63" s="811">
        <f>+'Working Budget with funding det'!A91</f>
        <v>630</v>
      </c>
      <c r="B63" s="867" t="str">
        <f>+'Working Budget with funding det'!B91</f>
        <v>PARKS &amp; RECREATION</v>
      </c>
      <c r="C63" s="868">
        <f>+'630 Recreation'!C29</f>
        <v>93539.86</v>
      </c>
      <c r="D63" s="868">
        <f>+'630 Recreation'!D29</f>
        <v>101235.73999999999</v>
      </c>
      <c r="E63" s="868">
        <f>+'630 Recreation'!E29</f>
        <v>104042.40999999999</v>
      </c>
      <c r="F63" s="868">
        <f>+'630 Recreation'!G29</f>
        <v>120911.25</v>
      </c>
      <c r="G63" s="868">
        <f>+'630 Recreation'!H29</f>
        <v>128193.00000000001</v>
      </c>
      <c r="H63" s="868">
        <f>+'630 Recreation'!I29</f>
        <v>130539.37</v>
      </c>
      <c r="I63" s="868">
        <f>+'630 Recreation'!J29</f>
        <v>141325.91</v>
      </c>
      <c r="J63" s="868">
        <f>+'630 Recreation'!L29</f>
        <v>143294.66999999998</v>
      </c>
      <c r="K63" s="868">
        <f>+'630 Recreation'!O29</f>
        <v>153157</v>
      </c>
      <c r="L63" s="868">
        <f>+'630 Recreation'!Q29</f>
        <v>160703</v>
      </c>
      <c r="M63" s="868">
        <f>+'630 Recreation'!S29</f>
        <v>160703</v>
      </c>
      <c r="N63" s="868">
        <f t="shared" si="19"/>
        <v>7546</v>
      </c>
      <c r="O63" s="871">
        <f t="shared" si="20"/>
        <v>4.9299999999999997E-2</v>
      </c>
    </row>
    <row r="64" spans="1:15" ht="15" x14ac:dyDescent="0.25">
      <c r="A64" s="811">
        <f>+'Working Budget with funding det'!A92</f>
        <v>691</v>
      </c>
      <c r="B64" s="867" t="str">
        <f>+'Working Budget with funding det'!B92</f>
        <v>HISTORICAL COMMISSION</v>
      </c>
      <c r="C64" s="868">
        <f>+'691 Historical Comm'!C15</f>
        <v>253.28</v>
      </c>
      <c r="D64" s="868">
        <f>+'691 Historical Comm'!D15</f>
        <v>0</v>
      </c>
      <c r="E64" s="868">
        <f>+'691 Historical Comm'!E15</f>
        <v>434.33</v>
      </c>
      <c r="F64" s="868">
        <f>+'691 Historical Comm'!G15</f>
        <v>0</v>
      </c>
      <c r="G64" s="868">
        <f>+'691 Historical Comm'!H15</f>
        <v>253.19</v>
      </c>
      <c r="H64" s="868">
        <f>+'691 Historical Comm'!I15</f>
        <v>0</v>
      </c>
      <c r="I64" s="868">
        <f>+'691 Historical Comm'!J15</f>
        <v>0</v>
      </c>
      <c r="J64" s="868">
        <f>+'691 Historical Comm'!KO15</f>
        <v>0</v>
      </c>
      <c r="K64" s="868">
        <f>+'691 Historical Comm'!O15</f>
        <v>500</v>
      </c>
      <c r="L64" s="868">
        <f>+'691 Historical Comm'!Q15</f>
        <v>500</v>
      </c>
      <c r="M64" s="868">
        <f>+'691 Historical Comm'!S15</f>
        <v>500</v>
      </c>
      <c r="N64" s="868">
        <f t="shared" si="19"/>
        <v>0</v>
      </c>
      <c r="O64" s="871">
        <f t="shared" si="20"/>
        <v>0</v>
      </c>
    </row>
    <row r="65" spans="1:15" ht="15" x14ac:dyDescent="0.25">
      <c r="A65" s="811">
        <f>+'Working Budget with funding det'!A93</f>
        <v>693</v>
      </c>
      <c r="B65" s="867" t="str">
        <f>+'Working Budget with funding det'!B93</f>
        <v>WAR MEMORIALS</v>
      </c>
      <c r="C65" s="872">
        <f>+'693 Memorials'!C14</f>
        <v>1230.25</v>
      </c>
      <c r="D65" s="872">
        <f>+'693 Memorials'!D14</f>
        <v>819.41</v>
      </c>
      <c r="E65" s="872">
        <f>+'693 Memorials'!E14</f>
        <v>1049.43</v>
      </c>
      <c r="F65" s="872">
        <f>+'693 Memorials'!G14</f>
        <v>1188.96</v>
      </c>
      <c r="G65" s="872">
        <f>+'693 Memorials'!H14</f>
        <v>1200</v>
      </c>
      <c r="H65" s="872">
        <f>+'693 Memorials'!I14</f>
        <v>800.77</v>
      </c>
      <c r="I65" s="872">
        <f>+'693 Memorials'!J14</f>
        <v>937.62</v>
      </c>
      <c r="J65" s="872">
        <f>+'693 Memorials'!L14</f>
        <v>791.89</v>
      </c>
      <c r="K65" s="872">
        <f>+'693 Memorials'!O14</f>
        <v>1400</v>
      </c>
      <c r="L65" s="872">
        <f>+'693 Memorials'!Q14</f>
        <v>1600</v>
      </c>
      <c r="M65" s="872">
        <f>+'693 Memorials'!S14</f>
        <v>1600</v>
      </c>
      <c r="N65" s="872">
        <f t="shared" si="19"/>
        <v>200</v>
      </c>
      <c r="O65" s="951">
        <f t="shared" si="20"/>
        <v>0.1429</v>
      </c>
    </row>
    <row r="66" spans="1:15" ht="15" x14ac:dyDescent="0.25">
      <c r="A66" s="811"/>
      <c r="B66" s="867" t="s">
        <v>2081</v>
      </c>
      <c r="C66" s="868">
        <f t="shared" ref="C66:L66" si="21">SUM(C62:C65)</f>
        <v>398924.39</v>
      </c>
      <c r="D66" s="868">
        <f t="shared" si="21"/>
        <v>427288.14999999997</v>
      </c>
      <c r="E66" s="868">
        <f t="shared" si="21"/>
        <v>443169.17</v>
      </c>
      <c r="F66" s="868">
        <f t="shared" si="21"/>
        <v>487070.21</v>
      </c>
      <c r="G66" s="868">
        <f t="shared" ref="G66:J66" si="22">SUM(G62:G65)</f>
        <v>515974.19000000006</v>
      </c>
      <c r="H66" s="868">
        <f t="shared" ref="H66:I66" si="23">SUM(H62:H65)</f>
        <v>533302.14</v>
      </c>
      <c r="I66" s="868">
        <f t="shared" si="23"/>
        <v>553334.53</v>
      </c>
      <c r="J66" s="868">
        <f t="shared" si="22"/>
        <v>570540.48999999987</v>
      </c>
      <c r="K66" s="868">
        <f t="shared" ref="K66" si="24">SUM(K62:K65)</f>
        <v>620664</v>
      </c>
      <c r="L66" s="868">
        <f t="shared" si="21"/>
        <v>666139</v>
      </c>
      <c r="M66" s="868">
        <f t="shared" ref="M66" si="25">SUM(M62:M65)</f>
        <v>666139</v>
      </c>
      <c r="N66" s="868">
        <f t="shared" si="19"/>
        <v>45475</v>
      </c>
      <c r="O66" s="871">
        <f t="shared" si="20"/>
        <v>7.3300000000000004E-2</v>
      </c>
    </row>
    <row r="67" spans="1:15" ht="15" x14ac:dyDescent="0.25">
      <c r="A67" s="811"/>
      <c r="B67" s="867"/>
      <c r="C67" s="868"/>
      <c r="D67" s="868"/>
      <c r="E67" s="868"/>
      <c r="F67" s="868"/>
      <c r="G67" s="868"/>
      <c r="H67" s="868"/>
      <c r="I67" s="868"/>
      <c r="J67" s="868"/>
      <c r="K67" s="868"/>
      <c r="L67" s="868"/>
      <c r="M67" s="868"/>
      <c r="N67" s="867"/>
      <c r="O67" s="867"/>
    </row>
    <row r="68" spans="1:15" ht="15" x14ac:dyDescent="0.25">
      <c r="A68" s="811"/>
      <c r="B68" s="867" t="str">
        <f>+'Working Budget with funding det'!B97</f>
        <v>DEBT SERVICE</v>
      </c>
      <c r="C68" s="868"/>
      <c r="D68" s="868"/>
      <c r="E68" s="868"/>
      <c r="F68" s="868"/>
      <c r="G68" s="868"/>
      <c r="H68" s="868"/>
      <c r="I68" s="868"/>
      <c r="J68" s="868"/>
      <c r="K68" s="868"/>
      <c r="L68" s="868"/>
      <c r="M68" s="868"/>
      <c r="N68" s="867"/>
      <c r="O68" s="867"/>
    </row>
    <row r="69" spans="1:15" ht="15" x14ac:dyDescent="0.25">
      <c r="A69" s="811">
        <f>+'Working Budget with funding det'!A98</f>
        <v>700</v>
      </c>
      <c r="B69" s="867" t="str">
        <f>+'Working Budget with funding det'!B98</f>
        <v>DEBT SERVICE</v>
      </c>
      <c r="C69" s="868">
        <f>+'700 Debt '!C64</f>
        <v>624059.19999999995</v>
      </c>
      <c r="D69" s="868">
        <f>+'700 Debt '!D64</f>
        <v>627106.03000000014</v>
      </c>
      <c r="E69" s="868">
        <f>+'700 Debt '!E64</f>
        <v>653275.82999999996</v>
      </c>
      <c r="F69" s="868">
        <f>+'700 Debt '!G64</f>
        <v>655052.56000000006</v>
      </c>
      <c r="G69" s="868">
        <f>+'700 Debt '!H64</f>
        <v>630911.34</v>
      </c>
      <c r="H69" s="868">
        <f>+'700 Debt '!I64</f>
        <v>625348.28</v>
      </c>
      <c r="I69" s="868">
        <f>+'700 Debt '!J64</f>
        <v>824346.28999999992</v>
      </c>
      <c r="J69" s="868">
        <f>+'700 Debt '!L64</f>
        <v>1057873.57</v>
      </c>
      <c r="K69" s="868">
        <f>+'700 Debt '!O64</f>
        <v>1162190</v>
      </c>
      <c r="L69" s="868">
        <f>+'700 Debt '!Q64</f>
        <v>1154319</v>
      </c>
      <c r="M69" s="868">
        <f>+'700 Debt '!S64</f>
        <v>1154319</v>
      </c>
      <c r="N69" s="868">
        <f>+M69-K69</f>
        <v>-7871</v>
      </c>
      <c r="O69" s="871">
        <f>ROUND((+N69/K69),4)</f>
        <v>-6.7999999999999996E-3</v>
      </c>
    </row>
    <row r="70" spans="1:15" ht="15" x14ac:dyDescent="0.25">
      <c r="A70" s="811"/>
      <c r="B70" s="867"/>
      <c r="C70" s="868"/>
      <c r="D70" s="868"/>
      <c r="E70" s="868"/>
      <c r="F70" s="868"/>
      <c r="G70" s="868"/>
      <c r="H70" s="868"/>
      <c r="I70" s="868"/>
      <c r="J70" s="868"/>
      <c r="K70" s="868"/>
      <c r="L70" s="868"/>
      <c r="M70" s="868"/>
      <c r="N70" s="867"/>
      <c r="O70" s="867"/>
    </row>
    <row r="71" spans="1:15" ht="15" x14ac:dyDescent="0.25">
      <c r="A71" s="811"/>
      <c r="B71" s="867" t="str">
        <f>+'Working Budget with funding det'!B100</f>
        <v>INTERGOVERNMENTAL</v>
      </c>
      <c r="C71" s="868"/>
      <c r="D71" s="868"/>
      <c r="E71" s="868"/>
      <c r="F71" s="868"/>
      <c r="G71" s="868"/>
      <c r="H71" s="868"/>
      <c r="I71" s="868"/>
      <c r="J71" s="868"/>
      <c r="K71" s="868"/>
      <c r="L71" s="868"/>
      <c r="M71" s="868"/>
      <c r="N71" s="867"/>
      <c r="O71" s="867"/>
    </row>
    <row r="72" spans="1:15" ht="15" x14ac:dyDescent="0.25">
      <c r="A72" s="811">
        <f>+'Working Budget with funding det'!A101</f>
        <v>840</v>
      </c>
      <c r="B72" s="867" t="str">
        <f>+'Working Budget with funding det'!B101</f>
        <v>INTERGOVERNMENTAL</v>
      </c>
      <c r="C72" s="868">
        <f>+'840 Intergovt'!C15</f>
        <v>83074.820000000007</v>
      </c>
      <c r="D72" s="868">
        <f>+'840 Intergovt'!D15</f>
        <v>87874.209999999992</v>
      </c>
      <c r="E72" s="868">
        <f>+'840 Intergovt'!E15</f>
        <v>71938.12</v>
      </c>
      <c r="F72" s="868">
        <f>+'840 Intergovt'!G15</f>
        <v>92495.299999999988</v>
      </c>
      <c r="G72" s="868">
        <f>+'840 Intergovt'!H15</f>
        <v>99251.89</v>
      </c>
      <c r="H72" s="868">
        <f>+'840 Intergovt'!I15</f>
        <v>100824.36000000002</v>
      </c>
      <c r="I72" s="868">
        <f>+'840 Intergovt'!J15</f>
        <v>104701.44</v>
      </c>
      <c r="J72" s="868">
        <f>+'840 Intergovt'!L15</f>
        <v>111175.8</v>
      </c>
      <c r="K72" s="868">
        <f>+'840 Intergovt'!O15</f>
        <v>110647</v>
      </c>
      <c r="L72" s="868">
        <f>+'840 Intergovt'!Q15</f>
        <v>113924</v>
      </c>
      <c r="M72" s="868">
        <f>+'840 Intergovt'!S15</f>
        <v>113924</v>
      </c>
      <c r="N72" s="868">
        <f>+M72-K72</f>
        <v>3277</v>
      </c>
      <c r="O72" s="871">
        <f>ROUND((+N72/K72),4)</f>
        <v>2.9600000000000001E-2</v>
      </c>
    </row>
    <row r="73" spans="1:15" ht="15" x14ac:dyDescent="0.25">
      <c r="A73" s="811"/>
      <c r="B73" s="867"/>
      <c r="C73" s="868"/>
      <c r="D73" s="868"/>
      <c r="E73" s="868"/>
      <c r="F73" s="868"/>
      <c r="G73" s="868"/>
      <c r="H73" s="868"/>
      <c r="I73" s="868"/>
      <c r="J73" s="868"/>
      <c r="K73" s="868"/>
      <c r="L73" s="871"/>
      <c r="M73" s="871"/>
      <c r="N73" s="867"/>
      <c r="O73" s="867"/>
    </row>
    <row r="74" spans="1:15" ht="15" x14ac:dyDescent="0.25">
      <c r="A74" s="811"/>
      <c r="B74" s="867" t="str">
        <f>+'Working Budget with funding det'!B103</f>
        <v>MISCELLANEOUS</v>
      </c>
      <c r="C74" s="868"/>
      <c r="D74" s="868"/>
      <c r="E74" s="868"/>
      <c r="F74" s="868"/>
      <c r="G74" s="868"/>
      <c r="H74" s="868"/>
      <c r="I74" s="868"/>
      <c r="J74" s="868"/>
      <c r="K74" s="868"/>
      <c r="L74" s="868"/>
      <c r="M74" s="868"/>
      <c r="N74" s="867"/>
      <c r="O74" s="867"/>
    </row>
    <row r="75" spans="1:15" ht="15" x14ac:dyDescent="0.25">
      <c r="A75" s="811">
        <f>+'Working Budget with funding det'!A104</f>
        <v>910</v>
      </c>
      <c r="B75" s="867" t="str">
        <f>+'Working Budget with funding det'!B104</f>
        <v>EMPLOYEE BENEFITS</v>
      </c>
      <c r="C75" s="868">
        <f>+'910 Benefits'!C20</f>
        <v>1760819.2100000002</v>
      </c>
      <c r="D75" s="868">
        <f>+'910 Benefits'!D20</f>
        <v>1730791.4</v>
      </c>
      <c r="E75" s="868">
        <f>+'910 Benefits'!E20</f>
        <v>1748594.09</v>
      </c>
      <c r="F75" s="868">
        <f>+'910 Benefits'!G20</f>
        <v>1878957.3699999999</v>
      </c>
      <c r="G75" s="868">
        <f>+'910 Benefits'!H20</f>
        <v>2008426.33</v>
      </c>
      <c r="H75" s="868">
        <f>+'910 Benefits'!I20</f>
        <v>2068987.7100000002</v>
      </c>
      <c r="I75" s="868">
        <f>+'910 Benefits'!J20</f>
        <v>2040807.01</v>
      </c>
      <c r="J75" s="868">
        <f>+'910 Benefits'!L20</f>
        <v>2116132.61</v>
      </c>
      <c r="K75" s="868">
        <f>+'910 Benefits'!O20</f>
        <v>2391280</v>
      </c>
      <c r="L75" s="868">
        <f>+'910 Benefits'!Q20</f>
        <v>2490334</v>
      </c>
      <c r="M75" s="868">
        <f>+'910 Benefits'!S20</f>
        <v>2490334</v>
      </c>
      <c r="N75" s="868">
        <f t="shared" ref="N75:N77" si="26">+M75-K75</f>
        <v>99054</v>
      </c>
      <c r="O75" s="871">
        <f t="shared" ref="O75:O77" si="27">ROUND((+N75/K75),4)</f>
        <v>4.1399999999999999E-2</v>
      </c>
    </row>
    <row r="76" spans="1:15" ht="15" x14ac:dyDescent="0.25">
      <c r="A76" s="811">
        <f>+'Working Budget with funding det'!A105</f>
        <v>946</v>
      </c>
      <c r="B76" s="867" t="str">
        <f>+'Working Budget with funding det'!B105</f>
        <v>GENERAL INSURANCE</v>
      </c>
      <c r="C76" s="872">
        <f>+'946 Insurance'!C23</f>
        <v>63586.85</v>
      </c>
      <c r="D76" s="872">
        <f>+'946 Insurance'!D23</f>
        <v>81915.03</v>
      </c>
      <c r="E76" s="872">
        <f>+'946 Insurance'!E23</f>
        <v>90801.61</v>
      </c>
      <c r="F76" s="872">
        <f>+'946 Insurance'!G23</f>
        <v>87959.99</v>
      </c>
      <c r="G76" s="872">
        <f>+'946 Insurance'!H23</f>
        <v>95065.72</v>
      </c>
      <c r="H76" s="872">
        <f>+'946 Insurance'!I23</f>
        <v>85911.72</v>
      </c>
      <c r="I76" s="872">
        <f>+'946 Insurance'!J23</f>
        <v>92318.19</v>
      </c>
      <c r="J76" s="872">
        <f>+'946 Insurance'!L23</f>
        <v>108176.48</v>
      </c>
      <c r="K76" s="872">
        <f>+'946 Insurance'!O23</f>
        <v>119600</v>
      </c>
      <c r="L76" s="872">
        <f>+'946 Insurance'!Q23</f>
        <v>120600</v>
      </c>
      <c r="M76" s="872">
        <f>+'946 Insurance'!S23</f>
        <v>120600</v>
      </c>
      <c r="N76" s="872">
        <f t="shared" si="26"/>
        <v>1000</v>
      </c>
      <c r="O76" s="951">
        <f t="shared" si="27"/>
        <v>8.3999999999999995E-3</v>
      </c>
    </row>
    <row r="77" spans="1:15" ht="15" x14ac:dyDescent="0.25">
      <c r="A77" s="811"/>
      <c r="B77" s="867" t="str">
        <f>+'Working Budget with funding det'!B107</f>
        <v>TOTAL MISCELLANEOUS</v>
      </c>
      <c r="C77" s="868">
        <f t="shared" ref="C77:L77" si="28">SUM(C75:C76)</f>
        <v>1824406.0600000003</v>
      </c>
      <c r="D77" s="868">
        <f t="shared" si="28"/>
        <v>1812706.43</v>
      </c>
      <c r="E77" s="868">
        <f t="shared" si="28"/>
        <v>1839395.7000000002</v>
      </c>
      <c r="F77" s="868">
        <f t="shared" si="28"/>
        <v>1966917.3599999999</v>
      </c>
      <c r="G77" s="868">
        <f t="shared" ref="G77:J77" si="29">SUM(G75:G76)</f>
        <v>2103492.0500000003</v>
      </c>
      <c r="H77" s="868">
        <f t="shared" ref="H77:I77" si="30">SUM(H75:H76)</f>
        <v>2154899.4300000002</v>
      </c>
      <c r="I77" s="868">
        <f t="shared" si="30"/>
        <v>2133125.2000000002</v>
      </c>
      <c r="J77" s="868">
        <f t="shared" si="29"/>
        <v>2224309.09</v>
      </c>
      <c r="K77" s="868">
        <f t="shared" ref="K77" si="31">SUM(K75:K76)</f>
        <v>2510880</v>
      </c>
      <c r="L77" s="868">
        <f t="shared" si="28"/>
        <v>2610934</v>
      </c>
      <c r="M77" s="868">
        <f t="shared" ref="M77" si="32">SUM(M75:M76)</f>
        <v>2610934</v>
      </c>
      <c r="N77" s="868">
        <f t="shared" si="26"/>
        <v>100054</v>
      </c>
      <c r="O77" s="871">
        <f t="shared" si="27"/>
        <v>3.9800000000000002E-2</v>
      </c>
    </row>
    <row r="78" spans="1:15" ht="15" x14ac:dyDescent="0.25">
      <c r="A78" s="811"/>
      <c r="B78" s="867"/>
      <c r="C78" s="868"/>
      <c r="D78" s="868"/>
      <c r="E78" s="868"/>
      <c r="F78" s="868"/>
      <c r="G78" s="868"/>
      <c r="H78" s="868"/>
      <c r="I78" s="868"/>
      <c r="J78" s="868"/>
      <c r="K78" s="868"/>
      <c r="L78" s="868"/>
      <c r="M78" s="868"/>
      <c r="N78" s="867"/>
      <c r="O78" s="867"/>
    </row>
    <row r="79" spans="1:15" ht="15.75" thickBot="1" x14ac:dyDescent="0.3">
      <c r="A79" s="811"/>
      <c r="B79" s="867" t="s">
        <v>2082</v>
      </c>
      <c r="C79" s="874">
        <f t="shared" ref="C79:M79" si="33">+C77+C72+C69+C66+C59+C45+C36+C24</f>
        <v>7263799.9000000004</v>
      </c>
      <c r="D79" s="874">
        <f t="shared" si="33"/>
        <v>7551191.96</v>
      </c>
      <c r="E79" s="874">
        <f t="shared" si="33"/>
        <v>7903923.5000000009</v>
      </c>
      <c r="F79" s="874">
        <f t="shared" si="33"/>
        <v>8251801.79</v>
      </c>
      <c r="G79" s="874">
        <f t="shared" si="33"/>
        <v>8380569.2700000005</v>
      </c>
      <c r="H79" s="874">
        <f t="shared" si="33"/>
        <v>8779673.0300000012</v>
      </c>
      <c r="I79" s="874">
        <f t="shared" si="33"/>
        <v>9175100.4600000009</v>
      </c>
      <c r="J79" s="874">
        <f t="shared" si="33"/>
        <v>9682569.8300000001</v>
      </c>
      <c r="K79" s="874">
        <f t="shared" si="33"/>
        <v>11308026</v>
      </c>
      <c r="L79" s="874">
        <f t="shared" si="33"/>
        <v>11961596.188999999</v>
      </c>
      <c r="M79" s="874">
        <f t="shared" si="33"/>
        <v>11961596.188999999</v>
      </c>
      <c r="N79" s="874">
        <f>+M79-K79</f>
        <v>653570.18899999931</v>
      </c>
      <c r="O79" s="950">
        <f>ROUND((+N79/K79),4)</f>
        <v>5.7799999999999997E-2</v>
      </c>
    </row>
    <row r="80" spans="1:15" ht="15.75" thickTop="1" x14ac:dyDescent="0.25">
      <c r="A80" s="811"/>
      <c r="B80" s="867"/>
      <c r="C80" s="868"/>
      <c r="D80" s="871">
        <f>ROUND(((+D79-C79)/C79),4)</f>
        <v>3.9600000000000003E-2</v>
      </c>
      <c r="E80" s="871">
        <f>ROUND(((+E79-D79)/D79),4)</f>
        <v>4.6699999999999998E-2</v>
      </c>
      <c r="F80" s="871"/>
      <c r="G80" s="871"/>
      <c r="H80" s="871"/>
      <c r="I80" s="871"/>
      <c r="J80" s="871"/>
      <c r="K80" s="871"/>
      <c r="L80" s="871"/>
      <c r="M80" s="871"/>
      <c r="N80" s="867"/>
      <c r="O80" s="867"/>
    </row>
    <row r="81" spans="1:16" ht="15" x14ac:dyDescent="0.25">
      <c r="A81" s="811"/>
      <c r="B81" s="867"/>
      <c r="C81" s="868"/>
      <c r="D81" s="868"/>
      <c r="E81" s="868"/>
      <c r="F81" s="868"/>
      <c r="G81" s="868"/>
      <c r="H81" s="868"/>
      <c r="I81" s="868"/>
      <c r="J81" s="868"/>
      <c r="K81" s="868"/>
      <c r="L81" s="868"/>
      <c r="M81" s="868"/>
      <c r="N81" s="868"/>
      <c r="O81" s="871"/>
    </row>
    <row r="84" spans="1:16" ht="15" x14ac:dyDescent="0.25">
      <c r="A84" s="1173" t="s">
        <v>2083</v>
      </c>
      <c r="B84" s="1173"/>
      <c r="C84" s="1173"/>
      <c r="D84" s="1173"/>
      <c r="E84" s="1173"/>
      <c r="F84" s="1173"/>
      <c r="G84" s="1173"/>
      <c r="H84" s="1173"/>
      <c r="I84" s="1173"/>
      <c r="J84" s="1173"/>
      <c r="K84" s="1173"/>
      <c r="L84" s="1173"/>
      <c r="M84" s="1173"/>
      <c r="N84" s="1173"/>
      <c r="O84" s="1173"/>
    </row>
    <row r="85" spans="1:16" ht="15" x14ac:dyDescent="0.25">
      <c r="A85" s="1173" t="s">
        <v>2392</v>
      </c>
      <c r="B85" s="1173"/>
      <c r="C85" s="1173"/>
      <c r="D85" s="1173"/>
      <c r="E85" s="1173"/>
      <c r="F85" s="1173"/>
      <c r="G85" s="1173"/>
      <c r="H85" s="1173"/>
      <c r="I85" s="1173"/>
      <c r="J85" s="1173"/>
      <c r="K85" s="1173"/>
      <c r="L85" s="1173"/>
      <c r="M85" s="1173"/>
      <c r="N85" s="1173"/>
      <c r="O85" s="1173"/>
    </row>
    <row r="86" spans="1:16" ht="15" x14ac:dyDescent="0.25">
      <c r="A86" s="811"/>
      <c r="B86" s="867"/>
      <c r="C86" s="868"/>
      <c r="D86" s="868"/>
      <c r="E86" s="868"/>
      <c r="F86" s="868"/>
      <c r="G86" s="868"/>
      <c r="H86" s="868"/>
      <c r="I86" s="868"/>
      <c r="J86" s="868"/>
      <c r="K86" s="868"/>
      <c r="L86" s="868"/>
      <c r="M86" s="869" t="s">
        <v>620</v>
      </c>
      <c r="N86" s="867"/>
      <c r="O86" s="867"/>
    </row>
    <row r="87" spans="1:16" ht="15" x14ac:dyDescent="0.25">
      <c r="A87" s="811"/>
      <c r="B87" s="867"/>
      <c r="C87" s="868"/>
      <c r="D87" s="868"/>
      <c r="E87" s="868"/>
      <c r="F87" s="868"/>
      <c r="G87" s="868"/>
      <c r="H87" s="868"/>
      <c r="I87" s="868"/>
      <c r="J87" s="868"/>
      <c r="K87" s="868"/>
      <c r="L87" s="868"/>
      <c r="M87" s="869" t="s">
        <v>2072</v>
      </c>
      <c r="N87" s="867"/>
      <c r="O87" s="867"/>
    </row>
    <row r="88" spans="1:16" ht="15" x14ac:dyDescent="0.25">
      <c r="A88" s="811" t="s">
        <v>2073</v>
      </c>
      <c r="B88" s="867"/>
      <c r="C88" s="869" t="s">
        <v>2074</v>
      </c>
      <c r="D88" s="869" t="s">
        <v>2074</v>
      </c>
      <c r="E88" s="869" t="s">
        <v>2074</v>
      </c>
      <c r="F88" s="869" t="s">
        <v>2074</v>
      </c>
      <c r="G88" s="869" t="s">
        <v>2074</v>
      </c>
      <c r="H88" s="869" t="s">
        <v>2074</v>
      </c>
      <c r="I88" s="869" t="s">
        <v>2074</v>
      </c>
      <c r="J88" s="869" t="s">
        <v>2075</v>
      </c>
      <c r="K88" s="869" t="s">
        <v>2075</v>
      </c>
      <c r="L88" s="869" t="s">
        <v>2076</v>
      </c>
      <c r="M88" s="869" t="s">
        <v>2077</v>
      </c>
      <c r="N88" s="869" t="s">
        <v>840</v>
      </c>
      <c r="O88" s="869" t="s">
        <v>841</v>
      </c>
    </row>
    <row r="89" spans="1:16" ht="15" x14ac:dyDescent="0.25">
      <c r="A89" s="811" t="s">
        <v>2078</v>
      </c>
      <c r="B89" s="867"/>
      <c r="C89" s="869" t="s">
        <v>563</v>
      </c>
      <c r="D89" s="869" t="s">
        <v>564</v>
      </c>
      <c r="E89" s="869" t="s">
        <v>1285</v>
      </c>
      <c r="F89" s="869" t="s">
        <v>567</v>
      </c>
      <c r="G89" s="869" t="s">
        <v>568</v>
      </c>
      <c r="H89" s="869" t="s">
        <v>568</v>
      </c>
      <c r="I89" s="869" t="s">
        <v>568</v>
      </c>
      <c r="J89" s="869" t="s">
        <v>276</v>
      </c>
      <c r="K89" s="869" t="s">
        <v>277</v>
      </c>
      <c r="L89" s="869" t="s">
        <v>571</v>
      </c>
      <c r="M89" s="869" t="s">
        <v>571</v>
      </c>
      <c r="N89" s="870" t="s">
        <v>473</v>
      </c>
      <c r="O89" s="870" t="s">
        <v>2084</v>
      </c>
    </row>
    <row r="90" spans="1:16" ht="15" x14ac:dyDescent="0.25">
      <c r="A90" s="811"/>
      <c r="B90" s="867" t="str">
        <f>+'Working Budget with funding det'!B111</f>
        <v>CLEAN WATER FACILITY</v>
      </c>
      <c r="C90" s="868"/>
      <c r="D90" s="868"/>
      <c r="E90" s="868"/>
      <c r="F90" s="868"/>
      <c r="G90" s="868"/>
      <c r="H90" s="868"/>
      <c r="I90" s="868"/>
      <c r="J90" s="868"/>
      <c r="K90" s="868"/>
      <c r="L90" s="868"/>
      <c r="M90" s="868"/>
      <c r="N90" s="867"/>
      <c r="O90" s="867"/>
    </row>
    <row r="91" spans="1:16" ht="15" x14ac:dyDescent="0.25">
      <c r="A91" s="811">
        <f>+'Working Budget with funding det'!A112</f>
        <v>440</v>
      </c>
      <c r="B91" s="867" t="s">
        <v>2085</v>
      </c>
      <c r="C91" s="868">
        <f>+'661 440 CWF'!C64</f>
        <v>1232852.1600000001</v>
      </c>
      <c r="D91" s="868">
        <f>+'661 440 CWF'!D64</f>
        <v>1332110.5999999999</v>
      </c>
      <c r="E91" s="868">
        <f>+'661 440 CWF'!Q64</f>
        <v>2074229</v>
      </c>
      <c r="F91" s="868">
        <f>+'661 440 CWF'!G64</f>
        <v>1411401.52</v>
      </c>
      <c r="G91" s="868">
        <f>+'661 440 CWF'!H64</f>
        <v>1459773.7000000002</v>
      </c>
      <c r="H91" s="868">
        <f>+'661 440 CWF'!I64</f>
        <v>1523345.5699999998</v>
      </c>
      <c r="I91" s="868">
        <f>+'661 440 CWF'!J64</f>
        <v>1546577.2100000002</v>
      </c>
      <c r="J91" s="868">
        <f>+'661 440 CWF'!L64</f>
        <v>1480090.73</v>
      </c>
      <c r="K91" s="868">
        <f>+'661 440 CWF'!O64</f>
        <v>1962430</v>
      </c>
      <c r="L91" s="868">
        <f>+'661 440 CWF'!Q64-'661 440 CWF'!Q61</f>
        <v>2015729</v>
      </c>
      <c r="M91" s="868">
        <f>+'661 440 CWF'!S64-'661 440 CWF'!S61</f>
        <v>2015729</v>
      </c>
      <c r="N91" s="868">
        <f t="shared" ref="N91:N95" si="34">+M91-K91</f>
        <v>53299</v>
      </c>
      <c r="O91" s="871">
        <f t="shared" ref="O91:O95" si="35">ROUND((+N91/K91),4)</f>
        <v>2.7199999999999998E-2</v>
      </c>
      <c r="P91" s="220"/>
    </row>
    <row r="92" spans="1:16" ht="15" x14ac:dyDescent="0.25">
      <c r="A92" s="811">
        <v>440</v>
      </c>
      <c r="B92" s="867" t="s">
        <v>1417</v>
      </c>
      <c r="C92" s="868"/>
      <c r="D92" s="868"/>
      <c r="E92" s="868"/>
      <c r="F92" s="868"/>
      <c r="G92" s="868"/>
      <c r="H92" s="868"/>
      <c r="I92" s="868"/>
      <c r="J92" s="868"/>
      <c r="K92" s="868"/>
      <c r="L92" s="868">
        <f>+'661 440 CWF'!Q61</f>
        <v>58500</v>
      </c>
      <c r="M92" s="868">
        <f>+'661 440 CWF'!S61</f>
        <v>58500</v>
      </c>
      <c r="N92" s="868">
        <f t="shared" si="34"/>
        <v>58500</v>
      </c>
      <c r="O92" s="871"/>
      <c r="P92" s="220"/>
    </row>
    <row r="93" spans="1:16" ht="15" x14ac:dyDescent="0.25">
      <c r="A93" s="811">
        <f>+'Working Budget with funding det'!A115</f>
        <v>700</v>
      </c>
      <c r="B93" s="867" t="s">
        <v>1866</v>
      </c>
      <c r="C93" s="868">
        <f>+'661 700 CWF Debt'!C61</f>
        <v>339561.32000000007</v>
      </c>
      <c r="D93" s="868">
        <f>+'661 700 CWF Debt'!D61</f>
        <v>333169.57</v>
      </c>
      <c r="E93" s="868">
        <f>+'661 700 CWF Debt'!E61</f>
        <v>430365.07</v>
      </c>
      <c r="F93" s="868">
        <f>+'661 700 CWF Debt'!G61</f>
        <v>432071.62</v>
      </c>
      <c r="G93" s="868">
        <f>+'661 700 CWF Debt'!H61</f>
        <v>363646.25</v>
      </c>
      <c r="H93" s="868">
        <f>+'661 700 CWF Debt'!I61</f>
        <v>363127.97</v>
      </c>
      <c r="I93" s="868">
        <f>+'661 700 CWF Debt'!J61</f>
        <v>513019.85</v>
      </c>
      <c r="J93" s="868">
        <f>+'661 700 CWF Debt'!L61</f>
        <v>495060.53</v>
      </c>
      <c r="K93" s="868">
        <f>+'661 700 CWF Debt'!O61</f>
        <v>505270</v>
      </c>
      <c r="L93" s="868">
        <f>+'661 700 CWF Debt'!Q61</f>
        <v>483614.05</v>
      </c>
      <c r="M93" s="868">
        <f>+'661 700 CWF Debt'!S61</f>
        <v>483614.05</v>
      </c>
      <c r="N93" s="868">
        <f t="shared" si="34"/>
        <v>-21655.950000000012</v>
      </c>
      <c r="O93" s="871">
        <f t="shared" si="35"/>
        <v>-4.2900000000000001E-2</v>
      </c>
    </row>
    <row r="94" spans="1:16" ht="15" x14ac:dyDescent="0.25">
      <c r="A94" s="811">
        <f>+'Working Budget with funding det'!A116</f>
        <v>910</v>
      </c>
      <c r="B94" s="867" t="s">
        <v>127</v>
      </c>
      <c r="C94" s="872">
        <f>+'661 910 CWF Benefits'!C18</f>
        <v>162428.75000000003</v>
      </c>
      <c r="D94" s="872">
        <f>+'661 910 CWF Benefits'!D18</f>
        <v>160893.16</v>
      </c>
      <c r="E94" s="872">
        <f>+'661 910 CWF Benefits'!E18</f>
        <v>181400.05999999997</v>
      </c>
      <c r="F94" s="872">
        <f>+'661 910 CWF Benefits'!G18</f>
        <v>221112.49</v>
      </c>
      <c r="G94" s="872">
        <f>+'661 910 CWF Benefits'!H18</f>
        <v>224380.71000000002</v>
      </c>
      <c r="H94" s="872">
        <f>+'661 910 CWF Benefits'!I18</f>
        <v>234658.48</v>
      </c>
      <c r="I94" s="872">
        <f>+'661 910 CWF Benefits'!J18</f>
        <v>225455.12</v>
      </c>
      <c r="J94" s="872">
        <f>+'661 910 CWF Benefits'!L18</f>
        <v>222372.35</v>
      </c>
      <c r="K94" s="872">
        <f>+'661 910 CWF Benefits'!O18</f>
        <v>359152</v>
      </c>
      <c r="L94" s="872">
        <f>+'661 910 CWF Benefits'!Q18</f>
        <v>363631</v>
      </c>
      <c r="M94" s="872">
        <f>+'661 910 CWF Benefits'!S18</f>
        <v>363631</v>
      </c>
      <c r="N94" s="872">
        <f t="shared" si="34"/>
        <v>4479</v>
      </c>
      <c r="O94" s="951">
        <f t="shared" si="35"/>
        <v>1.2500000000000001E-2</v>
      </c>
    </row>
    <row r="95" spans="1:16" ht="15" x14ac:dyDescent="0.25">
      <c r="A95" s="811"/>
      <c r="B95" s="867" t="s">
        <v>2399</v>
      </c>
      <c r="C95" s="868">
        <f t="shared" ref="C95:L95" si="36">SUM(C91:C94)</f>
        <v>1734842.2300000002</v>
      </c>
      <c r="D95" s="868">
        <f t="shared" si="36"/>
        <v>1826173.3299999998</v>
      </c>
      <c r="E95" s="868">
        <f t="shared" si="36"/>
        <v>2685994.13</v>
      </c>
      <c r="F95" s="868">
        <f t="shared" si="36"/>
        <v>2064585.6300000001</v>
      </c>
      <c r="G95" s="868">
        <f t="shared" ref="G95:J95" si="37">SUM(G91:G94)</f>
        <v>2047800.6600000001</v>
      </c>
      <c r="H95" s="868">
        <f t="shared" ref="H95:I95" si="38">SUM(H91:H94)</f>
        <v>2121132.02</v>
      </c>
      <c r="I95" s="868">
        <f t="shared" si="38"/>
        <v>2285052.1800000002</v>
      </c>
      <c r="J95" s="868">
        <f t="shared" si="37"/>
        <v>2197523.61</v>
      </c>
      <c r="K95" s="868">
        <f t="shared" ref="K95" si="39">SUM(K91:K94)</f>
        <v>2826852</v>
      </c>
      <c r="L95" s="868">
        <f t="shared" si="36"/>
        <v>2921474.05</v>
      </c>
      <c r="M95" s="868">
        <f t="shared" ref="M95" si="40">SUM(M91:M94)</f>
        <v>2921474.05</v>
      </c>
      <c r="N95" s="868">
        <f t="shared" si="34"/>
        <v>94622.049999999814</v>
      </c>
      <c r="O95" s="871">
        <f t="shared" si="35"/>
        <v>3.3500000000000002E-2</v>
      </c>
    </row>
    <row r="96" spans="1:16" ht="15" x14ac:dyDescent="0.25">
      <c r="A96" s="811"/>
      <c r="B96" s="867"/>
      <c r="C96" s="868"/>
      <c r="D96" s="868"/>
      <c r="E96" s="868"/>
      <c r="F96" s="868"/>
      <c r="G96" s="868"/>
      <c r="H96" s="868"/>
      <c r="I96" s="868"/>
      <c r="J96" s="868"/>
      <c r="K96" s="868"/>
      <c r="L96" s="868"/>
      <c r="M96" s="868"/>
      <c r="N96" s="867"/>
      <c r="O96" s="875"/>
    </row>
    <row r="97" spans="1:15" ht="15" hidden="1" x14ac:dyDescent="0.25">
      <c r="A97" s="811"/>
      <c r="B97" s="867"/>
      <c r="C97" s="868"/>
      <c r="D97" s="868"/>
      <c r="E97" s="868"/>
      <c r="F97" s="868"/>
      <c r="G97" s="868"/>
      <c r="H97" s="868"/>
      <c r="I97" s="868"/>
      <c r="J97" s="868"/>
      <c r="K97" s="868"/>
      <c r="L97" s="868"/>
      <c r="M97" s="868"/>
      <c r="N97" s="867"/>
      <c r="O97" s="867"/>
    </row>
    <row r="98" spans="1:15" ht="15" hidden="1" x14ac:dyDescent="0.25">
      <c r="A98" s="811"/>
      <c r="B98" s="867"/>
      <c r="C98" s="868"/>
      <c r="D98" s="868"/>
      <c r="E98" s="868"/>
      <c r="F98" s="868"/>
      <c r="G98" s="868"/>
      <c r="H98" s="868"/>
      <c r="I98" s="868"/>
      <c r="J98" s="868"/>
      <c r="K98" s="868"/>
      <c r="L98" s="868"/>
      <c r="M98" s="868"/>
      <c r="N98" s="867"/>
      <c r="O98" s="867"/>
    </row>
    <row r="99" spans="1:15" ht="15" hidden="1" x14ac:dyDescent="0.25">
      <c r="A99" s="811" t="s">
        <v>2073</v>
      </c>
      <c r="B99" s="867"/>
      <c r="C99" s="869" t="s">
        <v>2074</v>
      </c>
      <c r="D99" s="869" t="s">
        <v>2074</v>
      </c>
      <c r="E99" s="869" t="s">
        <v>2074</v>
      </c>
      <c r="F99" s="869" t="s">
        <v>2074</v>
      </c>
      <c r="G99" s="869" t="s">
        <v>2074</v>
      </c>
      <c r="H99" s="869" t="s">
        <v>2074</v>
      </c>
      <c r="I99" s="869" t="s">
        <v>2074</v>
      </c>
      <c r="J99" s="869" t="s">
        <v>2075</v>
      </c>
      <c r="K99" s="869" t="s">
        <v>2075</v>
      </c>
      <c r="L99" s="869" t="s">
        <v>2076</v>
      </c>
      <c r="M99" s="869" t="s">
        <v>2076</v>
      </c>
      <c r="N99" s="869" t="s">
        <v>840</v>
      </c>
      <c r="O99" s="869" t="s">
        <v>841</v>
      </c>
    </row>
    <row r="100" spans="1:15" ht="15" hidden="1" x14ac:dyDescent="0.25">
      <c r="A100" s="811" t="s">
        <v>2078</v>
      </c>
      <c r="B100" s="867"/>
      <c r="C100" s="869" t="s">
        <v>563</v>
      </c>
      <c r="D100" s="869" t="s">
        <v>564</v>
      </c>
      <c r="E100" s="869" t="s">
        <v>1285</v>
      </c>
      <c r="F100" s="869" t="s">
        <v>567</v>
      </c>
      <c r="G100" s="869" t="s">
        <v>568</v>
      </c>
      <c r="H100" s="869" t="s">
        <v>568</v>
      </c>
      <c r="I100" s="869" t="s">
        <v>568</v>
      </c>
      <c r="J100" s="869" t="s">
        <v>569</v>
      </c>
      <c r="K100" s="869" t="s">
        <v>569</v>
      </c>
      <c r="L100" s="869" t="s">
        <v>570</v>
      </c>
      <c r="M100" s="869" t="s">
        <v>570</v>
      </c>
      <c r="N100" s="870" t="s">
        <v>473</v>
      </c>
      <c r="O100" s="870" t="s">
        <v>2084</v>
      </c>
    </row>
    <row r="101" spans="1:15" ht="15" x14ac:dyDescent="0.25">
      <c r="A101" s="811">
        <v>449</v>
      </c>
      <c r="B101" s="867" t="s">
        <v>674</v>
      </c>
      <c r="C101" s="868"/>
      <c r="D101" s="868"/>
      <c r="E101" s="868"/>
      <c r="F101" s="868"/>
      <c r="G101" s="868"/>
      <c r="H101" s="868"/>
      <c r="I101" s="868"/>
      <c r="J101" s="868"/>
      <c r="K101" s="868"/>
      <c r="L101" s="868"/>
      <c r="M101" s="868"/>
      <c r="N101" s="867"/>
      <c r="O101" s="875"/>
    </row>
    <row r="102" spans="1:15" ht="15" x14ac:dyDescent="0.25">
      <c r="A102" s="811"/>
      <c r="B102" s="867" t="s">
        <v>2085</v>
      </c>
      <c r="C102" s="868">
        <f>+'661 449 Hwy'!C28-'661 449 Hwy'!C26</f>
        <v>22394.649999999998</v>
      </c>
      <c r="D102" s="868">
        <f>+'661 449 Hwy'!D28-'661 449 Hwy'!D26</f>
        <v>17339.32</v>
      </c>
      <c r="E102" s="868">
        <f>+'661 449 Hwy'!E28-'661 449 Hwy'!E26</f>
        <v>41678.6</v>
      </c>
      <c r="F102" s="868">
        <f>+'661 449 Hwy'!G28-'661 449 Hwy'!G26</f>
        <v>19605.989999999998</v>
      </c>
      <c r="G102" s="868">
        <f>+'661 449 Hwy'!H28-'661 449 Hwy'!H26</f>
        <v>19157.71</v>
      </c>
      <c r="H102" s="868">
        <f>+'661 449 Hwy'!I28-'661 449 Hwy'!I26</f>
        <v>26987.78</v>
      </c>
      <c r="I102" s="868">
        <f>+'661 449 Hwy'!J28-'661 449 Hwy'!J26</f>
        <v>11306.64</v>
      </c>
      <c r="J102" s="868">
        <f>+'661 449 Hwy'!O12+'661 449 Hwy'!O23</f>
        <v>42800</v>
      </c>
      <c r="K102" s="868">
        <f>+'661 449 Hwy'!O12+'661 449 Hwy'!O23</f>
        <v>42800</v>
      </c>
      <c r="L102" s="868">
        <f>+'661 449 Hwy'!Q28-'661 449 Hwy'!Q26</f>
        <v>84650</v>
      </c>
      <c r="M102" s="868">
        <f>+'661 449 Hwy'!S28-'661 449 Hwy'!S26</f>
        <v>84650</v>
      </c>
      <c r="N102" s="868">
        <f t="shared" ref="N102:N104" si="41">+M102-K102</f>
        <v>41850</v>
      </c>
      <c r="O102" s="871">
        <f t="shared" ref="O102:O104" si="42">ROUND((+N102/K102),4)</f>
        <v>0.9778</v>
      </c>
    </row>
    <row r="103" spans="1:15" ht="15" x14ac:dyDescent="0.25">
      <c r="A103" s="811"/>
      <c r="B103" s="867" t="s">
        <v>1417</v>
      </c>
      <c r="C103" s="872">
        <f>+'661 449 Hwy'!C26</f>
        <v>2116.23</v>
      </c>
      <c r="D103" s="872">
        <f>+'661 449 Hwy'!D26</f>
        <v>0</v>
      </c>
      <c r="E103" s="872">
        <f>+'661 449 Hwy'!E26</f>
        <v>0</v>
      </c>
      <c r="F103" s="872">
        <f>+'661 449 Hwy'!G26</f>
        <v>0</v>
      </c>
      <c r="G103" s="872">
        <f>+'661 449 Hwy'!H26</f>
        <v>0</v>
      </c>
      <c r="H103" s="872">
        <f>+'661 449 Hwy'!I26</f>
        <v>0</v>
      </c>
      <c r="I103" s="872">
        <f>+'661 449 Hwy'!J26</f>
        <v>0</v>
      </c>
      <c r="J103" s="872">
        <f>+'661 449 Hwy'!O25</f>
        <v>8000</v>
      </c>
      <c r="K103" s="872">
        <f>+'661 449 Hwy'!O25</f>
        <v>8000</v>
      </c>
      <c r="L103" s="872">
        <f>+'661 449 Hwy'!Q26</f>
        <v>0</v>
      </c>
      <c r="M103" s="872">
        <f>+'661 449 Hwy'!S26</f>
        <v>0</v>
      </c>
      <c r="N103" s="872">
        <f t="shared" si="41"/>
        <v>-8000</v>
      </c>
      <c r="O103" s="951">
        <f t="shared" si="42"/>
        <v>-1</v>
      </c>
    </row>
    <row r="104" spans="1:15" ht="15" x14ac:dyDescent="0.25">
      <c r="A104" s="811"/>
      <c r="B104" s="867" t="s">
        <v>2086</v>
      </c>
      <c r="C104" s="868">
        <f t="shared" ref="C104:L104" si="43">SUM(C102:C103)</f>
        <v>24510.879999999997</v>
      </c>
      <c r="D104" s="868">
        <f t="shared" si="43"/>
        <v>17339.32</v>
      </c>
      <c r="E104" s="868">
        <f t="shared" si="43"/>
        <v>41678.6</v>
      </c>
      <c r="F104" s="868">
        <f t="shared" si="43"/>
        <v>19605.989999999998</v>
      </c>
      <c r="G104" s="868">
        <f t="shared" ref="G104:J104" si="44">SUM(G102:G103)</f>
        <v>19157.71</v>
      </c>
      <c r="H104" s="868">
        <f t="shared" ref="H104:I104" si="45">SUM(H102:H103)</f>
        <v>26987.78</v>
      </c>
      <c r="I104" s="868">
        <f t="shared" si="45"/>
        <v>11306.64</v>
      </c>
      <c r="J104" s="868">
        <f t="shared" si="44"/>
        <v>50800</v>
      </c>
      <c r="K104" s="868">
        <f t="shared" ref="K104" si="46">SUM(K102:K103)</f>
        <v>50800</v>
      </c>
      <c r="L104" s="868">
        <f t="shared" si="43"/>
        <v>84650</v>
      </c>
      <c r="M104" s="868">
        <f t="shared" ref="M104" si="47">SUM(M102:M103)</f>
        <v>84650</v>
      </c>
      <c r="N104" s="868">
        <f t="shared" si="41"/>
        <v>33850</v>
      </c>
      <c r="O104" s="871">
        <f t="shared" si="42"/>
        <v>0.6663</v>
      </c>
    </row>
    <row r="105" spans="1:15" ht="15" x14ac:dyDescent="0.25">
      <c r="A105" s="811"/>
      <c r="B105" s="867"/>
      <c r="C105" s="868"/>
      <c r="D105" s="868"/>
      <c r="E105" s="868"/>
      <c r="F105" s="868"/>
      <c r="G105" s="868"/>
      <c r="H105" s="868"/>
      <c r="I105" s="868"/>
      <c r="J105" s="868"/>
      <c r="K105" s="868"/>
      <c r="L105" s="868"/>
      <c r="M105" s="868"/>
      <c r="N105" s="867"/>
      <c r="O105" s="875"/>
    </row>
    <row r="106" spans="1:15" ht="15.75" thickBot="1" x14ac:dyDescent="0.3">
      <c r="A106" s="811"/>
      <c r="B106" s="867" t="s">
        <v>2400</v>
      </c>
      <c r="C106" s="874">
        <f t="shared" ref="C106:L106" si="48">+C104+C95</f>
        <v>1759353.11</v>
      </c>
      <c r="D106" s="874">
        <f t="shared" si="48"/>
        <v>1843512.65</v>
      </c>
      <c r="E106" s="874">
        <f t="shared" si="48"/>
        <v>2727672.73</v>
      </c>
      <c r="F106" s="874">
        <f t="shared" si="48"/>
        <v>2084191.62</v>
      </c>
      <c r="G106" s="874">
        <f t="shared" ref="G106:J106" si="49">+G104+G95</f>
        <v>2066958.37</v>
      </c>
      <c r="H106" s="874">
        <f t="shared" ref="H106:I106" si="50">+H104+H95</f>
        <v>2148119.7999999998</v>
      </c>
      <c r="I106" s="874">
        <f t="shared" si="50"/>
        <v>2296358.8200000003</v>
      </c>
      <c r="J106" s="874">
        <f t="shared" si="49"/>
        <v>2248323.61</v>
      </c>
      <c r="K106" s="874">
        <f t="shared" ref="K106" si="51">+K104+K95</f>
        <v>2877652</v>
      </c>
      <c r="L106" s="874">
        <f t="shared" si="48"/>
        <v>3006124.05</v>
      </c>
      <c r="M106" s="874">
        <f t="shared" ref="M106" si="52">+M104+M95</f>
        <v>3006124.05</v>
      </c>
      <c r="N106" s="874">
        <f t="shared" ref="N106" si="53">+M106-K106</f>
        <v>128472.04999999981</v>
      </c>
      <c r="O106" s="950">
        <f t="shared" ref="O106" si="54">ROUND((+N106/K106),4)</f>
        <v>4.4600000000000001E-2</v>
      </c>
    </row>
    <row r="107" spans="1:15" ht="15.75" thickTop="1" x14ac:dyDescent="0.25">
      <c r="A107" s="811"/>
      <c r="B107" s="867"/>
      <c r="C107" s="868"/>
      <c r="D107" s="868"/>
      <c r="E107" s="868"/>
      <c r="F107" s="868"/>
      <c r="G107" s="868"/>
      <c r="H107" s="868"/>
      <c r="I107" s="868"/>
      <c r="J107" s="868"/>
      <c r="K107" s="868"/>
      <c r="L107" s="868"/>
      <c r="M107" s="867"/>
      <c r="N107" s="867"/>
      <c r="O107" s="867"/>
    </row>
    <row r="108" spans="1:15" ht="15" x14ac:dyDescent="0.25">
      <c r="A108" s="811"/>
      <c r="B108" s="867"/>
      <c r="C108" s="868"/>
      <c r="D108" s="868"/>
      <c r="E108" s="868"/>
      <c r="F108" s="868"/>
      <c r="G108" s="868"/>
      <c r="H108" s="868"/>
      <c r="I108" s="868"/>
      <c r="J108" s="868"/>
      <c r="K108" s="868"/>
      <c r="L108" s="868"/>
      <c r="M108" s="867"/>
      <c r="N108" s="867"/>
      <c r="O108" s="867"/>
    </row>
    <row r="109" spans="1:15" ht="15" x14ac:dyDescent="0.25">
      <c r="A109" s="1173" t="s">
        <v>2087</v>
      </c>
      <c r="B109" s="1173"/>
      <c r="C109" s="1173"/>
      <c r="D109" s="1173"/>
      <c r="E109" s="1173"/>
      <c r="F109" s="1173"/>
      <c r="G109" s="1173"/>
      <c r="H109" s="1173"/>
      <c r="I109" s="1173"/>
      <c r="J109" s="1173"/>
      <c r="K109" s="1173"/>
      <c r="L109" s="1173"/>
      <c r="M109" s="1173"/>
      <c r="N109" s="1173"/>
      <c r="O109" s="1173"/>
    </row>
    <row r="110" spans="1:15" ht="15" x14ac:dyDescent="0.25">
      <c r="A110" s="1173" t="s">
        <v>2088</v>
      </c>
      <c r="B110" s="1173"/>
      <c r="C110" s="1173"/>
      <c r="D110" s="1173"/>
      <c r="E110" s="1173"/>
      <c r="F110" s="1173"/>
      <c r="G110" s="1173"/>
      <c r="H110" s="1173"/>
      <c r="I110" s="1173"/>
      <c r="J110" s="1173"/>
      <c r="K110" s="1173"/>
      <c r="L110" s="1173"/>
      <c r="M110" s="1173"/>
      <c r="N110" s="1173"/>
      <c r="O110" s="1173"/>
    </row>
    <row r="111" spans="1:15" ht="15" x14ac:dyDescent="0.25">
      <c r="A111" s="811"/>
      <c r="B111" s="867"/>
      <c r="C111" s="868"/>
      <c r="D111" s="868"/>
      <c r="E111" s="868"/>
      <c r="F111" s="868"/>
      <c r="G111" s="868"/>
      <c r="H111" s="868"/>
      <c r="I111" s="868"/>
      <c r="J111" s="868"/>
      <c r="K111" s="868"/>
      <c r="L111" s="868"/>
      <c r="M111" s="869" t="s">
        <v>620</v>
      </c>
      <c r="N111" s="867"/>
      <c r="O111" s="867"/>
    </row>
    <row r="112" spans="1:15" ht="15" x14ac:dyDescent="0.25">
      <c r="A112" s="811"/>
      <c r="B112" s="867"/>
      <c r="C112" s="868"/>
      <c r="D112" s="868"/>
      <c r="E112" s="868"/>
      <c r="F112" s="868"/>
      <c r="G112" s="868"/>
      <c r="H112" s="868"/>
      <c r="I112" s="868"/>
      <c r="J112" s="868"/>
      <c r="K112" s="868"/>
      <c r="L112" s="868"/>
      <c r="M112" s="869" t="s">
        <v>2072</v>
      </c>
      <c r="N112" s="867"/>
      <c r="O112" s="867"/>
    </row>
    <row r="113" spans="1:15" ht="15" x14ac:dyDescent="0.25">
      <c r="A113" s="811" t="s">
        <v>2073</v>
      </c>
      <c r="B113" s="867"/>
      <c r="C113" s="869" t="s">
        <v>2074</v>
      </c>
      <c r="D113" s="869" t="s">
        <v>2074</v>
      </c>
      <c r="E113" s="869" t="s">
        <v>2074</v>
      </c>
      <c r="F113" s="869" t="s">
        <v>2074</v>
      </c>
      <c r="G113" s="869" t="s">
        <v>2074</v>
      </c>
      <c r="H113" s="869" t="s">
        <v>2074</v>
      </c>
      <c r="I113" s="869" t="s">
        <v>2074</v>
      </c>
      <c r="J113" s="869" t="s">
        <v>2075</v>
      </c>
      <c r="K113" s="869" t="s">
        <v>2075</v>
      </c>
      <c r="L113" s="869" t="s">
        <v>2076</v>
      </c>
      <c r="M113" s="869" t="s">
        <v>2077</v>
      </c>
      <c r="N113" s="869" t="s">
        <v>840</v>
      </c>
      <c r="O113" s="869" t="s">
        <v>841</v>
      </c>
    </row>
    <row r="114" spans="1:15" ht="15" x14ac:dyDescent="0.25">
      <c r="A114" s="811" t="s">
        <v>2078</v>
      </c>
      <c r="B114" s="867"/>
      <c r="C114" s="869" t="s">
        <v>563</v>
      </c>
      <c r="D114" s="869" t="s">
        <v>564</v>
      </c>
      <c r="E114" s="869" t="s">
        <v>1285</v>
      </c>
      <c r="F114" s="869" t="s">
        <v>567</v>
      </c>
      <c r="G114" s="869" t="s">
        <v>568</v>
      </c>
      <c r="H114" s="869" t="s">
        <v>569</v>
      </c>
      <c r="I114" s="869" t="s">
        <v>570</v>
      </c>
      <c r="J114" s="869" t="s">
        <v>276</v>
      </c>
      <c r="K114" s="869" t="s">
        <v>277</v>
      </c>
      <c r="L114" s="869" t="s">
        <v>571</v>
      </c>
      <c r="M114" s="869" t="s">
        <v>571</v>
      </c>
      <c r="N114" s="870" t="s">
        <v>473</v>
      </c>
      <c r="O114" s="870" t="s">
        <v>473</v>
      </c>
    </row>
    <row r="115" spans="1:15" ht="15" x14ac:dyDescent="0.25">
      <c r="A115" s="811"/>
      <c r="B115" s="867" t="str">
        <f>+'Working Budget with funding det'!B121</f>
        <v>AIRPORT</v>
      </c>
      <c r="C115" s="868"/>
      <c r="D115" s="868"/>
      <c r="E115" s="868"/>
      <c r="F115" s="868"/>
      <c r="G115" s="868"/>
      <c r="H115" s="868"/>
      <c r="I115" s="868"/>
      <c r="J115" s="868"/>
      <c r="K115" s="868"/>
      <c r="L115" s="868"/>
      <c r="M115" s="868"/>
      <c r="N115" s="867"/>
      <c r="O115" s="867"/>
    </row>
    <row r="116" spans="1:15" ht="15" x14ac:dyDescent="0.25">
      <c r="A116" s="811">
        <v>482</v>
      </c>
      <c r="B116" s="867" t="s">
        <v>2085</v>
      </c>
      <c r="C116" s="868">
        <f>+'600 482 Airport'!C54</f>
        <v>36905.490000000005</v>
      </c>
      <c r="D116" s="868">
        <f>+'600 482 Airport'!D54</f>
        <v>44653.43</v>
      </c>
      <c r="E116" s="868">
        <f>+'600 482 Airport'!E54</f>
        <v>45769.880000000005</v>
      </c>
      <c r="F116" s="868">
        <f>+'600 482 Airport'!G54</f>
        <v>51918.03</v>
      </c>
      <c r="G116" s="868">
        <f>+'600 482 Airport'!I54</f>
        <v>48391.540000000008</v>
      </c>
      <c r="H116" s="868">
        <f>+'600 482 Airport'!J54</f>
        <v>39812.629999999997</v>
      </c>
      <c r="I116" s="868">
        <f>+'600 482 Airport'!K54</f>
        <v>95494</v>
      </c>
      <c r="J116" s="868">
        <f>+'600 482 Airport'!O54</f>
        <v>181794</v>
      </c>
      <c r="K116" s="868">
        <f>+'600 482 Airport'!O54</f>
        <v>181794</v>
      </c>
      <c r="L116" s="868">
        <f>+'600 482 Airport'!Q54</f>
        <v>284915</v>
      </c>
      <c r="M116" s="868">
        <f>+'600 482 Airport'!S54-M117</f>
        <v>274915</v>
      </c>
      <c r="N116" s="868">
        <f t="shared" ref="N116:N120" si="55">+M116-K116</f>
        <v>93121</v>
      </c>
      <c r="O116" s="871">
        <f t="shared" ref="O116:O120" si="56">ROUND((+N116/K116),4)</f>
        <v>0.51219999999999999</v>
      </c>
    </row>
    <row r="117" spans="1:15" ht="15" x14ac:dyDescent="0.25">
      <c r="A117" s="811">
        <v>482</v>
      </c>
      <c r="B117" s="867" t="s">
        <v>2356</v>
      </c>
      <c r="C117" s="868"/>
      <c r="D117" s="868"/>
      <c r="E117" s="868"/>
      <c r="F117" s="868"/>
      <c r="G117" s="868"/>
      <c r="H117" s="868"/>
      <c r="I117" s="868"/>
      <c r="J117" s="868"/>
      <c r="K117" s="868"/>
      <c r="L117" s="868"/>
      <c r="M117" s="868">
        <f>+'600 482 Airport'!Q51</f>
        <v>10000</v>
      </c>
      <c r="N117" s="868">
        <f t="shared" ref="N117" si="57">+M117-K117</f>
        <v>10000</v>
      </c>
      <c r="O117" s="871"/>
    </row>
    <row r="118" spans="1:15" ht="15" x14ac:dyDescent="0.25">
      <c r="A118" s="811">
        <v>700</v>
      </c>
      <c r="B118" s="867" t="s">
        <v>1866</v>
      </c>
      <c r="C118" s="868"/>
      <c r="D118" s="868"/>
      <c r="E118" s="868"/>
      <c r="F118" s="868"/>
      <c r="G118" s="868"/>
      <c r="H118" s="868"/>
      <c r="I118" s="868"/>
      <c r="J118" s="868">
        <f>+'600-700 Airport Debt'!O21</f>
        <v>101120</v>
      </c>
      <c r="K118" s="868">
        <f>+'600-700 Airport Debt'!O21</f>
        <v>101120</v>
      </c>
      <c r="L118" s="868">
        <f>+'600-700 Airport Debt'!Q21</f>
        <v>101535</v>
      </c>
      <c r="M118" s="868">
        <f>+'600-700 Airport Debt'!S21</f>
        <v>101535</v>
      </c>
      <c r="N118" s="868">
        <f t="shared" si="55"/>
        <v>415</v>
      </c>
      <c r="O118" s="871">
        <f t="shared" si="56"/>
        <v>4.1000000000000003E-3</v>
      </c>
    </row>
    <row r="119" spans="1:15" ht="15" x14ac:dyDescent="0.25">
      <c r="A119" s="811">
        <v>910</v>
      </c>
      <c r="B119" s="867" t="s">
        <v>127</v>
      </c>
      <c r="C119" s="868"/>
      <c r="D119" s="868"/>
      <c r="E119" s="868"/>
      <c r="F119" s="868"/>
      <c r="G119" s="868"/>
      <c r="H119" s="868"/>
      <c r="I119" s="868"/>
      <c r="J119" s="868">
        <f>+'600-900 Airport Benefits'!O18</f>
        <v>33101</v>
      </c>
      <c r="K119" s="868">
        <f>+'600-900 Airport Benefits'!O18</f>
        <v>33101</v>
      </c>
      <c r="L119" s="868">
        <f>+'600-900 Airport Benefits'!Q18</f>
        <v>40515</v>
      </c>
      <c r="M119" s="868">
        <f>+'600-900 Airport Benefits'!S18</f>
        <v>40515</v>
      </c>
      <c r="N119" s="868">
        <f t="shared" si="55"/>
        <v>7414</v>
      </c>
      <c r="O119" s="871">
        <f t="shared" si="56"/>
        <v>0.224</v>
      </c>
    </row>
    <row r="120" spans="1:15" ht="15.75" thickBot="1" x14ac:dyDescent="0.3">
      <c r="A120" s="811"/>
      <c r="B120" s="867" t="s">
        <v>681</v>
      </c>
      <c r="C120" s="874">
        <f>SUM(C116:C119)</f>
        <v>36905.490000000005</v>
      </c>
      <c r="D120" s="874">
        <f t="shared" ref="D120:L120" si="58">SUM(D116:D119)</f>
        <v>44653.43</v>
      </c>
      <c r="E120" s="874">
        <f t="shared" si="58"/>
        <v>45769.880000000005</v>
      </c>
      <c r="F120" s="874">
        <f t="shared" si="58"/>
        <v>51918.03</v>
      </c>
      <c r="G120" s="874">
        <f t="shared" si="58"/>
        <v>48391.540000000008</v>
      </c>
      <c r="H120" s="874">
        <f t="shared" si="58"/>
        <v>39812.629999999997</v>
      </c>
      <c r="I120" s="874">
        <f t="shared" si="58"/>
        <v>95494</v>
      </c>
      <c r="J120" s="874">
        <f t="shared" si="58"/>
        <v>316015</v>
      </c>
      <c r="K120" s="874">
        <f t="shared" ref="K120" si="59">SUM(K116:K119)</f>
        <v>316015</v>
      </c>
      <c r="L120" s="874">
        <f t="shared" si="58"/>
        <v>426965</v>
      </c>
      <c r="M120" s="874">
        <f t="shared" ref="M120" si="60">SUM(M116:M119)</f>
        <v>426965</v>
      </c>
      <c r="N120" s="874">
        <f t="shared" si="55"/>
        <v>110950</v>
      </c>
      <c r="O120" s="950">
        <f t="shared" si="56"/>
        <v>0.35110000000000002</v>
      </c>
    </row>
    <row r="121" spans="1:15" ht="15.75" thickTop="1" x14ac:dyDescent="0.25">
      <c r="A121" s="811"/>
      <c r="B121" s="867"/>
      <c r="C121" s="868"/>
      <c r="D121" s="868"/>
      <c r="E121" s="868"/>
      <c r="F121" s="868"/>
      <c r="G121" s="868"/>
      <c r="H121" s="868"/>
      <c r="I121" s="868"/>
      <c r="J121" s="868"/>
      <c r="K121" s="868"/>
      <c r="L121" s="868"/>
      <c r="M121" s="868"/>
      <c r="N121" s="867"/>
      <c r="O121" s="867"/>
    </row>
    <row r="122" spans="1:15" ht="15" x14ac:dyDescent="0.25">
      <c r="A122" s="811"/>
      <c r="B122" s="867"/>
      <c r="C122" s="868"/>
      <c r="D122" s="868"/>
      <c r="E122" s="868"/>
      <c r="F122" s="868"/>
      <c r="G122" s="868"/>
      <c r="H122" s="868"/>
      <c r="I122" s="868"/>
      <c r="J122" s="868"/>
      <c r="K122" s="868"/>
      <c r="L122" s="868"/>
      <c r="M122" s="867"/>
      <c r="N122" s="867"/>
      <c r="O122" s="867"/>
    </row>
    <row r="123" spans="1:15" ht="15" x14ac:dyDescent="0.25">
      <c r="A123" s="811"/>
      <c r="B123" s="867"/>
      <c r="C123" s="868"/>
      <c r="D123" s="868"/>
      <c r="E123" s="868"/>
      <c r="F123" s="868"/>
      <c r="G123" s="868"/>
      <c r="H123" s="868"/>
      <c r="I123" s="868"/>
      <c r="J123" s="868"/>
      <c r="K123" s="868"/>
      <c r="L123" s="868"/>
      <c r="M123" s="867"/>
      <c r="N123" s="867"/>
      <c r="O123" s="867"/>
    </row>
  </sheetData>
  <mergeCells count="8">
    <mergeCell ref="A85:O85"/>
    <mergeCell ref="A109:O109"/>
    <mergeCell ref="A110:O110"/>
    <mergeCell ref="A1:O1"/>
    <mergeCell ref="A2:O2"/>
    <mergeCell ref="A47:O47"/>
    <mergeCell ref="A48:O48"/>
    <mergeCell ref="A84:O84"/>
  </mergeCells>
  <phoneticPr fontId="15" type="noConversion"/>
  <pageMargins left="1" right="1" top="1" bottom="1" header="0.5" footer="0.5"/>
  <pageSetup fitToHeight="3" orientation="portrait" r:id="rId1"/>
  <headerFooter alignWithMargins="0">
    <oddFooter>&amp;L&amp;D &amp;T&amp;C&amp;F&amp;R&amp;A&amp;P</oddFooter>
  </headerFooter>
  <rowBreaks count="1" manualBreakCount="1">
    <brk id="82" max="14"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000"/>
    <pageSetUpPr fitToPage="1"/>
  </sheetPr>
  <dimension ref="A2:R67"/>
  <sheetViews>
    <sheetView topLeftCell="B1" workbookViewId="0">
      <selection activeCell="G3" sqref="G3"/>
    </sheetView>
  </sheetViews>
  <sheetFormatPr defaultRowHeight="12.75" x14ac:dyDescent="0.2"/>
  <cols>
    <col min="1" max="1" width="6.1640625" style="783" customWidth="1"/>
    <col min="2" max="2" width="33.33203125" customWidth="1"/>
    <col min="3" max="3" width="10.5" bestFit="1" customWidth="1"/>
    <col min="4" max="4" width="11.5" customWidth="1"/>
    <col min="5" max="5" width="10.5" bestFit="1" customWidth="1"/>
    <col min="6" max="6" width="13.1640625" customWidth="1"/>
    <col min="7" max="7" width="11.83203125" customWidth="1"/>
    <col min="8" max="9" width="10.5" bestFit="1" customWidth="1"/>
    <col min="10" max="10" width="12" customWidth="1"/>
    <col min="11" max="11" width="11.1640625" customWidth="1"/>
    <col min="12" max="12" width="9.83203125" customWidth="1"/>
    <col min="13" max="13" width="10.83203125" customWidth="1"/>
    <col min="15" max="16" width="10.33203125" customWidth="1"/>
    <col min="18" max="18" width="10.6640625" customWidth="1"/>
  </cols>
  <sheetData>
    <row r="2" spans="1:18" x14ac:dyDescent="0.2">
      <c r="B2" t="s">
        <v>2089</v>
      </c>
      <c r="C2" s="1176" t="s">
        <v>277</v>
      </c>
      <c r="D2" s="1177"/>
      <c r="E2" s="1177"/>
      <c r="F2" s="1178"/>
      <c r="G2" s="1176" t="s">
        <v>2369</v>
      </c>
      <c r="H2" s="1177"/>
      <c r="I2" s="1177"/>
      <c r="J2" s="1177"/>
      <c r="K2" s="1174" t="s">
        <v>2090</v>
      </c>
      <c r="L2" s="1175"/>
      <c r="M2" s="1174" t="s">
        <v>2091</v>
      </c>
      <c r="N2" s="1175"/>
      <c r="O2" s="1174" t="s">
        <v>2092</v>
      </c>
      <c r="P2" s="1175"/>
      <c r="Q2" s="161" t="s">
        <v>2093</v>
      </c>
      <c r="R2" s="185"/>
    </row>
    <row r="3" spans="1:18" x14ac:dyDescent="0.2">
      <c r="C3" s="164" t="s">
        <v>2090</v>
      </c>
      <c r="D3" s="165" t="s">
        <v>583</v>
      </c>
      <c r="E3" s="165" t="s">
        <v>2092</v>
      </c>
      <c r="F3" s="166" t="s">
        <v>193</v>
      </c>
      <c r="G3" s="125" t="s">
        <v>2090</v>
      </c>
      <c r="H3" s="125" t="s">
        <v>583</v>
      </c>
      <c r="I3" s="125" t="s">
        <v>2092</v>
      </c>
      <c r="J3" s="125" t="s">
        <v>193</v>
      </c>
      <c r="K3" s="178" t="s">
        <v>1992</v>
      </c>
      <c r="L3" s="179" t="s">
        <v>2094</v>
      </c>
      <c r="M3" s="178" t="s">
        <v>1992</v>
      </c>
      <c r="N3" s="179" t="s">
        <v>2094</v>
      </c>
      <c r="O3" s="178" t="s">
        <v>1992</v>
      </c>
      <c r="P3" s="179" t="s">
        <v>2094</v>
      </c>
      <c r="Q3" s="178" t="s">
        <v>1992</v>
      </c>
      <c r="R3" s="179" t="s">
        <v>2094</v>
      </c>
    </row>
    <row r="4" spans="1:18" x14ac:dyDescent="0.2">
      <c r="A4" s="783">
        <v>113</v>
      </c>
      <c r="B4" t="s">
        <v>619</v>
      </c>
      <c r="C4" s="167">
        <f>+'113 Town Mtg'!O9</f>
        <v>370</v>
      </c>
      <c r="D4" s="51">
        <f>+'113 Town Mtg'!O21</f>
        <v>2020</v>
      </c>
      <c r="E4" s="51"/>
      <c r="F4" s="174">
        <f>+E4+D4+C4</f>
        <v>2390</v>
      </c>
      <c r="G4" s="167">
        <f>+'113 Town Mtg'!Q9</f>
        <v>500</v>
      </c>
      <c r="H4" s="51">
        <f>+'113 Town Mtg'!Q21</f>
        <v>2480</v>
      </c>
      <c r="I4" s="51"/>
      <c r="J4" s="174">
        <f>+I4+H4+G4</f>
        <v>2980</v>
      </c>
      <c r="K4" s="167">
        <f t="shared" ref="K4:K16" si="0">+G4-C4</f>
        <v>130</v>
      </c>
      <c r="L4" s="170">
        <f>ROUND((+K4/C4),4)</f>
        <v>0.35139999999999999</v>
      </c>
      <c r="M4" s="167">
        <f t="shared" ref="M4:M42" si="1">+H4-D4</f>
        <v>460</v>
      </c>
      <c r="N4" s="170">
        <f t="shared" ref="N4:N19" si="2">ROUND((+M4/D4),4)</f>
        <v>0.22770000000000001</v>
      </c>
      <c r="O4" s="167">
        <f t="shared" ref="O4:O16" si="3">+I4-E4</f>
        <v>0</v>
      </c>
      <c r="P4" s="170"/>
      <c r="Q4" s="160">
        <f t="shared" ref="Q4:Q43" si="4">+J4-F4</f>
        <v>590</v>
      </c>
      <c r="R4" s="171">
        <f t="shared" ref="R4:R37" si="5">ROUND((+Q4/F4),4)</f>
        <v>0.24690000000000001</v>
      </c>
    </row>
    <row r="5" spans="1:18" x14ac:dyDescent="0.2">
      <c r="A5" s="783">
        <v>122</v>
      </c>
      <c r="B5" t="s">
        <v>2095</v>
      </c>
      <c r="C5" s="160">
        <f>+'122 Selectboard'!O19</f>
        <v>289460</v>
      </c>
      <c r="D5" s="2">
        <f>+'122 Selectboard'!O34</f>
        <v>24050</v>
      </c>
      <c r="E5" s="2"/>
      <c r="F5" s="175">
        <f t="shared" ref="F5:F42" si="6">+E5+D5+C5</f>
        <v>313510</v>
      </c>
      <c r="G5" s="160">
        <f>+'122 Selectboard'!Q19</f>
        <v>307381</v>
      </c>
      <c r="H5" s="2">
        <f>+'122 Selectboard'!Q34</f>
        <v>22400</v>
      </c>
      <c r="I5" s="2"/>
      <c r="J5" s="175">
        <f t="shared" ref="J5:J42" si="7">+I5+H5+G5</f>
        <v>329781</v>
      </c>
      <c r="K5" s="160">
        <f t="shared" si="0"/>
        <v>17921</v>
      </c>
      <c r="L5" s="171">
        <f>ROUND((+K5/C5),4)</f>
        <v>6.1899999999999997E-2</v>
      </c>
      <c r="M5" s="160">
        <f t="shared" si="1"/>
        <v>-1650</v>
      </c>
      <c r="N5" s="171">
        <f t="shared" si="2"/>
        <v>-6.8599999999999994E-2</v>
      </c>
      <c r="O5" s="160">
        <f t="shared" si="3"/>
        <v>0</v>
      </c>
      <c r="P5" s="171"/>
      <c r="Q5" s="160">
        <f t="shared" si="4"/>
        <v>16271</v>
      </c>
      <c r="R5" s="171">
        <f t="shared" si="5"/>
        <v>5.1900000000000002E-2</v>
      </c>
    </row>
    <row r="6" spans="1:18" x14ac:dyDescent="0.2">
      <c r="A6" s="783">
        <v>131</v>
      </c>
      <c r="B6" s="220" t="s">
        <v>621</v>
      </c>
      <c r="C6" s="160"/>
      <c r="D6" s="2">
        <f>+'131 Fin Comm'!O17</f>
        <v>2000</v>
      </c>
      <c r="E6" s="2"/>
      <c r="F6" s="175">
        <f t="shared" si="6"/>
        <v>2000</v>
      </c>
      <c r="G6" s="160"/>
      <c r="H6" s="2">
        <f>+'131 Fin Comm'!Q17</f>
        <v>2000</v>
      </c>
      <c r="I6" s="2"/>
      <c r="J6" s="175">
        <f t="shared" si="7"/>
        <v>2000</v>
      </c>
      <c r="K6" s="160">
        <f t="shared" si="0"/>
        <v>0</v>
      </c>
      <c r="L6" s="171"/>
      <c r="M6" s="160">
        <f t="shared" si="1"/>
        <v>0</v>
      </c>
      <c r="N6" s="171">
        <f t="shared" si="2"/>
        <v>0</v>
      </c>
      <c r="O6" s="160">
        <f t="shared" si="3"/>
        <v>0</v>
      </c>
      <c r="P6" s="171"/>
      <c r="Q6" s="160">
        <f t="shared" si="4"/>
        <v>0</v>
      </c>
      <c r="R6" s="171">
        <f t="shared" si="5"/>
        <v>0</v>
      </c>
    </row>
    <row r="7" spans="1:18" x14ac:dyDescent="0.2">
      <c r="A7" s="783">
        <v>132</v>
      </c>
      <c r="B7" s="220" t="s">
        <v>622</v>
      </c>
      <c r="C7" s="160"/>
      <c r="D7" s="2">
        <f>+'132 Reserve Fund'!O11</f>
        <v>50000</v>
      </c>
      <c r="E7" s="2"/>
      <c r="F7" s="175">
        <f t="shared" si="6"/>
        <v>50000</v>
      </c>
      <c r="G7" s="160"/>
      <c r="H7" s="2">
        <f>+'132 Reserve Fund'!Q11</f>
        <v>50000</v>
      </c>
      <c r="I7" s="2"/>
      <c r="J7" s="175">
        <f t="shared" si="7"/>
        <v>50000</v>
      </c>
      <c r="K7" s="160">
        <f t="shared" si="0"/>
        <v>0</v>
      </c>
      <c r="L7" s="171"/>
      <c r="M7" s="160">
        <f t="shared" si="1"/>
        <v>0</v>
      </c>
      <c r="N7" s="171">
        <f t="shared" si="2"/>
        <v>0</v>
      </c>
      <c r="O7" s="160">
        <f t="shared" si="3"/>
        <v>0</v>
      </c>
      <c r="P7" s="171"/>
      <c r="Q7" s="160">
        <f t="shared" si="4"/>
        <v>0</v>
      </c>
      <c r="R7" s="171">
        <f t="shared" si="5"/>
        <v>0</v>
      </c>
    </row>
    <row r="8" spans="1:18" x14ac:dyDescent="0.2">
      <c r="A8" s="783">
        <v>135</v>
      </c>
      <c r="B8" t="s">
        <v>623</v>
      </c>
      <c r="C8" s="160">
        <f>+'135 Acct'!O11</f>
        <v>78423</v>
      </c>
      <c r="D8" s="2">
        <f>+'135 Acct'!O26</f>
        <v>12461</v>
      </c>
      <c r="E8" s="2"/>
      <c r="F8" s="175">
        <f t="shared" si="6"/>
        <v>90884</v>
      </c>
      <c r="G8" s="160">
        <f>+'135 Acct'!Q11</f>
        <v>80384</v>
      </c>
      <c r="H8" s="2">
        <f>+'135 Acct'!Q26</f>
        <v>9116</v>
      </c>
      <c r="I8" s="2"/>
      <c r="J8" s="175">
        <f t="shared" si="7"/>
        <v>89500</v>
      </c>
      <c r="K8" s="160">
        <f t="shared" si="0"/>
        <v>1961</v>
      </c>
      <c r="L8" s="171">
        <f>ROUND((+K8/C8),4)</f>
        <v>2.5000000000000001E-2</v>
      </c>
      <c r="M8" s="160">
        <f t="shared" si="1"/>
        <v>-3345</v>
      </c>
      <c r="N8" s="171">
        <f t="shared" si="2"/>
        <v>-0.26840000000000003</v>
      </c>
      <c r="O8" s="160">
        <f t="shared" si="3"/>
        <v>0</v>
      </c>
      <c r="P8" s="171"/>
      <c r="Q8" s="160">
        <f t="shared" si="4"/>
        <v>-1384</v>
      </c>
      <c r="R8" s="171">
        <f t="shared" si="5"/>
        <v>-1.52E-2</v>
      </c>
    </row>
    <row r="9" spans="1:18" x14ac:dyDescent="0.2">
      <c r="A9" s="783">
        <v>141</v>
      </c>
      <c r="B9" s="220" t="s">
        <v>624</v>
      </c>
      <c r="C9" s="160">
        <f>+'141 BOA'!O16</f>
        <v>120558</v>
      </c>
      <c r="D9" s="2">
        <f>+'141 BOA'!O37</f>
        <v>70065</v>
      </c>
      <c r="E9" s="2"/>
      <c r="F9" s="175">
        <f t="shared" si="6"/>
        <v>190623</v>
      </c>
      <c r="G9" s="160">
        <f>+'141 BOA'!Q16</f>
        <v>124371</v>
      </c>
      <c r="H9" s="2">
        <f>+'141 BOA'!Q37</f>
        <v>65430</v>
      </c>
      <c r="I9" s="2"/>
      <c r="J9" s="175">
        <f t="shared" si="7"/>
        <v>189801</v>
      </c>
      <c r="K9" s="160">
        <f t="shared" si="0"/>
        <v>3813</v>
      </c>
      <c r="L9" s="171">
        <f>ROUND((+K9/C9),4)</f>
        <v>3.1600000000000003E-2</v>
      </c>
      <c r="M9" s="160">
        <f t="shared" si="1"/>
        <v>-4635</v>
      </c>
      <c r="N9" s="171">
        <f t="shared" si="2"/>
        <v>-6.6199999999999995E-2</v>
      </c>
      <c r="O9" s="160">
        <f t="shared" si="3"/>
        <v>0</v>
      </c>
      <c r="P9" s="171"/>
      <c r="Q9" s="160">
        <f t="shared" si="4"/>
        <v>-822</v>
      </c>
      <c r="R9" s="171">
        <f t="shared" si="5"/>
        <v>-4.3E-3</v>
      </c>
    </row>
    <row r="10" spans="1:18" x14ac:dyDescent="0.2">
      <c r="A10" s="783">
        <v>145</v>
      </c>
      <c r="B10" t="s">
        <v>2096</v>
      </c>
      <c r="C10" s="160">
        <f>+'145 Treas'!O16</f>
        <v>163243</v>
      </c>
      <c r="D10" s="2">
        <f>+'145 Treas'!O31</f>
        <v>57470</v>
      </c>
      <c r="E10" s="2"/>
      <c r="F10" s="175">
        <f t="shared" si="6"/>
        <v>220713</v>
      </c>
      <c r="G10" s="160">
        <f>+'145 Treas'!Q16</f>
        <v>170878.2</v>
      </c>
      <c r="H10" s="2">
        <f>+'145 Treas'!Q31</f>
        <v>59870</v>
      </c>
      <c r="I10" s="2"/>
      <c r="J10" s="175">
        <f t="shared" si="7"/>
        <v>230748.2</v>
      </c>
      <c r="K10" s="160">
        <f t="shared" si="0"/>
        <v>7635.2000000000116</v>
      </c>
      <c r="L10" s="171">
        <f>ROUND((+K10/C10),4)</f>
        <v>4.6800000000000001E-2</v>
      </c>
      <c r="M10" s="160">
        <f t="shared" si="1"/>
        <v>2400</v>
      </c>
      <c r="N10" s="171">
        <f t="shared" si="2"/>
        <v>4.1799999999999997E-2</v>
      </c>
      <c r="O10" s="160">
        <f t="shared" si="3"/>
        <v>0</v>
      </c>
      <c r="P10" s="171"/>
      <c r="Q10" s="160">
        <f t="shared" si="4"/>
        <v>10035.200000000012</v>
      </c>
      <c r="R10" s="171">
        <f t="shared" si="5"/>
        <v>4.5499999999999999E-2</v>
      </c>
    </row>
    <row r="11" spans="1:18" x14ac:dyDescent="0.2">
      <c r="A11" s="783">
        <v>151</v>
      </c>
      <c r="B11" t="s">
        <v>627</v>
      </c>
      <c r="C11" s="160"/>
      <c r="D11" s="2">
        <f>+'151 Counsel'!O13</f>
        <v>75000</v>
      </c>
      <c r="E11" s="2"/>
      <c r="F11" s="175">
        <f t="shared" si="6"/>
        <v>75000</v>
      </c>
      <c r="G11" s="160"/>
      <c r="H11" s="2">
        <f>+'151 Counsel'!Q13</f>
        <v>80000</v>
      </c>
      <c r="I11" s="2"/>
      <c r="J11" s="175">
        <f t="shared" si="7"/>
        <v>80000</v>
      </c>
      <c r="K11" s="160">
        <f t="shared" si="0"/>
        <v>0</v>
      </c>
      <c r="L11" s="171"/>
      <c r="M11" s="160">
        <f t="shared" si="1"/>
        <v>5000</v>
      </c>
      <c r="N11" s="171">
        <f t="shared" si="2"/>
        <v>6.6699999999999995E-2</v>
      </c>
      <c r="O11" s="160">
        <f t="shared" si="3"/>
        <v>0</v>
      </c>
      <c r="P11" s="171"/>
      <c r="Q11" s="160">
        <f t="shared" si="4"/>
        <v>5000</v>
      </c>
      <c r="R11" s="171">
        <f t="shared" si="5"/>
        <v>6.6699999999999995E-2</v>
      </c>
    </row>
    <row r="12" spans="1:18" x14ac:dyDescent="0.2">
      <c r="A12" s="783">
        <v>155</v>
      </c>
      <c r="B12" s="220" t="s">
        <v>628</v>
      </c>
      <c r="C12" s="160">
        <f>+'155 IT'!O9</f>
        <v>2100</v>
      </c>
      <c r="D12" s="2">
        <f>+'155 IT'!O27</f>
        <v>76900</v>
      </c>
      <c r="E12" s="2"/>
      <c r="F12" s="175">
        <f t="shared" si="6"/>
        <v>79000</v>
      </c>
      <c r="G12" s="160">
        <f>+'155 IT'!Q11</f>
        <v>2100</v>
      </c>
      <c r="H12" s="2">
        <f>+'155 IT'!Q27</f>
        <v>78400</v>
      </c>
      <c r="I12" s="2"/>
      <c r="J12" s="175">
        <f t="shared" si="7"/>
        <v>80500</v>
      </c>
      <c r="K12" s="160">
        <f>+G12-C12</f>
        <v>0</v>
      </c>
      <c r="L12" s="171"/>
      <c r="M12" s="160">
        <f>+H12-D12</f>
        <v>1500</v>
      </c>
      <c r="N12" s="171">
        <f>ROUND((+M12/D12),4)</f>
        <v>1.95E-2</v>
      </c>
      <c r="O12" s="160">
        <f>+I12-E12</f>
        <v>0</v>
      </c>
      <c r="P12" s="171"/>
      <c r="Q12" s="160">
        <f>+J12-F12</f>
        <v>1500</v>
      </c>
      <c r="R12" s="171">
        <f>ROUND((+Q12/F12),4)</f>
        <v>1.9E-2</v>
      </c>
    </row>
    <row r="13" spans="1:18" x14ac:dyDescent="0.2">
      <c r="A13" s="783">
        <v>159</v>
      </c>
      <c r="B13" s="220" t="s">
        <v>2097</v>
      </c>
      <c r="C13" s="160"/>
      <c r="D13" s="2">
        <f>+'159 Shared Costs'!O23</f>
        <v>78079</v>
      </c>
      <c r="E13" s="2"/>
      <c r="F13" s="175">
        <f t="shared" si="6"/>
        <v>78079</v>
      </c>
      <c r="G13" s="160"/>
      <c r="H13" s="2">
        <f>+'159 Shared Costs'!Q23</f>
        <v>85907</v>
      </c>
      <c r="I13" s="2"/>
      <c r="J13" s="175">
        <f t="shared" si="7"/>
        <v>85907</v>
      </c>
      <c r="K13" s="160">
        <f t="shared" si="0"/>
        <v>0</v>
      </c>
      <c r="L13" s="171"/>
      <c r="M13" s="160">
        <f t="shared" si="1"/>
        <v>7828</v>
      </c>
      <c r="N13" s="171">
        <f t="shared" si="2"/>
        <v>0.1003</v>
      </c>
      <c r="O13" s="160">
        <f t="shared" si="3"/>
        <v>0</v>
      </c>
      <c r="P13" s="171"/>
      <c r="Q13" s="160">
        <f t="shared" si="4"/>
        <v>7828</v>
      </c>
      <c r="R13" s="171">
        <f t="shared" si="5"/>
        <v>0.1003</v>
      </c>
    </row>
    <row r="14" spans="1:18" x14ac:dyDescent="0.2">
      <c r="A14" s="783">
        <v>161</v>
      </c>
      <c r="B14" t="s">
        <v>630</v>
      </c>
      <c r="C14" s="160">
        <f>+'161 Clerk'!O18</f>
        <v>155819</v>
      </c>
      <c r="D14" s="2">
        <f>+'161 Clerk'!O36</f>
        <v>40025</v>
      </c>
      <c r="E14" s="2"/>
      <c r="F14" s="175">
        <f t="shared" si="6"/>
        <v>195844</v>
      </c>
      <c r="G14" s="160">
        <f>+'161 Clerk'!Q18</f>
        <v>191933</v>
      </c>
      <c r="H14" s="2">
        <f>+'161 Clerk'!Q36</f>
        <v>51108</v>
      </c>
      <c r="I14" s="2"/>
      <c r="J14" s="175">
        <f t="shared" si="7"/>
        <v>243041</v>
      </c>
      <c r="K14" s="160">
        <f t="shared" si="0"/>
        <v>36114</v>
      </c>
      <c r="L14" s="171">
        <f>ROUND((+K14/C14),4)</f>
        <v>0.23180000000000001</v>
      </c>
      <c r="M14" s="160">
        <f t="shared" si="1"/>
        <v>11083</v>
      </c>
      <c r="N14" s="171">
        <f t="shared" si="2"/>
        <v>0.27689999999999998</v>
      </c>
      <c r="O14" s="160">
        <f t="shared" si="3"/>
        <v>0</v>
      </c>
      <c r="P14" s="171"/>
      <c r="Q14" s="160">
        <f t="shared" si="4"/>
        <v>47197</v>
      </c>
      <c r="R14" s="171">
        <f t="shared" si="5"/>
        <v>0.24099999999999999</v>
      </c>
    </row>
    <row r="15" spans="1:18" x14ac:dyDescent="0.2">
      <c r="A15" s="783">
        <v>175</v>
      </c>
      <c r="B15" t="s">
        <v>631</v>
      </c>
      <c r="C15" s="160">
        <f>+'175 Planning'!O13</f>
        <v>118107</v>
      </c>
      <c r="D15" s="2">
        <f>+'175 Planning'!O30</f>
        <v>10900</v>
      </c>
      <c r="E15" s="2"/>
      <c r="F15" s="175">
        <f t="shared" si="6"/>
        <v>129007</v>
      </c>
      <c r="G15" s="160">
        <f>+'175 Planning'!Q13</f>
        <v>125579</v>
      </c>
      <c r="H15" s="2">
        <f>+'175 Planning'!Q30</f>
        <v>8850</v>
      </c>
      <c r="I15" s="2"/>
      <c r="J15" s="175">
        <f t="shared" si="7"/>
        <v>134429</v>
      </c>
      <c r="K15" s="160">
        <f t="shared" si="0"/>
        <v>7472</v>
      </c>
      <c r="L15" s="171">
        <f>ROUND((+K15/C15),4)</f>
        <v>6.3299999999999995E-2</v>
      </c>
      <c r="M15" s="160">
        <f t="shared" si="1"/>
        <v>-2050</v>
      </c>
      <c r="N15" s="171">
        <f t="shared" si="2"/>
        <v>-0.18809999999999999</v>
      </c>
      <c r="O15" s="160">
        <f t="shared" si="3"/>
        <v>0</v>
      </c>
      <c r="P15" s="171"/>
      <c r="Q15" s="160">
        <f t="shared" si="4"/>
        <v>5422</v>
      </c>
      <c r="R15" s="171">
        <f t="shared" si="5"/>
        <v>4.2000000000000003E-2</v>
      </c>
    </row>
    <row r="16" spans="1:18" x14ac:dyDescent="0.2">
      <c r="A16" s="783">
        <v>176</v>
      </c>
      <c r="B16" s="220" t="s">
        <v>632</v>
      </c>
      <c r="C16" s="160"/>
      <c r="D16" s="2">
        <f>+'176 ZBA'!O15</f>
        <v>700</v>
      </c>
      <c r="E16" s="2"/>
      <c r="F16" s="175">
        <f t="shared" si="6"/>
        <v>700</v>
      </c>
      <c r="G16" s="160"/>
      <c r="H16" s="2">
        <f>+'176 ZBA'!Q15</f>
        <v>700</v>
      </c>
      <c r="I16" s="2"/>
      <c r="J16" s="175">
        <f t="shared" si="7"/>
        <v>700</v>
      </c>
      <c r="K16" s="160">
        <f t="shared" si="0"/>
        <v>0</v>
      </c>
      <c r="L16" s="171"/>
      <c r="M16" s="160">
        <f t="shared" si="1"/>
        <v>0</v>
      </c>
      <c r="N16" s="171">
        <f t="shared" si="2"/>
        <v>0</v>
      </c>
      <c r="O16" s="160">
        <f t="shared" si="3"/>
        <v>0</v>
      </c>
      <c r="P16" s="171"/>
      <c r="Q16" s="160">
        <f t="shared" si="4"/>
        <v>0</v>
      </c>
      <c r="R16" s="171">
        <f t="shared" si="5"/>
        <v>0</v>
      </c>
    </row>
    <row r="17" spans="1:18" x14ac:dyDescent="0.2">
      <c r="A17" s="783">
        <v>182</v>
      </c>
      <c r="B17" s="220" t="s">
        <v>100</v>
      </c>
      <c r="C17" s="2">
        <f>+'197 Farm Mkt'!O10</f>
        <v>0</v>
      </c>
      <c r="D17" s="2">
        <f>+'197 Farm Mkt'!O14</f>
        <v>0</v>
      </c>
      <c r="E17" s="2"/>
      <c r="F17" s="175">
        <f t="shared" si="6"/>
        <v>0</v>
      </c>
      <c r="G17" s="2">
        <f>+'197 Farm Mkt'!Q10</f>
        <v>4000</v>
      </c>
      <c r="H17" s="2">
        <f>+'197 Farm Mkt'!Q14</f>
        <v>1000</v>
      </c>
      <c r="I17" s="2"/>
      <c r="J17" s="175">
        <f t="shared" si="7"/>
        <v>5000</v>
      </c>
      <c r="K17" s="160"/>
      <c r="L17" s="171"/>
      <c r="M17" s="160">
        <f t="shared" si="1"/>
        <v>1000</v>
      </c>
      <c r="N17" s="171" t="e">
        <f t="shared" si="2"/>
        <v>#DIV/0!</v>
      </c>
      <c r="O17" s="160"/>
      <c r="P17" s="171"/>
      <c r="Q17" s="160">
        <f t="shared" si="4"/>
        <v>5000</v>
      </c>
      <c r="R17" s="171" t="e">
        <f t="shared" si="5"/>
        <v>#DIV/0!</v>
      </c>
    </row>
    <row r="18" spans="1:18" x14ac:dyDescent="0.2">
      <c r="A18" s="783">
        <v>190</v>
      </c>
      <c r="B18" t="s">
        <v>633</v>
      </c>
      <c r="C18" s="160"/>
      <c r="D18" s="2">
        <f>+'190 Publ Bldg Utilities'!O39</f>
        <v>130782</v>
      </c>
      <c r="E18" s="2"/>
      <c r="F18" s="175">
        <f t="shared" si="6"/>
        <v>130782</v>
      </c>
      <c r="G18" s="160"/>
      <c r="H18" s="2">
        <f>+'190 Publ Bldg Utilities'!Q39</f>
        <v>155932</v>
      </c>
      <c r="I18" s="2"/>
      <c r="J18" s="175">
        <f t="shared" si="7"/>
        <v>155932</v>
      </c>
      <c r="K18" s="160">
        <f t="shared" ref="K18:K42" si="8">+G18-C18</f>
        <v>0</v>
      </c>
      <c r="L18" s="171"/>
      <c r="M18" s="160">
        <f t="shared" si="1"/>
        <v>25150</v>
      </c>
      <c r="N18" s="171">
        <f t="shared" si="2"/>
        <v>0.1923</v>
      </c>
      <c r="O18" s="160">
        <f t="shared" ref="O18:O42" si="9">+I18-E18</f>
        <v>0</v>
      </c>
      <c r="P18" s="171"/>
      <c r="Q18" s="160">
        <f t="shared" si="4"/>
        <v>25150</v>
      </c>
      <c r="R18" s="171">
        <f t="shared" si="5"/>
        <v>0.1923</v>
      </c>
    </row>
    <row r="19" spans="1:18" x14ac:dyDescent="0.2">
      <c r="A19" s="783">
        <v>211</v>
      </c>
      <c r="B19" t="s">
        <v>636</v>
      </c>
      <c r="C19" s="160">
        <f>+'211 Police'!O28</f>
        <v>1660074</v>
      </c>
      <c r="D19" s="2">
        <f>+'211 Police'!O54+'211 Police'!O57</f>
        <v>272360</v>
      </c>
      <c r="E19" s="2"/>
      <c r="F19" s="175">
        <f t="shared" si="6"/>
        <v>1932434</v>
      </c>
      <c r="G19" s="160">
        <f>+'211 Police'!Q28</f>
        <v>1740694.0889999999</v>
      </c>
      <c r="H19" s="2">
        <f>+'211 Police'!Q54+'211 Police'!Q57</f>
        <v>297460</v>
      </c>
      <c r="I19" s="2"/>
      <c r="J19" s="175">
        <f t="shared" si="7"/>
        <v>2038154.0889999999</v>
      </c>
      <c r="K19" s="160">
        <f t="shared" si="8"/>
        <v>80620.08899999992</v>
      </c>
      <c r="L19" s="171">
        <f>ROUND((+K19/C19),4)</f>
        <v>4.8599999999999997E-2</v>
      </c>
      <c r="M19" s="160">
        <f t="shared" si="1"/>
        <v>25100</v>
      </c>
      <c r="N19" s="171">
        <f t="shared" si="2"/>
        <v>9.2200000000000004E-2</v>
      </c>
      <c r="O19" s="160">
        <f t="shared" si="9"/>
        <v>0</v>
      </c>
      <c r="P19" s="171"/>
      <c r="Q19" s="160">
        <f t="shared" si="4"/>
        <v>105720.08899999992</v>
      </c>
      <c r="R19" s="171">
        <f t="shared" si="5"/>
        <v>5.4699999999999999E-2</v>
      </c>
    </row>
    <row r="20" spans="1:18" x14ac:dyDescent="0.2">
      <c r="A20" s="783">
        <v>212</v>
      </c>
      <c r="B20" t="s">
        <v>638</v>
      </c>
      <c r="C20" s="160">
        <f>+'212 Dispatch'!O19</f>
        <v>370262</v>
      </c>
      <c r="D20" s="2">
        <f>+'212 Dispatch'!O24</f>
        <v>7600</v>
      </c>
      <c r="E20" s="2"/>
      <c r="F20" s="175">
        <f t="shared" si="6"/>
        <v>377862</v>
      </c>
      <c r="G20" s="160">
        <f>+'212 Dispatch'!Q19</f>
        <v>394088.1</v>
      </c>
      <c r="H20" s="2">
        <f>+'212 Dispatch'!Q24</f>
        <v>1500</v>
      </c>
      <c r="I20" s="2"/>
      <c r="J20" s="175">
        <f t="shared" si="7"/>
        <v>395588.1</v>
      </c>
      <c r="K20" s="160">
        <f t="shared" si="8"/>
        <v>23826.099999999977</v>
      </c>
      <c r="L20" s="171">
        <f>ROUND((+K20/C20),4)</f>
        <v>6.4299999999999996E-2</v>
      </c>
      <c r="M20" s="160">
        <f t="shared" si="1"/>
        <v>-6100</v>
      </c>
      <c r="N20" s="171"/>
      <c r="O20" s="160">
        <f t="shared" si="9"/>
        <v>0</v>
      </c>
      <c r="P20" s="171"/>
      <c r="Q20" s="160">
        <f t="shared" si="4"/>
        <v>17726.099999999977</v>
      </c>
      <c r="R20" s="171">
        <f t="shared" si="5"/>
        <v>4.6899999999999997E-2</v>
      </c>
    </row>
    <row r="21" spans="1:18" x14ac:dyDescent="0.2">
      <c r="A21" s="783">
        <v>241</v>
      </c>
      <c r="B21" s="220" t="s">
        <v>639</v>
      </c>
      <c r="C21" s="160">
        <f>+'241 Bldg'!O20</f>
        <v>130396</v>
      </c>
      <c r="D21" s="2">
        <f>+'241 Bldg'!O33</f>
        <v>10270</v>
      </c>
      <c r="E21" s="2"/>
      <c r="F21" s="175">
        <f t="shared" si="6"/>
        <v>140666</v>
      </c>
      <c r="G21" s="160">
        <f>+'241 Bldg'!Q20</f>
        <v>137351</v>
      </c>
      <c r="H21" s="2">
        <f>+'241 Bldg'!Q33</f>
        <v>11270</v>
      </c>
      <c r="I21" s="2"/>
      <c r="J21" s="175">
        <f t="shared" si="7"/>
        <v>148621</v>
      </c>
      <c r="K21" s="160">
        <f t="shared" si="8"/>
        <v>6955</v>
      </c>
      <c r="L21" s="171">
        <f>ROUND((+K21/C21),4)</f>
        <v>5.33E-2</v>
      </c>
      <c r="M21" s="160">
        <f t="shared" si="1"/>
        <v>1000</v>
      </c>
      <c r="N21" s="171">
        <f>ROUND((+M21/D21),4)</f>
        <v>9.74E-2</v>
      </c>
      <c r="O21" s="160">
        <f t="shared" si="9"/>
        <v>0</v>
      </c>
      <c r="P21" s="171"/>
      <c r="Q21" s="160">
        <f t="shared" si="4"/>
        <v>7955</v>
      </c>
      <c r="R21" s="171">
        <f t="shared" si="5"/>
        <v>5.6599999999999998E-2</v>
      </c>
    </row>
    <row r="22" spans="1:18" x14ac:dyDescent="0.2">
      <c r="A22" s="783">
        <v>244</v>
      </c>
      <c r="B22" t="s">
        <v>640</v>
      </c>
      <c r="C22" s="160"/>
      <c r="D22" s="2">
        <f>+'244 Sealer'!O10</f>
        <v>7182</v>
      </c>
      <c r="E22" s="2"/>
      <c r="F22" s="175">
        <f t="shared" si="6"/>
        <v>7182</v>
      </c>
      <c r="G22" s="160"/>
      <c r="H22" s="2">
        <f>+'244 Sealer'!Q10</f>
        <v>7182</v>
      </c>
      <c r="I22" s="2"/>
      <c r="J22" s="175">
        <f t="shared" si="7"/>
        <v>7182</v>
      </c>
      <c r="K22" s="160">
        <f t="shared" si="8"/>
        <v>0</v>
      </c>
      <c r="L22" s="171"/>
      <c r="M22" s="160">
        <f t="shared" si="1"/>
        <v>0</v>
      </c>
      <c r="N22" s="171">
        <f>ROUND((+M22/D22),4)</f>
        <v>0</v>
      </c>
      <c r="O22" s="160">
        <f t="shared" si="9"/>
        <v>0</v>
      </c>
      <c r="P22" s="171"/>
      <c r="Q22" s="160">
        <f t="shared" si="4"/>
        <v>0</v>
      </c>
      <c r="R22" s="171">
        <f t="shared" si="5"/>
        <v>0</v>
      </c>
    </row>
    <row r="23" spans="1:18" x14ac:dyDescent="0.2">
      <c r="A23" s="783">
        <v>291</v>
      </c>
      <c r="B23" s="220" t="s">
        <v>641</v>
      </c>
      <c r="C23" s="160">
        <f>+'291 Emergency'!O10</f>
        <v>5765</v>
      </c>
      <c r="D23" s="2">
        <f>+'291 Emergency'!O14</f>
        <v>500</v>
      </c>
      <c r="E23" s="2"/>
      <c r="F23" s="175">
        <f t="shared" si="6"/>
        <v>6265</v>
      </c>
      <c r="G23" s="160">
        <f>+'291 Emergency'!Q10</f>
        <v>5765</v>
      </c>
      <c r="H23" s="2">
        <f>+'291 Emergency'!Q14</f>
        <v>500</v>
      </c>
      <c r="I23" s="2"/>
      <c r="J23" s="175">
        <f t="shared" si="7"/>
        <v>6265</v>
      </c>
      <c r="K23" s="160">
        <f t="shared" si="8"/>
        <v>0</v>
      </c>
      <c r="L23" s="171">
        <f>ROUND((+K23/C23),4)</f>
        <v>0</v>
      </c>
      <c r="M23" s="160">
        <f t="shared" si="1"/>
        <v>0</v>
      </c>
      <c r="N23" s="171">
        <f>ROUND((+M23/D23),4)</f>
        <v>0</v>
      </c>
      <c r="O23" s="160">
        <f t="shared" si="9"/>
        <v>0</v>
      </c>
      <c r="P23" s="171"/>
      <c r="Q23" s="160">
        <f t="shared" si="4"/>
        <v>0</v>
      </c>
      <c r="R23" s="171">
        <f t="shared" si="5"/>
        <v>0</v>
      </c>
    </row>
    <row r="24" spans="1:18" x14ac:dyDescent="0.2">
      <c r="A24" s="783">
        <v>292</v>
      </c>
      <c r="B24" t="s">
        <v>642</v>
      </c>
      <c r="C24" s="160"/>
      <c r="D24" s="2">
        <f>+'292 Animal'!O16+'292 Animal'!O19</f>
        <v>21765</v>
      </c>
      <c r="E24" s="2"/>
      <c r="F24" s="175">
        <f t="shared" si="6"/>
        <v>21765</v>
      </c>
      <c r="G24" s="160"/>
      <c r="H24" s="2">
        <f>+'292 Animal'!Q16+'292 Animal'!Q19</f>
        <v>23112</v>
      </c>
      <c r="I24" s="2"/>
      <c r="J24" s="175">
        <f t="shared" si="7"/>
        <v>23112</v>
      </c>
      <c r="K24" s="160">
        <f t="shared" si="8"/>
        <v>0</v>
      </c>
      <c r="L24" s="171"/>
      <c r="M24" s="160">
        <f t="shared" si="1"/>
        <v>1347</v>
      </c>
      <c r="N24" s="171">
        <f>ROUND((+M24/D24),4)</f>
        <v>6.1899999999999997E-2</v>
      </c>
      <c r="O24" s="160">
        <f t="shared" si="9"/>
        <v>0</v>
      </c>
      <c r="P24" s="171"/>
      <c r="Q24" s="160">
        <f t="shared" si="4"/>
        <v>1347</v>
      </c>
      <c r="R24" s="171">
        <f t="shared" si="5"/>
        <v>6.1899999999999997E-2</v>
      </c>
    </row>
    <row r="25" spans="1:18" x14ac:dyDescent="0.2">
      <c r="A25" s="783">
        <v>294</v>
      </c>
      <c r="B25" t="s">
        <v>644</v>
      </c>
      <c r="C25" s="160">
        <f>+'294 Forest Warden'!O10</f>
        <v>1710</v>
      </c>
      <c r="D25" s="2"/>
      <c r="E25" s="2"/>
      <c r="F25" s="175">
        <f t="shared" si="6"/>
        <v>1710</v>
      </c>
      <c r="G25" s="160">
        <f>+'294 Forest Warden'!Q10</f>
        <v>1710</v>
      </c>
      <c r="H25" s="2"/>
      <c r="I25" s="2"/>
      <c r="J25" s="175">
        <f t="shared" si="7"/>
        <v>1710</v>
      </c>
      <c r="K25" s="160">
        <f t="shared" si="8"/>
        <v>0</v>
      </c>
      <c r="L25" s="171">
        <f>ROUND((+K25/C25),4)</f>
        <v>0</v>
      </c>
      <c r="M25" s="160">
        <f t="shared" si="1"/>
        <v>0</v>
      </c>
      <c r="N25" s="171"/>
      <c r="O25" s="160">
        <f t="shared" si="9"/>
        <v>0</v>
      </c>
      <c r="P25" s="171"/>
      <c r="Q25" s="160">
        <f t="shared" si="4"/>
        <v>0</v>
      </c>
      <c r="R25" s="171">
        <f t="shared" si="5"/>
        <v>0</v>
      </c>
    </row>
    <row r="26" spans="1:18" x14ac:dyDescent="0.2">
      <c r="A26" s="783">
        <v>299</v>
      </c>
      <c r="B26" t="s">
        <v>645</v>
      </c>
      <c r="C26" s="160">
        <f>+'299 Tree Warden'!O10</f>
        <v>1575</v>
      </c>
      <c r="D26" s="2">
        <f>+'299 Tree Warden'!O17</f>
        <v>28710</v>
      </c>
      <c r="E26" s="2"/>
      <c r="F26" s="175">
        <f t="shared" si="6"/>
        <v>30285</v>
      </c>
      <c r="G26" s="160">
        <f>+'299 Tree Warden'!Q10</f>
        <v>1575</v>
      </c>
      <c r="H26" s="2">
        <f>+'299 Tree Warden'!Q17</f>
        <v>28710</v>
      </c>
      <c r="I26" s="2"/>
      <c r="J26" s="175">
        <f t="shared" si="7"/>
        <v>30285</v>
      </c>
      <c r="K26" s="160">
        <f t="shared" si="8"/>
        <v>0</v>
      </c>
      <c r="L26" s="171">
        <f>ROUND((+K26/C26),4)</f>
        <v>0</v>
      </c>
      <c r="M26" s="160">
        <f t="shared" si="1"/>
        <v>0</v>
      </c>
      <c r="N26" s="171">
        <f t="shared" ref="N26:N37" si="10">ROUND((+M26/D26),4)</f>
        <v>0</v>
      </c>
      <c r="O26" s="160">
        <f t="shared" si="9"/>
        <v>0</v>
      </c>
      <c r="P26" s="171"/>
      <c r="Q26" s="160">
        <f t="shared" si="4"/>
        <v>0</v>
      </c>
      <c r="R26" s="171">
        <f t="shared" si="5"/>
        <v>0</v>
      </c>
    </row>
    <row r="27" spans="1:18" x14ac:dyDescent="0.2">
      <c r="A27" s="783">
        <v>420</v>
      </c>
      <c r="B27" t="s">
        <v>648</v>
      </c>
      <c r="C27" s="160">
        <f>+'420 DPW'!O17</f>
        <v>1038654</v>
      </c>
      <c r="D27" s="2">
        <f>+'420 DPW'!O55+'420 DPW'!O57</f>
        <v>533175</v>
      </c>
      <c r="E27" s="2"/>
      <c r="F27" s="175">
        <f t="shared" si="6"/>
        <v>1571829</v>
      </c>
      <c r="G27" s="160">
        <f>+'420 DPW'!Q17</f>
        <v>1177140.8</v>
      </c>
      <c r="H27" s="2">
        <f>+'420 DPW'!Q55+'420 DPW'!Q57</f>
        <v>569365</v>
      </c>
      <c r="I27" s="2"/>
      <c r="J27" s="175">
        <f t="shared" si="7"/>
        <v>1746505.8</v>
      </c>
      <c r="K27" s="160">
        <f t="shared" si="8"/>
        <v>138486.80000000005</v>
      </c>
      <c r="L27" s="171">
        <f>ROUND((+K27/C27),4)</f>
        <v>0.1333</v>
      </c>
      <c r="M27" s="160">
        <f t="shared" si="1"/>
        <v>36190</v>
      </c>
      <c r="N27" s="171">
        <f t="shared" si="10"/>
        <v>6.7900000000000002E-2</v>
      </c>
      <c r="O27" s="160">
        <f t="shared" si="9"/>
        <v>0</v>
      </c>
      <c r="P27" s="171"/>
      <c r="Q27" s="160">
        <f t="shared" si="4"/>
        <v>174676.80000000005</v>
      </c>
      <c r="R27" s="171">
        <f t="shared" si="5"/>
        <v>0.1111</v>
      </c>
    </row>
    <row r="28" spans="1:18" x14ac:dyDescent="0.2">
      <c r="A28" s="783">
        <v>423</v>
      </c>
      <c r="B28" t="s">
        <v>650</v>
      </c>
      <c r="C28" s="160">
        <f>+'423 Snow'!O12</f>
        <v>104050</v>
      </c>
      <c r="D28" s="2">
        <f>+'423 Snow'!O18</f>
        <v>177000</v>
      </c>
      <c r="E28" s="2"/>
      <c r="F28" s="175">
        <f t="shared" si="6"/>
        <v>281050</v>
      </c>
      <c r="G28" s="160">
        <f>+'423 Snow'!Q12</f>
        <v>97000</v>
      </c>
      <c r="H28" s="2">
        <f>+'423 Snow'!Q18</f>
        <v>214250</v>
      </c>
      <c r="I28" s="2"/>
      <c r="J28" s="175">
        <f t="shared" si="7"/>
        <v>311250</v>
      </c>
      <c r="K28" s="160">
        <f t="shared" si="8"/>
        <v>-7050</v>
      </c>
      <c r="L28" s="171">
        <f>ROUND((+K28/C28),4)</f>
        <v>-6.7799999999999999E-2</v>
      </c>
      <c r="M28" s="160">
        <f t="shared" si="1"/>
        <v>37250</v>
      </c>
      <c r="N28" s="171">
        <f t="shared" si="10"/>
        <v>0.21049999999999999</v>
      </c>
      <c r="O28" s="160">
        <f t="shared" si="9"/>
        <v>0</v>
      </c>
      <c r="P28" s="171"/>
      <c r="Q28" s="160">
        <f t="shared" si="4"/>
        <v>30200</v>
      </c>
      <c r="R28" s="171">
        <f t="shared" si="5"/>
        <v>0.1075</v>
      </c>
    </row>
    <row r="29" spans="1:18" x14ac:dyDescent="0.2">
      <c r="A29" s="783">
        <v>433</v>
      </c>
      <c r="B29" t="s">
        <v>651</v>
      </c>
      <c r="C29" s="160">
        <f>+'433 Solid Waste'!O13</f>
        <v>13438</v>
      </c>
      <c r="D29" s="2">
        <f>+'433 Solid Waste'!O25</f>
        <v>642900</v>
      </c>
      <c r="E29" s="2"/>
      <c r="F29" s="175">
        <f t="shared" si="6"/>
        <v>656338</v>
      </c>
      <c r="G29" s="160">
        <f>+'433 Solid Waste'!Q13</f>
        <v>14721</v>
      </c>
      <c r="H29" s="2">
        <f>+'433 Solid Waste'!Q25</f>
        <v>664500</v>
      </c>
      <c r="I29" s="2"/>
      <c r="J29" s="175">
        <f>+I29+H29+G29</f>
        <v>679221</v>
      </c>
      <c r="K29" s="160">
        <f t="shared" si="8"/>
        <v>1283</v>
      </c>
      <c r="L29" s="171">
        <f>ROUND((+K29/C29),4)</f>
        <v>9.5500000000000002E-2</v>
      </c>
      <c r="M29" s="160">
        <f t="shared" si="1"/>
        <v>21600</v>
      </c>
      <c r="N29" s="171">
        <f t="shared" si="10"/>
        <v>3.3599999999999998E-2</v>
      </c>
      <c r="O29" s="160">
        <f t="shared" si="9"/>
        <v>0</v>
      </c>
      <c r="P29" s="171"/>
      <c r="Q29" s="160">
        <f t="shared" si="4"/>
        <v>22883</v>
      </c>
      <c r="R29" s="171">
        <f t="shared" si="5"/>
        <v>3.49E-2</v>
      </c>
    </row>
    <row r="30" spans="1:18" x14ac:dyDescent="0.2">
      <c r="A30" s="783">
        <v>480</v>
      </c>
      <c r="B30" s="220" t="s">
        <v>2098</v>
      </c>
      <c r="C30" s="160"/>
      <c r="D30" s="2">
        <f>+'480 Charging Stations'!O13</f>
        <v>6000</v>
      </c>
      <c r="E30" s="2"/>
      <c r="F30" s="175">
        <f t="shared" si="6"/>
        <v>6000</v>
      </c>
      <c r="G30" s="160"/>
      <c r="H30" s="2">
        <f>+'480 Charging Stations'!Q15</f>
        <v>7380</v>
      </c>
      <c r="I30" s="2"/>
      <c r="J30" s="175">
        <f>+I30+H30+G30</f>
        <v>7380</v>
      </c>
      <c r="K30" s="160">
        <f t="shared" ref="K30" si="11">+G30-C30</f>
        <v>0</v>
      </c>
      <c r="L30" s="171"/>
      <c r="M30" s="160">
        <f t="shared" ref="M30" si="12">+H30-D30</f>
        <v>1380</v>
      </c>
      <c r="N30" s="171">
        <f t="shared" ref="N30" si="13">ROUND((+M30/D30),4)</f>
        <v>0.23</v>
      </c>
      <c r="O30" s="160"/>
      <c r="P30" s="171"/>
      <c r="Q30" s="160">
        <f t="shared" ref="Q30" si="14">+J30-F30</f>
        <v>1380</v>
      </c>
      <c r="R30" s="171">
        <f t="shared" ref="R30" si="15">ROUND((+Q30/F30),4)</f>
        <v>0.23</v>
      </c>
    </row>
    <row r="31" spans="1:18" x14ac:dyDescent="0.2">
      <c r="A31" s="783">
        <v>491</v>
      </c>
      <c r="B31" t="s">
        <v>653</v>
      </c>
      <c r="C31" s="160"/>
      <c r="D31" s="2">
        <f>+'491 Cemetery'!O13</f>
        <v>13440</v>
      </c>
      <c r="E31" s="2"/>
      <c r="F31" s="175">
        <f t="shared" si="6"/>
        <v>13440</v>
      </c>
      <c r="G31" s="160"/>
      <c r="H31" s="2">
        <f>+'491 Cemetery'!Q13</f>
        <v>30150</v>
      </c>
      <c r="I31" s="2"/>
      <c r="J31" s="175">
        <f t="shared" si="7"/>
        <v>30150</v>
      </c>
      <c r="K31" s="160">
        <f t="shared" si="8"/>
        <v>0</v>
      </c>
      <c r="L31" s="171"/>
      <c r="M31" s="160">
        <f t="shared" si="1"/>
        <v>16710</v>
      </c>
      <c r="N31" s="171">
        <f t="shared" si="10"/>
        <v>1.2433000000000001</v>
      </c>
      <c r="O31" s="160">
        <f t="shared" si="9"/>
        <v>0</v>
      </c>
      <c r="P31" s="171"/>
      <c r="Q31" s="160">
        <f t="shared" si="4"/>
        <v>16710</v>
      </c>
      <c r="R31" s="171">
        <f t="shared" si="5"/>
        <v>1.2433000000000001</v>
      </c>
    </row>
    <row r="32" spans="1:18" x14ac:dyDescent="0.2">
      <c r="A32" s="783">
        <v>511</v>
      </c>
      <c r="B32" t="s">
        <v>656</v>
      </c>
      <c r="C32" s="160">
        <f>+'511 BOH'!O22</f>
        <v>120896</v>
      </c>
      <c r="D32" s="2">
        <f>+'511 BOH'!O39</f>
        <v>44297</v>
      </c>
      <c r="E32" s="2"/>
      <c r="F32" s="175">
        <f t="shared" si="6"/>
        <v>165193</v>
      </c>
      <c r="G32" s="160">
        <f>+'511 BOH'!Q22</f>
        <v>128454</v>
      </c>
      <c r="H32" s="2">
        <f>+'511 BOH'!Q39</f>
        <v>46990</v>
      </c>
      <c r="I32" s="2"/>
      <c r="J32" s="175">
        <f t="shared" si="7"/>
        <v>175444</v>
      </c>
      <c r="K32" s="160">
        <f t="shared" si="8"/>
        <v>7558</v>
      </c>
      <c r="L32" s="171">
        <f>ROUND((+K32/C32),4)</f>
        <v>6.25E-2</v>
      </c>
      <c r="M32" s="160">
        <f t="shared" si="1"/>
        <v>2693</v>
      </c>
      <c r="N32" s="171">
        <f t="shared" si="10"/>
        <v>6.08E-2</v>
      </c>
      <c r="O32" s="160">
        <f t="shared" si="9"/>
        <v>0</v>
      </c>
      <c r="P32" s="171"/>
      <c r="Q32" s="160">
        <f t="shared" si="4"/>
        <v>10251</v>
      </c>
      <c r="R32" s="171">
        <f t="shared" si="5"/>
        <v>6.2100000000000002E-2</v>
      </c>
    </row>
    <row r="33" spans="1:18" x14ac:dyDescent="0.2">
      <c r="A33" s="783">
        <v>541</v>
      </c>
      <c r="B33" s="220" t="s">
        <v>657</v>
      </c>
      <c r="C33" s="160">
        <f>+'541 COA'!O11</f>
        <v>43534</v>
      </c>
      <c r="D33" s="2">
        <f>+'541 COA'!O24</f>
        <v>13060</v>
      </c>
      <c r="E33" s="2"/>
      <c r="F33" s="175">
        <f t="shared" si="6"/>
        <v>56594</v>
      </c>
      <c r="G33" s="160">
        <f>+'541 COA'!Q11</f>
        <v>45884</v>
      </c>
      <c r="H33" s="2">
        <f>+'541 COA'!Q24</f>
        <v>12709</v>
      </c>
      <c r="I33" s="2"/>
      <c r="J33" s="175">
        <f t="shared" si="7"/>
        <v>58593</v>
      </c>
      <c r="K33" s="160">
        <f t="shared" si="8"/>
        <v>2350</v>
      </c>
      <c r="L33" s="171">
        <f>ROUND((+K33/C33),4)</f>
        <v>5.3999999999999999E-2</v>
      </c>
      <c r="M33" s="160">
        <f t="shared" si="1"/>
        <v>-351</v>
      </c>
      <c r="N33" s="171">
        <f t="shared" si="10"/>
        <v>-2.69E-2</v>
      </c>
      <c r="O33" s="160">
        <f t="shared" si="9"/>
        <v>0</v>
      </c>
      <c r="P33" s="171"/>
      <c r="Q33" s="160">
        <f t="shared" si="4"/>
        <v>1999</v>
      </c>
      <c r="R33" s="171">
        <f t="shared" si="5"/>
        <v>3.5299999999999998E-2</v>
      </c>
    </row>
    <row r="34" spans="1:18" x14ac:dyDescent="0.2">
      <c r="A34" s="783">
        <v>543</v>
      </c>
      <c r="B34" t="s">
        <v>658</v>
      </c>
      <c r="C34" s="160"/>
      <c r="D34" s="2">
        <f>+'543 Vets'!O12</f>
        <v>76500</v>
      </c>
      <c r="E34" s="2"/>
      <c r="F34" s="175">
        <f t="shared" si="6"/>
        <v>76500</v>
      </c>
      <c r="G34" s="160"/>
      <c r="H34" s="2">
        <f>+'543 Vets'!Q12</f>
        <v>76500</v>
      </c>
      <c r="I34" s="2"/>
      <c r="J34" s="175">
        <f t="shared" si="7"/>
        <v>76500</v>
      </c>
      <c r="K34" s="160">
        <f t="shared" si="8"/>
        <v>0</v>
      </c>
      <c r="L34" s="171"/>
      <c r="M34" s="160">
        <f t="shared" si="1"/>
        <v>0</v>
      </c>
      <c r="N34" s="171">
        <f t="shared" si="10"/>
        <v>0</v>
      </c>
      <c r="O34" s="160">
        <f t="shared" si="9"/>
        <v>0</v>
      </c>
      <c r="P34" s="171"/>
      <c r="Q34" s="160">
        <f t="shared" si="4"/>
        <v>0</v>
      </c>
      <c r="R34" s="171">
        <f t="shared" si="5"/>
        <v>0</v>
      </c>
    </row>
    <row r="35" spans="1:18" x14ac:dyDescent="0.2">
      <c r="A35" s="783">
        <v>610</v>
      </c>
      <c r="B35" s="220" t="s">
        <v>661</v>
      </c>
      <c r="C35" s="160">
        <f>+'610 Library'!O16</f>
        <v>307641</v>
      </c>
      <c r="D35" s="2">
        <f>+'610 Library'!O41+'610 Library'!O44</f>
        <v>157966</v>
      </c>
      <c r="E35" s="2"/>
      <c r="F35" s="175">
        <f t="shared" si="6"/>
        <v>465607</v>
      </c>
      <c r="G35" s="160">
        <f>+'610 Library'!Q16</f>
        <v>339736</v>
      </c>
      <c r="H35" s="2">
        <f>+'610 Library'!Q41+'610 Library'!Q44</f>
        <v>163600</v>
      </c>
      <c r="I35" s="2"/>
      <c r="J35" s="175">
        <f t="shared" si="7"/>
        <v>503336</v>
      </c>
      <c r="K35" s="160">
        <f t="shared" si="8"/>
        <v>32095</v>
      </c>
      <c r="L35" s="171">
        <f>ROUND((+K35/C35),4)</f>
        <v>0.1043</v>
      </c>
      <c r="M35" s="160">
        <f t="shared" si="1"/>
        <v>5634</v>
      </c>
      <c r="N35" s="171">
        <f t="shared" si="10"/>
        <v>3.5700000000000003E-2</v>
      </c>
      <c r="O35" s="160">
        <f t="shared" si="9"/>
        <v>0</v>
      </c>
      <c r="P35" s="171"/>
      <c r="Q35" s="160">
        <f t="shared" si="4"/>
        <v>37729</v>
      </c>
      <c r="R35" s="171">
        <f t="shared" si="5"/>
        <v>8.1000000000000003E-2</v>
      </c>
    </row>
    <row r="36" spans="1:18" x14ac:dyDescent="0.2">
      <c r="A36" s="783">
        <v>630</v>
      </c>
      <c r="B36" t="s">
        <v>662</v>
      </c>
      <c r="C36" s="160">
        <f>+'630 Recreation'!O13</f>
        <v>136362</v>
      </c>
      <c r="D36" s="2">
        <f>+'630 Recreation'!O27</f>
        <v>16795</v>
      </c>
      <c r="E36" s="2"/>
      <c r="F36" s="175">
        <f t="shared" si="6"/>
        <v>153157</v>
      </c>
      <c r="G36" s="160">
        <f>+'630 Recreation'!Q13</f>
        <v>141003</v>
      </c>
      <c r="H36" s="2">
        <f>+'630 Recreation'!Q27</f>
        <v>19700</v>
      </c>
      <c r="I36" s="2"/>
      <c r="J36" s="175">
        <f t="shared" si="7"/>
        <v>160703</v>
      </c>
      <c r="K36" s="160">
        <f t="shared" si="8"/>
        <v>4641</v>
      </c>
      <c r="L36" s="171">
        <f>ROUND((+K36/C36),4)</f>
        <v>3.4000000000000002E-2</v>
      </c>
      <c r="M36" s="160">
        <f t="shared" si="1"/>
        <v>2905</v>
      </c>
      <c r="N36" s="171">
        <f t="shared" si="10"/>
        <v>0.17299999999999999</v>
      </c>
      <c r="O36" s="160">
        <f t="shared" si="9"/>
        <v>0</v>
      </c>
      <c r="P36" s="171"/>
      <c r="Q36" s="160">
        <f t="shared" si="4"/>
        <v>7546</v>
      </c>
      <c r="R36" s="171">
        <f t="shared" si="5"/>
        <v>4.9299999999999997E-2</v>
      </c>
    </row>
    <row r="37" spans="1:18" x14ac:dyDescent="0.2">
      <c r="A37" s="783">
        <v>691</v>
      </c>
      <c r="B37" t="s">
        <v>663</v>
      </c>
      <c r="C37" s="160"/>
      <c r="D37" s="2">
        <f>+'691 Historical Comm'!O15</f>
        <v>500</v>
      </c>
      <c r="E37" s="2"/>
      <c r="F37" s="175">
        <f t="shared" si="6"/>
        <v>500</v>
      </c>
      <c r="G37" s="160"/>
      <c r="H37" s="2">
        <f>+'691 Historical Comm'!Q15</f>
        <v>500</v>
      </c>
      <c r="I37" s="2"/>
      <c r="J37" s="175">
        <f t="shared" si="7"/>
        <v>500</v>
      </c>
      <c r="K37" s="160">
        <f t="shared" si="8"/>
        <v>0</v>
      </c>
      <c r="L37" s="171"/>
      <c r="M37" s="160">
        <f t="shared" si="1"/>
        <v>0</v>
      </c>
      <c r="N37" s="171">
        <f t="shared" si="10"/>
        <v>0</v>
      </c>
      <c r="O37" s="160">
        <f t="shared" si="9"/>
        <v>0</v>
      </c>
      <c r="P37" s="171"/>
      <c r="Q37" s="160">
        <f t="shared" si="4"/>
        <v>0</v>
      </c>
      <c r="R37" s="171">
        <f t="shared" si="5"/>
        <v>0</v>
      </c>
    </row>
    <row r="38" spans="1:18" x14ac:dyDescent="0.2">
      <c r="A38" s="783">
        <v>693</v>
      </c>
      <c r="B38" t="s">
        <v>664</v>
      </c>
      <c r="C38" s="160"/>
      <c r="D38" s="2">
        <f>+'693 Memorials'!O11</f>
        <v>1400</v>
      </c>
      <c r="E38" s="2"/>
      <c r="F38" s="175">
        <f t="shared" si="6"/>
        <v>1400</v>
      </c>
      <c r="G38" s="160"/>
      <c r="H38" s="2">
        <f>+'693 Memorials'!Q11</f>
        <v>1600</v>
      </c>
      <c r="I38" s="2"/>
      <c r="J38" s="175">
        <f t="shared" si="7"/>
        <v>1600</v>
      </c>
      <c r="K38" s="160">
        <f t="shared" si="8"/>
        <v>0</v>
      </c>
      <c r="L38" s="171"/>
      <c r="M38" s="160">
        <f t="shared" si="1"/>
        <v>200</v>
      </c>
      <c r="N38" s="171">
        <f>ROUND((+M38/D38),4)</f>
        <v>0.1429</v>
      </c>
      <c r="O38" s="160">
        <f t="shared" si="9"/>
        <v>0</v>
      </c>
      <c r="P38" s="171"/>
      <c r="Q38" s="160">
        <f t="shared" si="4"/>
        <v>200</v>
      </c>
      <c r="R38" s="171">
        <f t="shared" ref="R38:R43" si="16">ROUND((+Q38/F38),4)</f>
        <v>0.1429</v>
      </c>
    </row>
    <row r="39" spans="1:18" x14ac:dyDescent="0.2">
      <c r="A39" s="783">
        <v>700</v>
      </c>
      <c r="B39" t="s">
        <v>666</v>
      </c>
      <c r="C39" s="160"/>
      <c r="D39" s="2">
        <f>+'700 Debt '!O64</f>
        <v>1162190</v>
      </c>
      <c r="E39" s="2"/>
      <c r="F39" s="175">
        <f t="shared" si="6"/>
        <v>1162190</v>
      </c>
      <c r="G39" s="160"/>
      <c r="H39" s="2">
        <f>+'700 Debt '!Q64</f>
        <v>1154319</v>
      </c>
      <c r="I39" s="2"/>
      <c r="J39" s="175">
        <f t="shared" si="7"/>
        <v>1154319</v>
      </c>
      <c r="K39" s="160">
        <f t="shared" si="8"/>
        <v>0</v>
      </c>
      <c r="L39" s="171"/>
      <c r="M39" s="160">
        <f t="shared" si="1"/>
        <v>-7871</v>
      </c>
      <c r="N39" s="171">
        <f>ROUND((+M39/D39),4)</f>
        <v>-6.7999999999999996E-3</v>
      </c>
      <c r="O39" s="160">
        <f t="shared" si="9"/>
        <v>0</v>
      </c>
      <c r="P39" s="171"/>
      <c r="Q39" s="160">
        <f t="shared" si="4"/>
        <v>-7871</v>
      </c>
      <c r="R39" s="171">
        <f t="shared" si="16"/>
        <v>-6.7999999999999996E-3</v>
      </c>
    </row>
    <row r="40" spans="1:18" x14ac:dyDescent="0.2">
      <c r="A40" s="783">
        <v>840</v>
      </c>
      <c r="B40" t="s">
        <v>667</v>
      </c>
      <c r="C40" s="160"/>
      <c r="D40" s="2">
        <f>+'840 Intergovt'!O15</f>
        <v>110647</v>
      </c>
      <c r="E40" s="2"/>
      <c r="F40" s="175">
        <f t="shared" si="6"/>
        <v>110647</v>
      </c>
      <c r="G40" s="160"/>
      <c r="H40" s="2">
        <f>+'840 Intergovt'!Q15</f>
        <v>113924</v>
      </c>
      <c r="I40" s="2"/>
      <c r="J40" s="175">
        <f t="shared" si="7"/>
        <v>113924</v>
      </c>
      <c r="K40" s="160">
        <f t="shared" si="8"/>
        <v>0</v>
      </c>
      <c r="L40" s="171"/>
      <c r="M40" s="160">
        <f t="shared" si="1"/>
        <v>3277</v>
      </c>
      <c r="N40" s="171">
        <f>ROUND((+M40/D40),4)</f>
        <v>2.9600000000000001E-2</v>
      </c>
      <c r="O40" s="160">
        <f t="shared" si="9"/>
        <v>0</v>
      </c>
      <c r="P40" s="171"/>
      <c r="Q40" s="160">
        <f t="shared" si="4"/>
        <v>3277</v>
      </c>
      <c r="R40" s="171">
        <f t="shared" si="16"/>
        <v>2.9600000000000001E-2</v>
      </c>
    </row>
    <row r="41" spans="1:18" x14ac:dyDescent="0.2">
      <c r="A41" s="783">
        <v>910</v>
      </c>
      <c r="B41" t="s">
        <v>669</v>
      </c>
      <c r="C41" s="160"/>
      <c r="D41" s="2"/>
      <c r="E41" s="2">
        <f>+'910 Benefits'!O20</f>
        <v>2391280</v>
      </c>
      <c r="F41" s="175">
        <f t="shared" si="6"/>
        <v>2391280</v>
      </c>
      <c r="G41" s="160"/>
      <c r="H41" s="2"/>
      <c r="I41" s="2">
        <f>+'910 Benefits'!Q20</f>
        <v>2490334</v>
      </c>
      <c r="J41" s="175">
        <f t="shared" si="7"/>
        <v>2490334</v>
      </c>
      <c r="K41" s="160">
        <f t="shared" si="8"/>
        <v>0</v>
      </c>
      <c r="L41" s="171"/>
      <c r="M41" s="160">
        <f t="shared" si="1"/>
        <v>0</v>
      </c>
      <c r="N41" s="171"/>
      <c r="O41" s="160">
        <f t="shared" si="9"/>
        <v>99054</v>
      </c>
      <c r="P41" s="171">
        <f>ROUND((+O41/E41),4)</f>
        <v>4.1399999999999999E-2</v>
      </c>
      <c r="Q41" s="160">
        <f t="shared" si="4"/>
        <v>99054</v>
      </c>
      <c r="R41" s="171">
        <f t="shared" si="16"/>
        <v>4.1399999999999999E-2</v>
      </c>
    </row>
    <row r="42" spans="1:18" x14ac:dyDescent="0.2">
      <c r="A42" s="783">
        <v>946</v>
      </c>
      <c r="B42" t="s">
        <v>670</v>
      </c>
      <c r="C42" s="163"/>
      <c r="D42" s="53">
        <f>+'946 Insurance'!O21</f>
        <v>119600</v>
      </c>
      <c r="E42" s="53"/>
      <c r="F42" s="176">
        <f t="shared" si="6"/>
        <v>119600</v>
      </c>
      <c r="G42" s="163"/>
      <c r="H42" s="53">
        <f>+'946 Insurance'!Q21</f>
        <v>120600</v>
      </c>
      <c r="I42" s="53"/>
      <c r="J42" s="176">
        <f t="shared" si="7"/>
        <v>120600</v>
      </c>
      <c r="K42" s="163">
        <f t="shared" si="8"/>
        <v>0</v>
      </c>
      <c r="L42" s="172"/>
      <c r="M42" s="163">
        <f t="shared" si="1"/>
        <v>1000</v>
      </c>
      <c r="N42" s="172">
        <f>ROUND((+M42/D42),4)</f>
        <v>8.3999999999999995E-3</v>
      </c>
      <c r="O42" s="163">
        <f t="shared" si="9"/>
        <v>0</v>
      </c>
      <c r="P42" s="172"/>
      <c r="Q42" s="163">
        <f t="shared" si="4"/>
        <v>1000</v>
      </c>
      <c r="R42" s="172">
        <f t="shared" si="16"/>
        <v>8.3999999999999995E-3</v>
      </c>
    </row>
    <row r="43" spans="1:18" x14ac:dyDescent="0.2">
      <c r="B43" t="s">
        <v>672</v>
      </c>
      <c r="C43" s="163">
        <f>SUM(C4:C42)</f>
        <v>4862437</v>
      </c>
      <c r="D43" s="53">
        <f t="shared" ref="D43:M43" si="17">SUM(D4:D42)</f>
        <v>4054309</v>
      </c>
      <c r="E43" s="53">
        <f t="shared" si="17"/>
        <v>2391280</v>
      </c>
      <c r="F43" s="176">
        <f t="shared" si="17"/>
        <v>11308026</v>
      </c>
      <c r="G43" s="163">
        <f t="shared" si="17"/>
        <v>5232248.1890000002</v>
      </c>
      <c r="H43" s="53">
        <f t="shared" si="17"/>
        <v>4239014</v>
      </c>
      <c r="I43" s="53">
        <f t="shared" si="17"/>
        <v>2490334</v>
      </c>
      <c r="J43" s="176">
        <f t="shared" si="17"/>
        <v>11961596.188999999</v>
      </c>
      <c r="K43" s="163">
        <f t="shared" si="17"/>
        <v>365811.18899999995</v>
      </c>
      <c r="L43" s="172">
        <f>ROUND((+K43/C43),4)</f>
        <v>7.5200000000000003E-2</v>
      </c>
      <c r="M43" s="163">
        <f t="shared" si="17"/>
        <v>184705</v>
      </c>
      <c r="N43" s="172">
        <f>ROUND((+M43/D43),4)</f>
        <v>4.5600000000000002E-2</v>
      </c>
      <c r="O43" s="163">
        <f>SUM(O4:O42)</f>
        <v>99054</v>
      </c>
      <c r="P43" s="172">
        <f>ROUND((+O43/E43),4)</f>
        <v>4.1399999999999999E-2</v>
      </c>
      <c r="Q43" s="168">
        <f t="shared" si="4"/>
        <v>653570.18899999931</v>
      </c>
      <c r="R43" s="173">
        <f t="shared" si="16"/>
        <v>5.7799999999999997E-2</v>
      </c>
    </row>
    <row r="44" spans="1:18" x14ac:dyDescent="0.2">
      <c r="C44" s="2"/>
      <c r="D44" s="2"/>
      <c r="E44" s="2"/>
      <c r="F44" s="2"/>
      <c r="G44" s="2"/>
      <c r="H44" s="2"/>
      <c r="I44" s="2"/>
      <c r="J44" s="2"/>
      <c r="K44" s="2"/>
      <c r="O44" s="2"/>
    </row>
    <row r="45" spans="1:18" x14ac:dyDescent="0.2">
      <c r="A45" s="783">
        <v>482</v>
      </c>
      <c r="B45" t="s">
        <v>678</v>
      </c>
      <c r="C45" s="167">
        <f>+'600 482 Airport'!O16</f>
        <v>100874</v>
      </c>
      <c r="D45" s="51">
        <f>+'600 482 Airport'!O47</f>
        <v>80920</v>
      </c>
      <c r="E45" s="51"/>
      <c r="F45" s="51">
        <f>+E45+D45+C45</f>
        <v>181794</v>
      </c>
      <c r="G45" s="167">
        <f>+'600 482 Airport'!Q16</f>
        <v>138076</v>
      </c>
      <c r="H45" s="51">
        <f>+'600 482 Airport'!Q47</f>
        <v>136839</v>
      </c>
      <c r="I45" s="51"/>
      <c r="J45" s="51">
        <f>+I45+H45+G45</f>
        <v>274915</v>
      </c>
      <c r="K45" s="167">
        <f>+G45-C45</f>
        <v>37202</v>
      </c>
      <c r="L45" s="170">
        <f>ROUND((+K45/C45),4)</f>
        <v>0.36880000000000002</v>
      </c>
      <c r="M45" s="51">
        <f>+H45-D45</f>
        <v>55919</v>
      </c>
      <c r="N45" s="936">
        <f>ROUND((+M45/D45),4)</f>
        <v>0.69099999999999995</v>
      </c>
      <c r="O45" s="167">
        <f>+I45-E45</f>
        <v>0</v>
      </c>
      <c r="P45" s="170"/>
      <c r="Q45" s="51">
        <f>+J45-F45</f>
        <v>93121</v>
      </c>
      <c r="R45" s="170">
        <f>ROUND((+Q45/F45),4)</f>
        <v>0.51219999999999999</v>
      </c>
    </row>
    <row r="46" spans="1:18" x14ac:dyDescent="0.2">
      <c r="A46" s="783">
        <v>700</v>
      </c>
      <c r="B46" s="220" t="s">
        <v>679</v>
      </c>
      <c r="C46" s="160"/>
      <c r="D46" s="2">
        <f>+'600-700 Airport Debt'!O21</f>
        <v>101120</v>
      </c>
      <c r="E46" s="2"/>
      <c r="F46" s="939">
        <f t="shared" ref="F46:F47" si="18">+E46+D46+C46</f>
        <v>101120</v>
      </c>
      <c r="G46" s="160"/>
      <c r="H46" s="2">
        <f>+'600-700 Airport Debt'!Q21</f>
        <v>101535</v>
      </c>
      <c r="I46" s="2"/>
      <c r="J46" s="939">
        <f t="shared" ref="J46:J47" si="19">+I46+H46+G46</f>
        <v>101535</v>
      </c>
      <c r="K46" s="160">
        <f t="shared" ref="K46:K47" si="20">+G46-C46</f>
        <v>0</v>
      </c>
      <c r="L46" s="171"/>
      <c r="M46" s="160">
        <f t="shared" ref="M46" si="21">+H46-D46</f>
        <v>415</v>
      </c>
      <c r="N46" s="124">
        <f t="shared" ref="N46" si="22">ROUND((+M46/D46),4)</f>
        <v>4.1000000000000003E-3</v>
      </c>
      <c r="O46" s="160">
        <f t="shared" ref="O46:O47" si="23">+I46-E46</f>
        <v>0</v>
      </c>
      <c r="P46" s="171"/>
      <c r="Q46" s="2">
        <f t="shared" ref="Q46:Q47" si="24">+J46-F46</f>
        <v>415</v>
      </c>
      <c r="R46" s="171">
        <f t="shared" ref="R46:R47" si="25">ROUND((+Q46/F46),4)</f>
        <v>4.1000000000000003E-3</v>
      </c>
    </row>
    <row r="47" spans="1:18" x14ac:dyDescent="0.2">
      <c r="A47" s="783">
        <v>910</v>
      </c>
      <c r="B47" s="220" t="s">
        <v>680</v>
      </c>
      <c r="C47" s="163"/>
      <c r="D47" s="53"/>
      <c r="E47" s="53">
        <f>+'600-900 Airport Benefits'!O18</f>
        <v>33101</v>
      </c>
      <c r="F47" s="2">
        <f t="shared" si="18"/>
        <v>33101</v>
      </c>
      <c r="G47" s="163"/>
      <c r="H47" s="53"/>
      <c r="I47" s="53">
        <f>+'600-900 Airport Benefits'!Q18</f>
        <v>40515</v>
      </c>
      <c r="J47" s="2">
        <f t="shared" si="19"/>
        <v>40515</v>
      </c>
      <c r="K47" s="160">
        <f t="shared" si="20"/>
        <v>0</v>
      </c>
      <c r="L47" s="171"/>
      <c r="M47" s="163"/>
      <c r="N47" s="937"/>
      <c r="O47" s="163">
        <f t="shared" si="23"/>
        <v>7414</v>
      </c>
      <c r="P47" s="172">
        <f>ROUND((+O47/E47),4)</f>
        <v>0.224</v>
      </c>
      <c r="Q47" s="53">
        <f t="shared" si="24"/>
        <v>7414</v>
      </c>
      <c r="R47" s="172">
        <f t="shared" si="25"/>
        <v>0.224</v>
      </c>
    </row>
    <row r="48" spans="1:18" x14ac:dyDescent="0.2">
      <c r="B48" s="220" t="s">
        <v>681</v>
      </c>
      <c r="C48" s="168">
        <f>SUM(C45:C47)</f>
        <v>100874</v>
      </c>
      <c r="D48" s="169">
        <f t="shared" ref="D48:R48" si="26">SUM(D45:D47)</f>
        <v>182040</v>
      </c>
      <c r="E48" s="169">
        <f t="shared" si="26"/>
        <v>33101</v>
      </c>
      <c r="F48" s="938">
        <f t="shared" si="26"/>
        <v>316015</v>
      </c>
      <c r="G48" s="168">
        <f t="shared" si="26"/>
        <v>138076</v>
      </c>
      <c r="H48" s="169">
        <f t="shared" si="26"/>
        <v>238374</v>
      </c>
      <c r="I48" s="169">
        <f t="shared" si="26"/>
        <v>40515</v>
      </c>
      <c r="J48" s="938">
        <f t="shared" si="26"/>
        <v>416965</v>
      </c>
      <c r="K48" s="168">
        <f t="shared" si="26"/>
        <v>37202</v>
      </c>
      <c r="L48" s="938">
        <f t="shared" si="26"/>
        <v>0.36880000000000002</v>
      </c>
      <c r="M48" s="163">
        <f t="shared" si="26"/>
        <v>56334</v>
      </c>
      <c r="N48" s="940">
        <f t="shared" si="26"/>
        <v>0.69509999999999994</v>
      </c>
      <c r="O48" s="163">
        <f t="shared" si="26"/>
        <v>7414</v>
      </c>
      <c r="P48" s="941">
        <f t="shared" si="26"/>
        <v>0.224</v>
      </c>
      <c r="Q48" s="163">
        <f t="shared" si="26"/>
        <v>100950</v>
      </c>
      <c r="R48" s="941">
        <f t="shared" si="26"/>
        <v>0.74029999999999996</v>
      </c>
    </row>
    <row r="49" spans="1:18" x14ac:dyDescent="0.2">
      <c r="C49" s="2"/>
      <c r="D49" s="2"/>
      <c r="E49" s="2"/>
      <c r="F49" s="2"/>
      <c r="G49" s="2"/>
      <c r="H49" s="2"/>
      <c r="I49" s="2"/>
      <c r="J49" s="2"/>
      <c r="K49" s="2"/>
      <c r="O49" s="2"/>
    </row>
    <row r="50" spans="1:18" x14ac:dyDescent="0.2">
      <c r="A50" s="783">
        <v>440</v>
      </c>
      <c r="B50" s="220" t="s">
        <v>673</v>
      </c>
      <c r="C50" s="167">
        <f>+'661 440 CWF'!O14</f>
        <v>545768</v>
      </c>
      <c r="D50" s="51">
        <f>+'661 440 CWF'!O59++'661 440 CWF'!O61</f>
        <v>1416662</v>
      </c>
      <c r="E50" s="51"/>
      <c r="F50" s="174">
        <f>+E50+D50+C50</f>
        <v>1962430</v>
      </c>
      <c r="G50" s="167">
        <f>+'661 440 CWF'!Q14</f>
        <v>567085</v>
      </c>
      <c r="H50" s="51">
        <f>+'661 440 CWF'!Q59+'661 440 CWF'!Q61</f>
        <v>1507144</v>
      </c>
      <c r="I50" s="51"/>
      <c r="J50" s="174">
        <f>+I50+H50+G50</f>
        <v>2074229</v>
      </c>
      <c r="K50" s="167">
        <f>+G50-C50</f>
        <v>21317</v>
      </c>
      <c r="L50" s="170">
        <f>ROUND((+K50/C50),4)</f>
        <v>3.9100000000000003E-2</v>
      </c>
      <c r="M50" s="167">
        <f>+H50-D50</f>
        <v>90482</v>
      </c>
      <c r="N50" s="170">
        <f>ROUND((+M50/D50),4)</f>
        <v>6.3899999999999998E-2</v>
      </c>
      <c r="O50" s="167">
        <f>+I50-E50</f>
        <v>0</v>
      </c>
      <c r="P50" s="170"/>
      <c r="Q50" s="167">
        <f>+J50-F50</f>
        <v>111799</v>
      </c>
      <c r="R50" s="170">
        <f>ROUND((+Q50/F50),4)</f>
        <v>5.7000000000000002E-2</v>
      </c>
    </row>
    <row r="51" spans="1:18" x14ac:dyDescent="0.2">
      <c r="A51" s="783">
        <v>449</v>
      </c>
      <c r="B51" t="s">
        <v>2099</v>
      </c>
      <c r="C51" s="160">
        <f>+'661 449 Hwy'!O12</f>
        <v>24800</v>
      </c>
      <c r="D51" s="2">
        <f>+'661 449 Hwy'!O23+'661 449 Hwy'!O26</f>
        <v>26000</v>
      </c>
      <c r="E51" s="2"/>
      <c r="F51" s="175">
        <f>+E51+D51+C51</f>
        <v>50800</v>
      </c>
      <c r="G51" s="160">
        <f>+'661 449 Hwy'!Q12</f>
        <v>32800</v>
      </c>
      <c r="H51" s="2">
        <f>+'661 449 Hwy'!Q23+'661 449 Hwy'!Q25</f>
        <v>51850</v>
      </c>
      <c r="I51" s="2"/>
      <c r="J51" s="175">
        <f>+I51+H51+G51</f>
        <v>84650</v>
      </c>
      <c r="K51" s="160">
        <f>+G51-C51</f>
        <v>8000</v>
      </c>
      <c r="L51" s="171">
        <f>ROUND((+K51/C51),4)</f>
        <v>0.3226</v>
      </c>
      <c r="M51" s="160">
        <f>+H51-D51</f>
        <v>25850</v>
      </c>
      <c r="N51" s="171">
        <f>ROUND((+M51/D51),4)</f>
        <v>0.99419999999999997</v>
      </c>
      <c r="O51" s="160">
        <f>+I51-E51</f>
        <v>0</v>
      </c>
      <c r="P51" s="171"/>
      <c r="Q51" s="160">
        <f>+J51-F51</f>
        <v>33850</v>
      </c>
      <c r="R51" s="171">
        <f>ROUND((+Q51/F51),4)</f>
        <v>0.6663</v>
      </c>
    </row>
    <row r="52" spans="1:18" x14ac:dyDescent="0.2">
      <c r="A52" s="783">
        <v>700</v>
      </c>
      <c r="B52" t="s">
        <v>675</v>
      </c>
      <c r="C52" s="160"/>
      <c r="D52" s="2">
        <f>+'661 700 CWF Debt'!O61</f>
        <v>505270</v>
      </c>
      <c r="E52" s="2"/>
      <c r="F52" s="175">
        <f>+E52+D52+C52</f>
        <v>505270</v>
      </c>
      <c r="G52" s="160"/>
      <c r="H52" s="2">
        <f>+'661 700 CWF Debt'!Q61</f>
        <v>483614.05</v>
      </c>
      <c r="I52" s="2"/>
      <c r="J52" s="175">
        <f>+I52+H52+G52</f>
        <v>483614.05</v>
      </c>
      <c r="K52" s="160">
        <f>+G52-C52</f>
        <v>0</v>
      </c>
      <c r="L52" s="171"/>
      <c r="M52" s="160">
        <f>+H52-D52</f>
        <v>-21655.950000000012</v>
      </c>
      <c r="N52" s="171">
        <f>ROUND((+M52/D52),4)</f>
        <v>-4.2900000000000001E-2</v>
      </c>
      <c r="O52" s="160">
        <f>+I52-E52</f>
        <v>0</v>
      </c>
      <c r="P52" s="171"/>
      <c r="Q52" s="160">
        <f>+J52-F52</f>
        <v>-21655.950000000012</v>
      </c>
      <c r="R52" s="171">
        <f>ROUND((+Q52/F52),4)</f>
        <v>-4.2900000000000001E-2</v>
      </c>
    </row>
    <row r="53" spans="1:18" x14ac:dyDescent="0.2">
      <c r="A53" s="783">
        <v>910</v>
      </c>
      <c r="B53" t="s">
        <v>676</v>
      </c>
      <c r="C53" s="163"/>
      <c r="D53" s="53"/>
      <c r="E53" s="53">
        <f>+'661 910 CWF Benefits'!I18</f>
        <v>234658.48</v>
      </c>
      <c r="F53" s="176">
        <f>+E53+D53+C53</f>
        <v>234658.48</v>
      </c>
      <c r="G53" s="163"/>
      <c r="H53" s="53"/>
      <c r="I53" s="53">
        <f>+'661 910 CWF Benefits'!Q18</f>
        <v>363631</v>
      </c>
      <c r="J53" s="176">
        <f>+I53+H53+G53</f>
        <v>363631</v>
      </c>
      <c r="K53" s="163">
        <f>+G53-C53</f>
        <v>0</v>
      </c>
      <c r="L53" s="172"/>
      <c r="M53" s="163">
        <f>+H53-D53</f>
        <v>0</v>
      </c>
      <c r="N53" s="172"/>
      <c r="O53" s="163">
        <f>+I53-E53</f>
        <v>128972.51999999999</v>
      </c>
      <c r="P53" s="172">
        <f>ROUND((+O53/E53),4)</f>
        <v>0.54959999999999998</v>
      </c>
      <c r="Q53" s="163">
        <f>+J53-F53</f>
        <v>128972.51999999999</v>
      </c>
      <c r="R53" s="172">
        <f>ROUND((+Q53/F53),4)</f>
        <v>0.54959999999999998</v>
      </c>
    </row>
    <row r="54" spans="1:18" x14ac:dyDescent="0.2">
      <c r="B54" t="s">
        <v>677</v>
      </c>
      <c r="C54" s="163">
        <f t="shared" ref="C54:K54" si="27">SUM(C50:C53)</f>
        <v>570568</v>
      </c>
      <c r="D54" s="53">
        <f t="shared" si="27"/>
        <v>1947932</v>
      </c>
      <c r="E54" s="53">
        <f t="shared" si="27"/>
        <v>234658.48</v>
      </c>
      <c r="F54" s="176">
        <f t="shared" si="27"/>
        <v>2753158.48</v>
      </c>
      <c r="G54" s="163">
        <f t="shared" si="27"/>
        <v>599885</v>
      </c>
      <c r="H54" s="53">
        <f t="shared" si="27"/>
        <v>2042608.05</v>
      </c>
      <c r="I54" s="53">
        <f t="shared" si="27"/>
        <v>363631</v>
      </c>
      <c r="J54" s="176">
        <f t="shared" si="27"/>
        <v>3006124.05</v>
      </c>
      <c r="K54" s="163">
        <f t="shared" si="27"/>
        <v>29317</v>
      </c>
      <c r="L54" s="172">
        <f>ROUND((+K54/C54),4)</f>
        <v>5.1400000000000001E-2</v>
      </c>
      <c r="M54" s="163">
        <f>SUM(M50:M53)</f>
        <v>94676.049999999988</v>
      </c>
      <c r="N54" s="172">
        <f>ROUND((+M54/D54),4)</f>
        <v>4.8599999999999997E-2</v>
      </c>
      <c r="O54" s="163">
        <f>SUM(O50:O53)</f>
        <v>128972.51999999999</v>
      </c>
      <c r="P54" s="172">
        <f>ROUND((+O54/E54),4)</f>
        <v>0.54959999999999998</v>
      </c>
      <c r="Q54" s="163">
        <f>+J54-F54</f>
        <v>252965.56999999983</v>
      </c>
      <c r="R54" s="172">
        <f>ROUND((+Q54/F54),4)</f>
        <v>9.1899999999999996E-2</v>
      </c>
    </row>
    <row r="55" spans="1:18" x14ac:dyDescent="0.2">
      <c r="C55" s="2"/>
      <c r="D55" s="2"/>
      <c r="E55" s="2"/>
      <c r="F55" s="2"/>
      <c r="G55" s="2"/>
      <c r="H55" s="2"/>
      <c r="I55" s="2"/>
      <c r="J55" s="2"/>
      <c r="K55" s="2"/>
      <c r="O55" s="2"/>
    </row>
    <row r="56" spans="1:18" x14ac:dyDescent="0.2">
      <c r="B56" t="s">
        <v>2100</v>
      </c>
      <c r="C56" s="168">
        <f t="shared" ref="C56:K56" si="28">+C45+C54+C43</f>
        <v>5533879</v>
      </c>
      <c r="D56" s="169">
        <f t="shared" si="28"/>
        <v>6083161</v>
      </c>
      <c r="E56" s="169">
        <f t="shared" si="28"/>
        <v>2625938.48</v>
      </c>
      <c r="F56" s="177">
        <f t="shared" si="28"/>
        <v>14242978.48</v>
      </c>
      <c r="G56" s="168">
        <f t="shared" si="28"/>
        <v>5970209.1890000002</v>
      </c>
      <c r="H56" s="169">
        <f t="shared" si="28"/>
        <v>6418461.0499999998</v>
      </c>
      <c r="I56" s="169">
        <f t="shared" si="28"/>
        <v>2853965</v>
      </c>
      <c r="J56" s="177">
        <f t="shared" si="28"/>
        <v>15242635.239</v>
      </c>
      <c r="K56" s="168">
        <f t="shared" si="28"/>
        <v>432330.18899999995</v>
      </c>
      <c r="L56" s="173">
        <f>ROUND((+K56/C56),4)</f>
        <v>7.8100000000000003E-2</v>
      </c>
      <c r="M56" s="168">
        <f>+M45+M54+M43</f>
        <v>335300.05</v>
      </c>
      <c r="N56" s="173">
        <f>ROUND((+M56/D56),4)</f>
        <v>5.5100000000000003E-2</v>
      </c>
      <c r="O56" s="168">
        <f>+O45+O54+O43</f>
        <v>228026.52</v>
      </c>
      <c r="P56" s="173">
        <f>ROUND((+O56/E56),4)</f>
        <v>8.6800000000000002E-2</v>
      </c>
      <c r="Q56" s="168">
        <f>+J56-F56</f>
        <v>999656.75899999961</v>
      </c>
      <c r="R56" s="173">
        <f>ROUND((+Q56/F56),4)</f>
        <v>7.0199999999999999E-2</v>
      </c>
    </row>
    <row r="57" spans="1:18" x14ac:dyDescent="0.2">
      <c r="C57" s="2"/>
      <c r="D57" s="2"/>
      <c r="E57" s="2"/>
      <c r="F57" s="2"/>
      <c r="G57" s="2"/>
      <c r="H57" s="2"/>
      <c r="I57" s="2"/>
      <c r="J57" s="2"/>
      <c r="K57" s="2"/>
    </row>
    <row r="58" spans="1:18" x14ac:dyDescent="0.2">
      <c r="C58" s="2"/>
      <c r="D58" s="2"/>
      <c r="E58" s="2"/>
      <c r="F58" s="2"/>
      <c r="G58" s="2"/>
      <c r="H58" s="2"/>
      <c r="I58" s="2"/>
      <c r="J58" s="2"/>
      <c r="K58" s="2"/>
    </row>
    <row r="59" spans="1:18" x14ac:dyDescent="0.2">
      <c r="C59" s="2"/>
      <c r="D59" s="2"/>
      <c r="E59" s="2"/>
      <c r="F59" s="2"/>
      <c r="G59" s="2"/>
      <c r="H59" s="2"/>
      <c r="I59" s="2"/>
      <c r="J59" s="2"/>
      <c r="K59" s="2"/>
    </row>
    <row r="60" spans="1:18" x14ac:dyDescent="0.2">
      <c r="C60" s="2"/>
      <c r="D60" s="2"/>
      <c r="E60" s="2"/>
      <c r="F60" s="2"/>
      <c r="G60" s="2"/>
      <c r="H60" s="2"/>
      <c r="I60" s="2"/>
      <c r="J60" s="2"/>
      <c r="K60" s="2"/>
    </row>
    <row r="61" spans="1:18" x14ac:dyDescent="0.2">
      <c r="C61" s="2"/>
      <c r="D61" s="2"/>
      <c r="E61" s="2"/>
      <c r="F61" s="2"/>
      <c r="G61" s="2"/>
      <c r="H61" s="2"/>
      <c r="I61" s="2"/>
      <c r="J61" s="2"/>
      <c r="K61" s="2"/>
    </row>
    <row r="62" spans="1:18" x14ac:dyDescent="0.2">
      <c r="C62" s="2"/>
      <c r="D62" s="2"/>
      <c r="E62" s="2"/>
      <c r="F62" s="2"/>
      <c r="G62" s="2"/>
      <c r="H62" s="2"/>
      <c r="I62" s="2"/>
      <c r="J62" s="2"/>
      <c r="K62" s="2"/>
    </row>
    <row r="63" spans="1:18" x14ac:dyDescent="0.2">
      <c r="C63" s="2"/>
      <c r="D63" s="2"/>
      <c r="E63" s="2"/>
      <c r="F63" s="2"/>
      <c r="G63" s="2"/>
      <c r="H63" s="2"/>
      <c r="I63" s="2"/>
      <c r="J63" s="2"/>
      <c r="K63" s="2"/>
    </row>
    <row r="64" spans="1:18" x14ac:dyDescent="0.2">
      <c r="C64" s="2"/>
      <c r="D64" s="2"/>
      <c r="E64" s="2"/>
      <c r="F64" s="2"/>
      <c r="G64" s="2"/>
      <c r="H64" s="2"/>
      <c r="I64" s="2"/>
      <c r="J64" s="2"/>
      <c r="K64" s="2"/>
    </row>
    <row r="65" spans="3:11" x14ac:dyDescent="0.2">
      <c r="C65" s="2"/>
      <c r="D65" s="2"/>
      <c r="E65" s="2"/>
      <c r="F65" s="2"/>
      <c r="G65" s="2"/>
      <c r="H65" s="2"/>
      <c r="I65" s="2"/>
      <c r="J65" s="2"/>
      <c r="K65" s="2"/>
    </row>
    <row r="66" spans="3:11" x14ac:dyDescent="0.2">
      <c r="C66" s="2"/>
      <c r="D66" s="2"/>
      <c r="E66" s="2"/>
      <c r="F66" s="2"/>
      <c r="G66" s="2"/>
      <c r="H66" s="2"/>
      <c r="I66" s="2"/>
      <c r="J66" s="2"/>
      <c r="K66" s="2"/>
    </row>
    <row r="67" spans="3:11" x14ac:dyDescent="0.2">
      <c r="C67" s="2"/>
      <c r="D67" s="2"/>
      <c r="E67" s="2"/>
      <c r="F67" s="2"/>
      <c r="G67" s="2"/>
      <c r="H67" s="2"/>
      <c r="I67" s="2"/>
      <c r="J67" s="2"/>
      <c r="K67" s="2"/>
    </row>
  </sheetData>
  <mergeCells count="5">
    <mergeCell ref="O2:P2"/>
    <mergeCell ref="G2:J2"/>
    <mergeCell ref="C2:F2"/>
    <mergeCell ref="K2:L2"/>
    <mergeCell ref="M2:N2"/>
  </mergeCells>
  <phoneticPr fontId="0" type="noConversion"/>
  <pageMargins left="0.75" right="0.75" top="1" bottom="1" header="0.5" footer="0.5"/>
  <pageSetup scale="64" orientation="landscape" r:id="rId1"/>
  <headerFooter alignWithMargins="0">
    <oddFooter>&amp;L&amp;D  &amp;T&amp;C&amp;F&amp;R&amp;A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000"/>
    <pageSetUpPr fitToPage="1"/>
  </sheetPr>
  <dimension ref="A1:H35"/>
  <sheetViews>
    <sheetView topLeftCell="A20" workbookViewId="0">
      <selection activeCell="E32" sqref="A4:E32"/>
    </sheetView>
  </sheetViews>
  <sheetFormatPr defaultRowHeight="15" x14ac:dyDescent="0.2"/>
  <cols>
    <col min="1" max="1" width="28.5" customWidth="1"/>
    <col min="2" max="3" width="16.6640625" bestFit="1" customWidth="1"/>
    <col min="4" max="4" width="15.1640625" bestFit="1" customWidth="1"/>
    <col min="5" max="5" width="10.5" style="863" customWidth="1"/>
    <col min="6" max="6" width="10.83203125" customWidth="1"/>
    <col min="8" max="8" width="10.1640625" bestFit="1" customWidth="1"/>
  </cols>
  <sheetData>
    <row r="1" spans="1:7" x14ac:dyDescent="0.2">
      <c r="A1" s="220"/>
    </row>
    <row r="2" spans="1:7" ht="22.5" x14ac:dyDescent="0.3">
      <c r="A2" s="865" t="s">
        <v>2101</v>
      </c>
    </row>
    <row r="4" spans="1:7" ht="15.75" x14ac:dyDescent="0.25">
      <c r="A4" s="503"/>
      <c r="B4" s="540" t="s">
        <v>2102</v>
      </c>
      <c r="C4" s="540"/>
      <c r="D4" s="540"/>
      <c r="E4" s="864" t="s">
        <v>1993</v>
      </c>
    </row>
    <row r="5" spans="1:7" ht="15.75" x14ac:dyDescent="0.25">
      <c r="A5" s="509" t="s">
        <v>2103</v>
      </c>
      <c r="B5" s="566" t="s">
        <v>275</v>
      </c>
      <c r="C5" s="566" t="s">
        <v>276</v>
      </c>
      <c r="D5" s="566" t="s">
        <v>277</v>
      </c>
    </row>
    <row r="6" spans="1:7" x14ac:dyDescent="0.2">
      <c r="A6" s="503" t="s">
        <v>2104</v>
      </c>
      <c r="B6" s="541">
        <v>19598503</v>
      </c>
      <c r="C6" s="541">
        <v>20170659</v>
      </c>
      <c r="D6" s="541">
        <f>+'Working Budget with funding det'!R6</f>
        <v>21570869</v>
      </c>
      <c r="E6" s="863">
        <f>ROUND(((+D6-C6)/C6),4)</f>
        <v>6.9400000000000003E-2</v>
      </c>
    </row>
    <row r="7" spans="1:7" x14ac:dyDescent="0.2">
      <c r="A7" s="503" t="s">
        <v>2105</v>
      </c>
      <c r="B7" s="541">
        <v>1795836</v>
      </c>
      <c r="C7" s="541">
        <v>1795344</v>
      </c>
      <c r="D7" s="541">
        <f>+'Working Budget with funding det'!R7</f>
        <v>1914986</v>
      </c>
      <c r="E7" s="863">
        <f t="shared" ref="E7:E15" si="0">ROUND(((+D7-C7)/C7),4)</f>
        <v>6.6600000000000006E-2</v>
      </c>
    </row>
    <row r="8" spans="1:7" x14ac:dyDescent="0.2">
      <c r="A8" s="503" t="s">
        <v>438</v>
      </c>
      <c r="B8" s="541">
        <v>1718900</v>
      </c>
      <c r="C8" s="541">
        <v>1614837</v>
      </c>
      <c r="D8" s="541">
        <f>+'Working Budget with funding det'!R8</f>
        <v>2027000</v>
      </c>
      <c r="E8" s="863">
        <f t="shared" si="0"/>
        <v>0.25519999999999998</v>
      </c>
    </row>
    <row r="9" spans="1:7" x14ac:dyDescent="0.2">
      <c r="A9" s="503" t="s">
        <v>2106</v>
      </c>
      <c r="B9" s="541">
        <v>16307</v>
      </c>
      <c r="C9" s="541">
        <v>633883</v>
      </c>
      <c r="D9" s="541">
        <f>SUM('Working Budget with funding det'!R11:R22)+'Working Budget with funding det'!R26-'Working Budget with funding det'!R16-'Working Budget with funding det'!R15</f>
        <v>964518</v>
      </c>
      <c r="G9" t="s">
        <v>2107</v>
      </c>
    </row>
    <row r="10" spans="1:7" x14ac:dyDescent="0.2">
      <c r="A10" s="503" t="s">
        <v>2108</v>
      </c>
      <c r="B10" s="541">
        <v>79750</v>
      </c>
      <c r="C10" s="541">
        <v>78950</v>
      </c>
      <c r="D10" s="541">
        <f>+'Working Budget with funding det'!R15</f>
        <v>53250</v>
      </c>
      <c r="E10" s="863">
        <f t="shared" si="0"/>
        <v>-0.32550000000000001</v>
      </c>
    </row>
    <row r="11" spans="1:7" x14ac:dyDescent="0.2">
      <c r="A11" s="503" t="s">
        <v>410</v>
      </c>
      <c r="B11" s="541">
        <v>471792</v>
      </c>
      <c r="C11" s="541">
        <v>283200</v>
      </c>
      <c r="D11" s="541">
        <f>+'Working Budget with funding det'!R16+'Working Budget with funding det'!R9</f>
        <v>300000</v>
      </c>
      <c r="E11" s="863">
        <f t="shared" si="0"/>
        <v>5.9299999999999999E-2</v>
      </c>
    </row>
    <row r="12" spans="1:7" x14ac:dyDescent="0.2">
      <c r="A12" s="503" t="s">
        <v>415</v>
      </c>
      <c r="B12" s="541">
        <v>0</v>
      </c>
      <c r="C12" s="541">
        <v>0</v>
      </c>
      <c r="D12" s="541">
        <f>+'Working Budget with funding det'!R25</f>
        <v>0</v>
      </c>
    </row>
    <row r="13" spans="1:7" x14ac:dyDescent="0.2">
      <c r="A13" s="503" t="s">
        <v>2109</v>
      </c>
      <c r="B13" s="541">
        <v>59089</v>
      </c>
      <c r="C13" s="541">
        <v>206164</v>
      </c>
      <c r="D13" s="541">
        <f>+'Working Budget with funding det'!R28</f>
        <v>426965</v>
      </c>
      <c r="E13" s="863">
        <f t="shared" si="0"/>
        <v>1.071</v>
      </c>
    </row>
    <row r="14" spans="1:7" x14ac:dyDescent="0.2">
      <c r="A14" s="503" t="s">
        <v>418</v>
      </c>
      <c r="B14" s="541">
        <v>2404070</v>
      </c>
      <c r="C14" s="541">
        <v>2335743</v>
      </c>
      <c r="D14" s="541">
        <f>+'Working Budget with funding det'!R27</f>
        <v>2719305</v>
      </c>
      <c r="E14" s="863">
        <f t="shared" si="0"/>
        <v>0.16420000000000001</v>
      </c>
    </row>
    <row r="15" spans="1:7" ht="15.75" x14ac:dyDescent="0.25">
      <c r="A15" s="509" t="s">
        <v>2110</v>
      </c>
      <c r="B15" s="540">
        <f>SUM(B6:B14)</f>
        <v>26144247</v>
      </c>
      <c r="C15" s="540">
        <f>SUM(C6:C14)</f>
        <v>27118780</v>
      </c>
      <c r="D15" s="540">
        <f>SUM(D6:D14)</f>
        <v>29976893</v>
      </c>
      <c r="E15" s="863">
        <f t="shared" si="0"/>
        <v>0.10539999999999999</v>
      </c>
    </row>
    <row r="16" spans="1:7" x14ac:dyDescent="0.2">
      <c r="A16" s="503"/>
      <c r="B16" s="541"/>
      <c r="C16" s="541"/>
      <c r="D16" s="541"/>
    </row>
    <row r="17" spans="1:8" ht="15.75" x14ac:dyDescent="0.25">
      <c r="A17" s="509" t="s">
        <v>2111</v>
      </c>
      <c r="B17" s="541"/>
      <c r="C17" s="541"/>
      <c r="D17" s="541"/>
      <c r="G17" s="220" t="s">
        <v>2112</v>
      </c>
    </row>
    <row r="18" spans="1:8" x14ac:dyDescent="0.2">
      <c r="A18" s="503" t="s">
        <v>2113</v>
      </c>
      <c r="B18" s="541">
        <v>1428587</v>
      </c>
      <c r="C18" s="541">
        <v>1404752</v>
      </c>
      <c r="D18" s="541">
        <f>+'Working Budget with funding det'!R55</f>
        <v>1680319</v>
      </c>
      <c r="E18" s="863">
        <f t="shared" ref="E18:E32" si="1">ROUND(((+D18-C18)/C18),4)</f>
        <v>0.19620000000000001</v>
      </c>
    </row>
    <row r="19" spans="1:8" x14ac:dyDescent="0.2">
      <c r="A19" s="503" t="s">
        <v>2114</v>
      </c>
      <c r="B19" s="541">
        <v>2255071</v>
      </c>
      <c r="C19" s="541">
        <v>2330853</v>
      </c>
      <c r="D19" s="541">
        <f>+'Working Budget with funding det'!R69</f>
        <v>2650917</v>
      </c>
      <c r="E19" s="863">
        <f t="shared" si="1"/>
        <v>0.13730000000000001</v>
      </c>
    </row>
    <row r="20" spans="1:8" x14ac:dyDescent="0.2">
      <c r="A20" s="503" t="s">
        <v>2115</v>
      </c>
      <c r="B20" s="541">
        <v>2356434</v>
      </c>
      <c r="C20" s="541">
        <v>2466531</v>
      </c>
      <c r="D20" s="541">
        <f>+'Working Budget with funding det'!R79</f>
        <v>2774507</v>
      </c>
      <c r="E20" s="863">
        <f t="shared" si="1"/>
        <v>0.1249</v>
      </c>
    </row>
    <row r="21" spans="1:8" x14ac:dyDescent="0.2">
      <c r="A21" s="503" t="s">
        <v>2116</v>
      </c>
      <c r="B21" s="541">
        <v>281328</v>
      </c>
      <c r="C21" s="541">
        <v>294828</v>
      </c>
      <c r="D21" s="541">
        <f>+'Working Budget with funding det'!R87</f>
        <v>310537</v>
      </c>
      <c r="E21" s="863">
        <f t="shared" si="1"/>
        <v>5.33E-2</v>
      </c>
    </row>
    <row r="22" spans="1:8" x14ac:dyDescent="0.2">
      <c r="A22" s="503" t="s">
        <v>2117</v>
      </c>
      <c r="B22" s="541">
        <v>572289</v>
      </c>
      <c r="C22" s="541">
        <v>587488</v>
      </c>
      <c r="D22" s="541">
        <f>+'Working Budget with funding det'!R95</f>
        <v>666139</v>
      </c>
      <c r="E22" s="863">
        <f>ROUND(((+D22-C22)/C22),4)</f>
        <v>0.13389999999999999</v>
      </c>
    </row>
    <row r="23" spans="1:8" x14ac:dyDescent="0.2">
      <c r="A23" s="503" t="s">
        <v>1866</v>
      </c>
      <c r="B23" s="541">
        <v>1128500</v>
      </c>
      <c r="C23" s="541">
        <v>1066809</v>
      </c>
      <c r="D23" s="541">
        <f>+'Working Budget with funding det'!R98</f>
        <v>1154319</v>
      </c>
      <c r="E23" s="863">
        <f>ROUND(((+D23-C23)/C23),4)</f>
        <v>8.2000000000000003E-2</v>
      </c>
    </row>
    <row r="24" spans="1:8" x14ac:dyDescent="0.2">
      <c r="A24" s="503" t="s">
        <v>126</v>
      </c>
      <c r="B24" s="541">
        <v>111179</v>
      </c>
      <c r="C24" s="541">
        <v>111609</v>
      </c>
      <c r="D24" s="541">
        <f>+'Working Budget with funding det'!R101</f>
        <v>113924</v>
      </c>
      <c r="E24" s="863">
        <f t="shared" si="1"/>
        <v>2.07E-2</v>
      </c>
    </row>
    <row r="25" spans="1:8" x14ac:dyDescent="0.2">
      <c r="A25" s="503" t="s">
        <v>127</v>
      </c>
      <c r="B25" s="541">
        <v>2298057</v>
      </c>
      <c r="C25" s="541">
        <v>2397861</v>
      </c>
      <c r="D25" s="541">
        <f>+'Working Budget with funding det'!R104</f>
        <v>2490334</v>
      </c>
      <c r="E25" s="863">
        <f t="shared" si="1"/>
        <v>3.8600000000000002E-2</v>
      </c>
    </row>
    <row r="26" spans="1:8" x14ac:dyDescent="0.2">
      <c r="A26" s="503" t="s">
        <v>1610</v>
      </c>
      <c r="B26" s="541">
        <v>96000</v>
      </c>
      <c r="C26" s="541">
        <v>115000</v>
      </c>
      <c r="D26" s="541">
        <f>+'Working Budget with funding det'!R105</f>
        <v>120600</v>
      </c>
      <c r="E26" s="863">
        <f t="shared" si="1"/>
        <v>4.87E-2</v>
      </c>
      <c r="G26" s="124">
        <f>ROUND((+H26/D32),4)</f>
        <v>0.40339999999999998</v>
      </c>
      <c r="H26" s="184">
        <f>SUM(D18:D26)</f>
        <v>11961596</v>
      </c>
    </row>
    <row r="27" spans="1:8" x14ac:dyDescent="0.2">
      <c r="A27" s="503" t="s">
        <v>137</v>
      </c>
      <c r="B27" s="541">
        <v>2449068</v>
      </c>
      <c r="C27" s="541">
        <v>2586971</v>
      </c>
      <c r="D27" s="541">
        <f>+'Working Budget with funding det'!R118</f>
        <v>3006124</v>
      </c>
      <c r="E27" s="863">
        <f t="shared" si="1"/>
        <v>0.16200000000000001</v>
      </c>
    </row>
    <row r="28" spans="1:8" x14ac:dyDescent="0.2">
      <c r="A28" s="503" t="s">
        <v>678</v>
      </c>
      <c r="B28" s="541">
        <v>55694</v>
      </c>
      <c r="C28" s="541">
        <v>206164</v>
      </c>
      <c r="D28" s="541">
        <f>+'Working Budget with funding det'!P125</f>
        <v>426965</v>
      </c>
      <c r="E28" s="863">
        <f t="shared" si="1"/>
        <v>1.071</v>
      </c>
      <c r="G28" s="124">
        <f>ROUND((+H28/$D$32),4)</f>
        <v>0.1158</v>
      </c>
      <c r="H28" s="184">
        <f>+D28+D27</f>
        <v>3433089</v>
      </c>
    </row>
    <row r="29" spans="1:8" x14ac:dyDescent="0.2">
      <c r="A29" s="503" t="s">
        <v>804</v>
      </c>
      <c r="B29" s="541">
        <v>1255456</v>
      </c>
      <c r="C29" s="541">
        <v>1221005</v>
      </c>
      <c r="D29" s="541">
        <f>+'Working Budget with funding det'!R128</f>
        <v>1053018</v>
      </c>
      <c r="E29" s="863">
        <f t="shared" si="1"/>
        <v>-0.1376</v>
      </c>
    </row>
    <row r="30" spans="1:8" x14ac:dyDescent="0.2">
      <c r="A30" s="503" t="s">
        <v>805</v>
      </c>
      <c r="B30" s="541">
        <v>10732268</v>
      </c>
      <c r="C30" s="541">
        <v>10950854</v>
      </c>
      <c r="D30" s="541">
        <f>+'Working Budget with funding det'!R129</f>
        <v>11809191</v>
      </c>
      <c r="E30" s="863">
        <f t="shared" si="1"/>
        <v>7.8399999999999997E-2</v>
      </c>
      <c r="G30" s="124">
        <f t="shared" ref="G30:G31" si="2">ROUND((+H30/$D$32),4)</f>
        <v>0.43369999999999997</v>
      </c>
      <c r="H30" s="184">
        <f>+D30+D29</f>
        <v>12862209</v>
      </c>
    </row>
    <row r="31" spans="1:8" x14ac:dyDescent="0.2">
      <c r="A31" s="503" t="s">
        <v>2118</v>
      </c>
      <c r="B31" s="541">
        <v>1118985</v>
      </c>
      <c r="C31" s="541">
        <v>1374421</v>
      </c>
      <c r="D31" s="541">
        <f>+'Working Budget with funding det'!R257</f>
        <v>1398085</v>
      </c>
      <c r="E31" s="863">
        <f t="shared" si="1"/>
        <v>1.72E-2</v>
      </c>
      <c r="G31" s="124">
        <f t="shared" si="2"/>
        <v>4.7100000000000003E-2</v>
      </c>
      <c r="H31" s="184">
        <f>+D31</f>
        <v>1398085</v>
      </c>
    </row>
    <row r="32" spans="1:8" ht="15.75" x14ac:dyDescent="0.25">
      <c r="A32" s="509" t="s">
        <v>2119</v>
      </c>
      <c r="B32" s="540">
        <f>SUM(B18:B31)</f>
        <v>26138916</v>
      </c>
      <c r="C32" s="540">
        <f>SUM(C18:C31)</f>
        <v>27115146</v>
      </c>
      <c r="D32" s="540">
        <f>SUM(D18:D31)</f>
        <v>29654979</v>
      </c>
      <c r="E32" s="863">
        <f t="shared" si="1"/>
        <v>9.3700000000000006E-2</v>
      </c>
      <c r="G32" s="124">
        <f>SUM(G26:G31)</f>
        <v>1</v>
      </c>
      <c r="H32" s="184">
        <f>SUM(H26:H31)</f>
        <v>29654979</v>
      </c>
    </row>
    <row r="34" spans="1:5" x14ac:dyDescent="0.2">
      <c r="D34" s="335"/>
      <c r="E34" s="876" t="s">
        <v>2120</v>
      </c>
    </row>
    <row r="35" spans="1:5" x14ac:dyDescent="0.2">
      <c r="A35" s="503"/>
      <c r="B35" s="503"/>
      <c r="C35" s="310"/>
      <c r="D35" s="503"/>
    </row>
  </sheetData>
  <phoneticPr fontId="15" type="noConversion"/>
  <printOptions horizontalCentered="1"/>
  <pageMargins left="0.75" right="0.75" top="1" bottom="1" header="0.5" footer="0.5"/>
  <pageSetup scale="86" orientation="portrait" r:id="rId1"/>
  <headerFooter alignWithMargins="0">
    <oddFooter>&amp;CFY22 Finance Committee Report to Town Meeting&amp;R10</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000"/>
    <pageSetUpPr fitToPage="1"/>
  </sheetPr>
  <dimension ref="A3:B61"/>
  <sheetViews>
    <sheetView topLeftCell="A23" workbookViewId="0">
      <selection activeCell="A8" sqref="A8:B8"/>
    </sheetView>
  </sheetViews>
  <sheetFormatPr defaultRowHeight="12.75" x14ac:dyDescent="0.2"/>
  <cols>
    <col min="1" max="1" width="26.6640625" customWidth="1"/>
    <col min="2" max="2" width="11.5" bestFit="1" customWidth="1"/>
    <col min="4" max="4" width="19.6640625" customWidth="1"/>
    <col min="5" max="5" width="14.5" customWidth="1"/>
    <col min="9" max="9" width="3.5" customWidth="1"/>
  </cols>
  <sheetData>
    <row r="3" spans="1:2" x14ac:dyDescent="0.2">
      <c r="A3" s="220" t="s">
        <v>433</v>
      </c>
      <c r="B3" s="2">
        <f>+'Revenue Projections Detail'!M16</f>
        <v>21570869</v>
      </c>
    </row>
    <row r="4" spans="1:2" x14ac:dyDescent="0.2">
      <c r="A4" s="220" t="s">
        <v>2105</v>
      </c>
      <c r="B4" s="2">
        <f>+'Revenue Projections Detail'!M29</f>
        <v>1914986</v>
      </c>
    </row>
    <row r="5" spans="1:2" x14ac:dyDescent="0.2">
      <c r="A5" s="220" t="s">
        <v>438</v>
      </c>
      <c r="B5" s="2">
        <f>+'Revenue Projections Detail'!M54</f>
        <v>2027000</v>
      </c>
    </row>
    <row r="6" spans="1:2" x14ac:dyDescent="0.2">
      <c r="A6" s="220" t="s">
        <v>2121</v>
      </c>
      <c r="B6" s="2">
        <f>+'Working Budget with funding det'!R27</f>
        <v>2719305</v>
      </c>
    </row>
    <row r="7" spans="1:2" x14ac:dyDescent="0.2">
      <c r="A7" s="220" t="s">
        <v>2109</v>
      </c>
      <c r="B7" s="2">
        <f>+'Working Budget with funding det'!R28</f>
        <v>426965</v>
      </c>
    </row>
    <row r="8" spans="1:2" x14ac:dyDescent="0.2">
      <c r="A8" s="220"/>
      <c r="B8" s="2"/>
    </row>
    <row r="9" spans="1:2" x14ac:dyDescent="0.2">
      <c r="A9" s="220" t="s">
        <v>2122</v>
      </c>
      <c r="B9" s="2">
        <f>+'Revenue Projections Detail'!M72+'Revenue Projections Detail'!M75+'Revenue Projections Detail'!M89</f>
        <v>1267713</v>
      </c>
    </row>
    <row r="10" spans="1:2" x14ac:dyDescent="0.2">
      <c r="A10" s="220" t="s">
        <v>193</v>
      </c>
      <c r="B10" s="2">
        <f>SUM(B3:B9)</f>
        <v>29926838</v>
      </c>
    </row>
    <row r="25" spans="1:2" x14ac:dyDescent="0.2">
      <c r="A25" s="220" t="s">
        <v>787</v>
      </c>
      <c r="B25" s="2">
        <f>+'Working Budget with funding det'!R109</f>
        <v>11961596</v>
      </c>
    </row>
    <row r="26" spans="1:2" x14ac:dyDescent="0.2">
      <c r="A26" s="220" t="s">
        <v>137</v>
      </c>
      <c r="B26" s="2">
        <f>+'Working Budget with funding det'!R118</f>
        <v>3006124</v>
      </c>
    </row>
    <row r="27" spans="1:2" x14ac:dyDescent="0.2">
      <c r="A27" s="220" t="s">
        <v>131</v>
      </c>
      <c r="B27" s="2">
        <f>+'Working Budget with funding det'!R125</f>
        <v>426965</v>
      </c>
    </row>
    <row r="28" spans="1:2" x14ac:dyDescent="0.2">
      <c r="A28" s="220" t="s">
        <v>2118</v>
      </c>
      <c r="B28" s="2">
        <f>+'Working Budget with funding det'!R257</f>
        <v>1398085</v>
      </c>
    </row>
    <row r="29" spans="1:2" x14ac:dyDescent="0.2">
      <c r="A29" s="220" t="s">
        <v>580</v>
      </c>
      <c r="B29" s="2">
        <f>+'Working Budget with funding det'!R129</f>
        <v>11809191</v>
      </c>
    </row>
    <row r="30" spans="1:2" x14ac:dyDescent="0.2">
      <c r="A30" s="220" t="s">
        <v>683</v>
      </c>
      <c r="B30" s="2">
        <f>+'Working Budget with funding det'!R128</f>
        <v>1053018</v>
      </c>
    </row>
    <row r="31" spans="1:2" x14ac:dyDescent="0.2">
      <c r="B31">
        <f>SUM(B25:B30)</f>
        <v>29654979</v>
      </c>
    </row>
    <row r="52" spans="1:2" x14ac:dyDescent="0.2">
      <c r="A52" s="220" t="s">
        <v>2123</v>
      </c>
      <c r="B52" s="2">
        <f>+'Working Budget with funding det'!R55</f>
        <v>1680319</v>
      </c>
    </row>
    <row r="53" spans="1:2" x14ac:dyDescent="0.2">
      <c r="A53" s="220" t="s">
        <v>2114</v>
      </c>
      <c r="B53" s="2">
        <f>+'Working Budget with funding det'!R69</f>
        <v>2650917</v>
      </c>
    </row>
    <row r="54" spans="1:2" x14ac:dyDescent="0.2">
      <c r="A54" s="220" t="s">
        <v>2115</v>
      </c>
      <c r="B54" s="2">
        <f>+'Working Budget with funding det'!R79</f>
        <v>2774507</v>
      </c>
    </row>
    <row r="55" spans="1:2" x14ac:dyDescent="0.2">
      <c r="A55" s="220" t="s">
        <v>2116</v>
      </c>
      <c r="B55" s="2">
        <f>+'Working Budget with funding det'!R87</f>
        <v>310537</v>
      </c>
    </row>
    <row r="56" spans="1:2" x14ac:dyDescent="0.2">
      <c r="A56" s="220" t="s">
        <v>2124</v>
      </c>
      <c r="B56" s="2">
        <f>+'Working Budget with funding det'!R95</f>
        <v>666139</v>
      </c>
    </row>
    <row r="57" spans="1:2" x14ac:dyDescent="0.2">
      <c r="A57" s="220" t="s">
        <v>2125</v>
      </c>
      <c r="B57" s="2">
        <f>+'Working Budget with funding det'!R98</f>
        <v>1154319</v>
      </c>
    </row>
    <row r="58" spans="1:2" x14ac:dyDescent="0.2">
      <c r="A58" s="220" t="s">
        <v>2126</v>
      </c>
      <c r="B58" s="2">
        <f>+'Working Budget with funding det'!R101</f>
        <v>113924</v>
      </c>
    </row>
    <row r="59" spans="1:2" x14ac:dyDescent="0.2">
      <c r="A59" s="220" t="s">
        <v>2092</v>
      </c>
      <c r="B59" s="2">
        <f>+'Working Budget with funding det'!R104</f>
        <v>2490334</v>
      </c>
    </row>
    <row r="60" spans="1:2" x14ac:dyDescent="0.2">
      <c r="A60" s="220" t="s">
        <v>1440</v>
      </c>
      <c r="B60" s="2">
        <f>+'Working Budget with funding det'!R105</f>
        <v>120600</v>
      </c>
    </row>
    <row r="61" spans="1:2" x14ac:dyDescent="0.2">
      <c r="B61" s="2">
        <f>SUM(B52:B60)</f>
        <v>11961596</v>
      </c>
    </row>
  </sheetData>
  <pageMargins left="0.7" right="0.7" top="0.75" bottom="0.75" header="0.3" footer="0.3"/>
  <pageSetup scale="48"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T191"/>
  <sheetViews>
    <sheetView zoomScale="75" zoomScaleNormal="75" workbookViewId="0">
      <pane ySplit="4" topLeftCell="A52" activePane="bottomLeft" state="frozen"/>
      <selection pane="bottomLeft" activeCell="M59" sqref="M59"/>
    </sheetView>
  </sheetViews>
  <sheetFormatPr defaultRowHeight="15" x14ac:dyDescent="0.2"/>
  <cols>
    <col min="1" max="1" width="40" customWidth="1"/>
    <col min="2" max="6" width="18.83203125" style="2" hidden="1" customWidth="1"/>
    <col min="7" max="9" width="16.6640625" style="2" hidden="1" customWidth="1"/>
    <col min="10" max="13" width="16.6640625" style="2" customWidth="1"/>
    <col min="14" max="14" width="13.83203125" customWidth="1"/>
    <col min="15" max="15" width="16.83203125" bestFit="1" customWidth="1"/>
    <col min="16" max="16" width="12.1640625" customWidth="1"/>
    <col min="17" max="17" width="45.5" style="1069" customWidth="1"/>
    <col min="18" max="20" width="16.33203125" customWidth="1"/>
  </cols>
  <sheetData>
    <row r="1" spans="1:20" x14ac:dyDescent="0.2">
      <c r="A1" s="503" t="s">
        <v>429</v>
      </c>
      <c r="B1" s="504" t="s">
        <v>267</v>
      </c>
      <c r="C1" s="504" t="s">
        <v>268</v>
      </c>
      <c r="D1" s="504" t="s">
        <v>269</v>
      </c>
      <c r="E1" s="504" t="s">
        <v>270</v>
      </c>
      <c r="F1" s="504" t="s">
        <v>271</v>
      </c>
      <c r="G1" s="504" t="s">
        <v>272</v>
      </c>
      <c r="H1" s="504" t="s">
        <v>273</v>
      </c>
      <c r="I1" s="504" t="s">
        <v>274</v>
      </c>
      <c r="J1" s="504" t="s">
        <v>324</v>
      </c>
      <c r="K1" s="504" t="s">
        <v>325</v>
      </c>
      <c r="L1" s="504" t="s">
        <v>326</v>
      </c>
      <c r="M1" s="504" t="s">
        <v>430</v>
      </c>
      <c r="N1" s="504"/>
      <c r="O1" s="504"/>
      <c r="P1" s="503"/>
    </row>
    <row r="2" spans="1:20" x14ac:dyDescent="0.2">
      <c r="A2" s="308" t="s">
        <v>197</v>
      </c>
      <c r="B2" s="310"/>
      <c r="C2" s="310"/>
      <c r="D2" s="504"/>
      <c r="E2" s="504"/>
      <c r="F2" s="504"/>
      <c r="G2" s="504"/>
      <c r="H2" s="504"/>
      <c r="I2" s="504"/>
      <c r="J2" s="504"/>
      <c r="K2" s="504"/>
      <c r="L2" s="504"/>
      <c r="M2" s="504" t="s">
        <v>330</v>
      </c>
      <c r="N2" s="1074"/>
      <c r="O2" s="503"/>
      <c r="P2" s="503"/>
    </row>
    <row r="3" spans="1:20" x14ac:dyDescent="0.2">
      <c r="A3" s="503"/>
      <c r="B3" s="504" t="s">
        <v>280</v>
      </c>
      <c r="C3" s="504" t="s">
        <v>280</v>
      </c>
      <c r="D3" s="504" t="s">
        <v>280</v>
      </c>
      <c r="E3" s="504" t="s">
        <v>280</v>
      </c>
      <c r="F3" s="504" t="s">
        <v>280</v>
      </c>
      <c r="G3" s="504" t="s">
        <v>280</v>
      </c>
      <c r="H3" s="504" t="s">
        <v>280</v>
      </c>
      <c r="I3" s="504" t="s">
        <v>280</v>
      </c>
      <c r="J3" s="504" t="s">
        <v>280</v>
      </c>
      <c r="K3" s="504" t="s">
        <v>279</v>
      </c>
      <c r="L3" s="533" t="s">
        <v>279</v>
      </c>
      <c r="M3" s="533" t="s">
        <v>279</v>
      </c>
      <c r="N3" s="504"/>
      <c r="O3" s="503"/>
      <c r="P3" s="503"/>
    </row>
    <row r="4" spans="1:20" x14ac:dyDescent="0.2">
      <c r="A4" s="503"/>
      <c r="B4" s="504" t="s">
        <v>329</v>
      </c>
      <c r="C4" s="504" t="s">
        <v>329</v>
      </c>
      <c r="D4" s="504" t="s">
        <v>329</v>
      </c>
      <c r="E4" s="504" t="s">
        <v>329</v>
      </c>
      <c r="F4" s="504" t="s">
        <v>329</v>
      </c>
      <c r="G4" s="504" t="s">
        <v>329</v>
      </c>
      <c r="H4" s="504" t="s">
        <v>329</v>
      </c>
      <c r="I4" s="504" t="s">
        <v>329</v>
      </c>
      <c r="J4" s="504" t="s">
        <v>329</v>
      </c>
      <c r="K4" s="504" t="s">
        <v>431</v>
      </c>
      <c r="L4" s="533" t="s">
        <v>336</v>
      </c>
      <c r="M4" s="533" t="s">
        <v>336</v>
      </c>
      <c r="N4" s="503"/>
      <c r="O4" s="503"/>
      <c r="P4" s="503"/>
    </row>
    <row r="5" spans="1:20" x14ac:dyDescent="0.2">
      <c r="A5" s="503" t="s">
        <v>2401</v>
      </c>
      <c r="B5" s="504"/>
      <c r="C5" s="1127">
        <f>ROUND((+C10/(+B10+B9+B8)),4)</f>
        <v>3.5299999999999998E-2</v>
      </c>
      <c r="D5" s="1127">
        <f t="shared" ref="D5:M5" si="0">ROUND((+D10/(+C10+C9+C8)),4)</f>
        <v>8.2000000000000007E-3</v>
      </c>
      <c r="E5" s="1127">
        <f t="shared" si="0"/>
        <v>1.0200000000000001E-2</v>
      </c>
      <c r="F5" s="1127">
        <f t="shared" si="0"/>
        <v>1.8100000000000002E-2</v>
      </c>
      <c r="G5" s="1127">
        <f t="shared" si="0"/>
        <v>0.04</v>
      </c>
      <c r="H5" s="1127">
        <f t="shared" si="0"/>
        <v>3.2000000000000001E-2</v>
      </c>
      <c r="I5" s="1127">
        <f t="shared" si="0"/>
        <v>3.2800000000000003E-2</v>
      </c>
      <c r="J5" s="1127">
        <f t="shared" si="0"/>
        <v>2.2200000000000001E-2</v>
      </c>
      <c r="K5" s="1127">
        <f t="shared" si="0"/>
        <v>8.8999999999999999E-3</v>
      </c>
      <c r="L5" s="1127">
        <f t="shared" si="0"/>
        <v>4.3999999999999997E-2</v>
      </c>
      <c r="M5" s="1127">
        <f t="shared" si="0"/>
        <v>3.5999999999999999E-3</v>
      </c>
      <c r="N5" s="503"/>
      <c r="O5" s="503"/>
      <c r="P5" s="503"/>
    </row>
    <row r="6" spans="1:20" x14ac:dyDescent="0.2">
      <c r="A6" s="503"/>
      <c r="B6" s="504"/>
      <c r="C6" s="504"/>
      <c r="D6" s="310"/>
      <c r="E6" s="310"/>
      <c r="F6" s="310"/>
      <c r="G6" s="504"/>
      <c r="H6" s="310"/>
      <c r="I6" s="310"/>
      <c r="J6" s="310"/>
      <c r="K6" s="310"/>
      <c r="L6" s="310"/>
      <c r="M6" s="310" t="s">
        <v>432</v>
      </c>
      <c r="N6" s="503"/>
      <c r="O6" s="503"/>
      <c r="P6" s="503"/>
    </row>
    <row r="7" spans="1:20" ht="15.75" x14ac:dyDescent="0.25">
      <c r="A7" s="534" t="s">
        <v>433</v>
      </c>
      <c r="B7" s="310"/>
      <c r="C7" s="310"/>
      <c r="D7" s="310"/>
      <c r="E7" s="310"/>
      <c r="F7" s="310"/>
      <c r="G7" s="504"/>
      <c r="H7" s="310"/>
      <c r="I7" s="310"/>
      <c r="J7" s="310"/>
      <c r="K7" s="310"/>
      <c r="L7" s="310"/>
      <c r="M7" s="310"/>
      <c r="N7" s="503"/>
      <c r="O7" s="503"/>
      <c r="P7" s="503"/>
    </row>
    <row r="8" spans="1:20" x14ac:dyDescent="0.2">
      <c r="A8" s="503" t="s">
        <v>341</v>
      </c>
      <c r="B8" s="310">
        <v>12456970</v>
      </c>
      <c r="C8" s="310">
        <f t="shared" ref="C8:F8" si="1">+B8+B9+B10</f>
        <v>12911745</v>
      </c>
      <c r="D8" s="310">
        <f t="shared" si="1"/>
        <v>13690149</v>
      </c>
      <c r="E8" s="310">
        <f t="shared" si="1"/>
        <v>14144902</v>
      </c>
      <c r="F8" s="310">
        <f t="shared" si="1"/>
        <v>14642844</v>
      </c>
      <c r="G8" s="310">
        <v>15274313</v>
      </c>
      <c r="H8" s="310">
        <f t="shared" ref="H8:L8" si="2">+G8+G9+G10</f>
        <v>16267561</v>
      </c>
      <c r="I8" s="310">
        <f t="shared" si="2"/>
        <v>17194323</v>
      </c>
      <c r="J8" s="310">
        <f t="shared" si="2"/>
        <v>18178839</v>
      </c>
      <c r="K8" s="310">
        <f t="shared" si="2"/>
        <v>19037452</v>
      </c>
      <c r="L8" s="310">
        <f t="shared" si="2"/>
        <v>19683180</v>
      </c>
      <c r="M8" s="310">
        <f>+L8+L9+L10</f>
        <v>21041319</v>
      </c>
      <c r="N8" s="503"/>
      <c r="O8" s="503"/>
      <c r="P8" s="503"/>
    </row>
    <row r="9" spans="1:20" x14ac:dyDescent="0.2">
      <c r="A9" s="535">
        <v>2.5000000000000001E-2</v>
      </c>
      <c r="B9" s="310">
        <v>311424</v>
      </c>
      <c r="C9" s="310">
        <f t="shared" ref="C9:H9" si="3">ROUND((+C8*0.025),0)</f>
        <v>322794</v>
      </c>
      <c r="D9" s="310">
        <f t="shared" si="3"/>
        <v>342254</v>
      </c>
      <c r="E9" s="310">
        <f t="shared" si="3"/>
        <v>353623</v>
      </c>
      <c r="F9" s="310">
        <f t="shared" si="3"/>
        <v>366071</v>
      </c>
      <c r="G9" s="310">
        <f t="shared" si="3"/>
        <v>381858</v>
      </c>
      <c r="H9" s="310">
        <f t="shared" si="3"/>
        <v>406689</v>
      </c>
      <c r="I9" s="310">
        <f>429614-9761</f>
        <v>419853</v>
      </c>
      <c r="J9" s="310">
        <f>ROUND((+J8*0.025),0)</f>
        <v>454471</v>
      </c>
      <c r="K9" s="310">
        <f>ROUND((+K8*0.025),0)</f>
        <v>475936</v>
      </c>
      <c r="L9" s="310">
        <f>ROUND((+L8*0.025),0)</f>
        <v>492080</v>
      </c>
      <c r="M9" s="310">
        <f>ROUND((+M8*0.025),0)</f>
        <v>526033</v>
      </c>
      <c r="N9" s="503"/>
      <c r="O9" s="503"/>
      <c r="P9" s="503"/>
    </row>
    <row r="10" spans="1:20" x14ac:dyDescent="0.2">
      <c r="A10" s="503" t="s">
        <v>342</v>
      </c>
      <c r="B10" s="310">
        <v>143351</v>
      </c>
      <c r="C10" s="310">
        <v>455610</v>
      </c>
      <c r="D10" s="310">
        <v>112499</v>
      </c>
      <c r="E10" s="310">
        <v>144319</v>
      </c>
      <c r="F10" s="310">
        <v>264355</v>
      </c>
      <c r="G10" s="310">
        <v>611390</v>
      </c>
      <c r="H10" s="310">
        <v>520073</v>
      </c>
      <c r="I10" s="310">
        <v>564663</v>
      </c>
      <c r="J10" s="310">
        <v>404142</v>
      </c>
      <c r="K10" s="310">
        <v>169792</v>
      </c>
      <c r="L10" s="1121">
        <v>866059</v>
      </c>
      <c r="M10" s="310">
        <v>75000</v>
      </c>
      <c r="N10" s="503"/>
      <c r="O10" s="503"/>
      <c r="P10" s="503"/>
    </row>
    <row r="11" spans="1:20" x14ac:dyDescent="0.2">
      <c r="A11" s="503" t="s">
        <v>148</v>
      </c>
      <c r="B11" s="310">
        <v>713128</v>
      </c>
      <c r="C11" s="310">
        <v>674566</v>
      </c>
      <c r="D11" s="310">
        <v>679626</v>
      </c>
      <c r="E11" s="310">
        <v>677179</v>
      </c>
      <c r="F11" s="310">
        <v>675388</v>
      </c>
      <c r="G11" s="310">
        <v>747324</v>
      </c>
      <c r="H11" s="310">
        <v>742178</v>
      </c>
      <c r="I11" s="310">
        <v>925371</v>
      </c>
      <c r="J11" s="310">
        <v>1165193</v>
      </c>
      <c r="K11" s="310">
        <v>1156948</v>
      </c>
      <c r="L11" s="310">
        <v>1182556</v>
      </c>
      <c r="M11" s="310">
        <f>+'Debt Exclusion Calc.'!I25</f>
        <v>1179061</v>
      </c>
      <c r="N11" s="503"/>
      <c r="O11" s="503"/>
      <c r="P11" s="503"/>
      <c r="T11" s="2"/>
    </row>
    <row r="12" spans="1:20" x14ac:dyDescent="0.2">
      <c r="A12" s="503" t="s">
        <v>434</v>
      </c>
      <c r="B12" s="310"/>
      <c r="C12" s="310"/>
      <c r="D12" s="310"/>
      <c r="E12" s="310"/>
      <c r="F12" s="310"/>
      <c r="G12" s="310"/>
      <c r="H12" s="310"/>
      <c r="I12" s="310">
        <v>-300815</v>
      </c>
      <c r="J12" s="310">
        <v>-509000</v>
      </c>
      <c r="K12" s="310">
        <v>-634172</v>
      </c>
      <c r="L12" s="310">
        <v>-1673760</v>
      </c>
      <c r="M12" s="1121">
        <v>-1149544</v>
      </c>
      <c r="N12" s="503"/>
      <c r="O12" s="503" t="s">
        <v>2419</v>
      </c>
      <c r="P12" s="503"/>
      <c r="T12" s="2"/>
    </row>
    <row r="13" spans="1:20" x14ac:dyDescent="0.2">
      <c r="A13" s="503" t="s">
        <v>345</v>
      </c>
      <c r="B13" s="536">
        <f t="shared" ref="B13:H13" si="4">SUM(B8:B11)</f>
        <v>13624873</v>
      </c>
      <c r="C13" s="536">
        <f t="shared" si="4"/>
        <v>14364715</v>
      </c>
      <c r="D13" s="536">
        <f t="shared" si="4"/>
        <v>14824528</v>
      </c>
      <c r="E13" s="536">
        <f t="shared" si="4"/>
        <v>15320023</v>
      </c>
      <c r="F13" s="536">
        <f t="shared" si="4"/>
        <v>15948658</v>
      </c>
      <c r="G13" s="536">
        <f>SUM(G8:G11)</f>
        <v>17014885</v>
      </c>
      <c r="H13" s="536">
        <f t="shared" si="4"/>
        <v>17936501</v>
      </c>
      <c r="I13" s="536">
        <f>SUM(I8:I12)</f>
        <v>18803395</v>
      </c>
      <c r="J13" s="536">
        <f>SUM(J8:J12)</f>
        <v>19693645</v>
      </c>
      <c r="K13" s="536">
        <f>SUM(K8:K12)</f>
        <v>20205956</v>
      </c>
      <c r="L13" s="536">
        <f>SUM(L8:L12)</f>
        <v>20550115</v>
      </c>
      <c r="M13" s="536">
        <f>SUM(M8:M12)</f>
        <v>21671869</v>
      </c>
      <c r="N13" s="503"/>
      <c r="O13" s="1121" t="s">
        <v>2427</v>
      </c>
      <c r="P13" s="1124"/>
      <c r="Q13" s="1125"/>
      <c r="R13" s="335"/>
      <c r="S13" s="335"/>
      <c r="T13" s="1118"/>
    </row>
    <row r="14" spans="1:20" x14ac:dyDescent="0.2">
      <c r="A14" s="503"/>
      <c r="B14" s="310"/>
      <c r="C14" s="310"/>
      <c r="D14" s="310"/>
      <c r="E14" s="310"/>
      <c r="F14" s="310"/>
      <c r="G14" s="310"/>
      <c r="H14" s="310"/>
      <c r="I14" s="310"/>
      <c r="J14" s="310"/>
      <c r="K14" s="310"/>
      <c r="L14" s="310"/>
      <c r="M14" s="310"/>
      <c r="N14" s="503"/>
      <c r="O14" s="503"/>
      <c r="P14" s="503"/>
    </row>
    <row r="15" spans="1:20" x14ac:dyDescent="0.2">
      <c r="A15" s="503" t="s">
        <v>346</v>
      </c>
      <c r="B15" s="310">
        <v>-123306</v>
      </c>
      <c r="C15" s="310">
        <v>-357654</v>
      </c>
      <c r="D15" s="310">
        <v>-400065</v>
      </c>
      <c r="E15" s="310">
        <v>-406881</v>
      </c>
      <c r="F15" s="310">
        <v>-450000</v>
      </c>
      <c r="G15" s="310">
        <v>-487971.03</v>
      </c>
      <c r="H15" s="310">
        <v>-424470</v>
      </c>
      <c r="I15" s="310">
        <v>-133913</v>
      </c>
      <c r="J15" s="310">
        <v>-150000</v>
      </c>
      <c r="K15" s="310">
        <v>-69425</v>
      </c>
      <c r="L15" s="310">
        <v>-96117</v>
      </c>
      <c r="M15" s="310">
        <v>-101000</v>
      </c>
      <c r="N15" s="503"/>
      <c r="O15" s="503"/>
      <c r="P15" s="503"/>
    </row>
    <row r="16" spans="1:20" x14ac:dyDescent="0.2">
      <c r="A16" s="503" t="s">
        <v>348</v>
      </c>
      <c r="B16" s="536">
        <f t="shared" ref="B16:I16" si="5">SUM(B13:B15)</f>
        <v>13501567</v>
      </c>
      <c r="C16" s="536">
        <f t="shared" si="5"/>
        <v>14007061</v>
      </c>
      <c r="D16" s="536">
        <f t="shared" si="5"/>
        <v>14424463</v>
      </c>
      <c r="E16" s="536">
        <f t="shared" si="5"/>
        <v>14913142</v>
      </c>
      <c r="F16" s="536">
        <f t="shared" si="5"/>
        <v>15498658</v>
      </c>
      <c r="G16" s="536">
        <f>SUM(G13:G15)</f>
        <v>16526913.970000001</v>
      </c>
      <c r="H16" s="536">
        <f t="shared" si="5"/>
        <v>17512031</v>
      </c>
      <c r="I16" s="536">
        <f t="shared" si="5"/>
        <v>18669482</v>
      </c>
      <c r="J16" s="536">
        <f>SUM(J13:J15)</f>
        <v>19543645</v>
      </c>
      <c r="K16" s="536">
        <f>SUM(K13:K15)</f>
        <v>20136531</v>
      </c>
      <c r="L16" s="536">
        <f>SUM(L13:L15)</f>
        <v>20453998</v>
      </c>
      <c r="M16" s="536">
        <f>SUM(M13:M15)</f>
        <v>21570869</v>
      </c>
      <c r="N16" s="737">
        <f>+M16-L16</f>
        <v>1116871</v>
      </c>
      <c r="O16" s="738">
        <f>+N16/L16</f>
        <v>5.4604043669115448E-2</v>
      </c>
      <c r="P16" s="503"/>
    </row>
    <row r="17" spans="1:20" x14ac:dyDescent="0.2">
      <c r="A17" s="503"/>
      <c r="B17" s="310"/>
      <c r="C17" s="310"/>
      <c r="D17" s="310"/>
      <c r="E17" s="310"/>
      <c r="F17" s="310"/>
      <c r="G17" s="310"/>
      <c r="H17" s="310"/>
      <c r="I17" s="310"/>
      <c r="J17" s="310"/>
      <c r="K17" s="310"/>
      <c r="L17" s="310"/>
      <c r="M17" s="310"/>
      <c r="N17" s="503"/>
      <c r="O17" s="503"/>
      <c r="P17" s="503"/>
    </row>
    <row r="18" spans="1:20" ht="15.75" x14ac:dyDescent="0.25">
      <c r="A18" s="534" t="s">
        <v>435</v>
      </c>
      <c r="B18" s="504" t="s">
        <v>329</v>
      </c>
      <c r="C18" s="504" t="s">
        <v>329</v>
      </c>
      <c r="D18" s="504" t="s">
        <v>280</v>
      </c>
      <c r="E18" s="504" t="s">
        <v>329</v>
      </c>
      <c r="F18" s="504" t="s">
        <v>436</v>
      </c>
      <c r="G18" s="504" t="s">
        <v>436</v>
      </c>
      <c r="H18" s="504" t="s">
        <v>436</v>
      </c>
      <c r="I18" s="504"/>
      <c r="J18" s="504" t="s">
        <v>436</v>
      </c>
      <c r="K18" s="504" t="s">
        <v>436</v>
      </c>
      <c r="L18" s="504"/>
      <c r="M18" s="504" t="s">
        <v>431</v>
      </c>
      <c r="N18" s="503" t="s">
        <v>437</v>
      </c>
      <c r="O18" s="504"/>
      <c r="P18" s="503"/>
    </row>
    <row r="19" spans="1:20" x14ac:dyDescent="0.2">
      <c r="A19" s="503" t="s">
        <v>351</v>
      </c>
      <c r="B19" s="310">
        <v>1212188</v>
      </c>
      <c r="C19" s="310">
        <v>1240842</v>
      </c>
      <c r="D19" s="310">
        <v>1275253</v>
      </c>
      <c r="E19" s="310">
        <v>1321162</v>
      </c>
      <c r="F19" s="310">
        <v>1377972</v>
      </c>
      <c r="G19" s="310">
        <v>1431713</v>
      </c>
      <c r="H19" s="538">
        <v>1481823</v>
      </c>
      <c r="I19" s="538">
        <v>1521832</v>
      </c>
      <c r="J19" s="538">
        <v>1521832</v>
      </c>
      <c r="K19" s="538">
        <v>1575906</v>
      </c>
      <c r="L19" s="585">
        <v>1660151</v>
      </c>
      <c r="M19" s="585">
        <v>1649976</v>
      </c>
      <c r="N19" s="1150">
        <v>1693354</v>
      </c>
      <c r="O19" s="585"/>
      <c r="P19" s="503"/>
    </row>
    <row r="20" spans="1:20" x14ac:dyDescent="0.2">
      <c r="A20" s="503" t="s">
        <v>354</v>
      </c>
      <c r="B20" s="310">
        <v>86490</v>
      </c>
      <c r="C20" s="310">
        <v>91061</v>
      </c>
      <c r="D20" s="310">
        <v>146453</v>
      </c>
      <c r="E20" s="310">
        <v>117247</v>
      </c>
      <c r="F20" s="310">
        <v>118213</v>
      </c>
      <c r="G20" s="310">
        <v>97743</v>
      </c>
      <c r="H20" s="538">
        <v>60443</v>
      </c>
      <c r="I20" s="538">
        <v>104740</v>
      </c>
      <c r="J20" s="538">
        <v>57632</v>
      </c>
      <c r="K20" s="538">
        <v>51118</v>
      </c>
      <c r="L20" s="585">
        <v>66176</v>
      </c>
      <c r="M20" s="585">
        <v>66176</v>
      </c>
      <c r="N20" s="310">
        <v>40519</v>
      </c>
      <c r="O20" s="585"/>
      <c r="P20" s="503"/>
    </row>
    <row r="21" spans="1:20" x14ac:dyDescent="0.2">
      <c r="A21" s="503" t="s">
        <v>356</v>
      </c>
      <c r="B21" s="310">
        <v>38679</v>
      </c>
      <c r="C21" s="310">
        <v>38857</v>
      </c>
      <c r="D21" s="310">
        <v>37727</v>
      </c>
      <c r="E21" s="310">
        <v>37727</v>
      </c>
      <c r="F21" s="310">
        <v>38973</v>
      </c>
      <c r="G21" s="310">
        <v>37382</v>
      </c>
      <c r="H21" s="538">
        <v>38594</v>
      </c>
      <c r="I21" s="538">
        <v>35811</v>
      </c>
      <c r="J21" s="538">
        <v>48208</v>
      </c>
      <c r="K21" s="538">
        <v>36914</v>
      </c>
      <c r="L21" s="585">
        <v>37105</v>
      </c>
      <c r="M21" s="585">
        <v>36734</v>
      </c>
      <c r="N21" s="310"/>
      <c r="O21" s="585"/>
      <c r="P21" s="503"/>
    </row>
    <row r="22" spans="1:20" x14ac:dyDescent="0.2">
      <c r="A22" s="503" t="s">
        <v>358</v>
      </c>
      <c r="B22" s="310">
        <v>120375</v>
      </c>
      <c r="C22" s="310">
        <v>122756</v>
      </c>
      <c r="D22" s="310">
        <v>142331</v>
      </c>
      <c r="E22" s="310">
        <v>142331</v>
      </c>
      <c r="F22" s="310">
        <v>147574</v>
      </c>
      <c r="G22" s="310">
        <v>147574</v>
      </c>
      <c r="H22" s="538">
        <v>192222</v>
      </c>
      <c r="I22" s="538">
        <v>221320</v>
      </c>
      <c r="J22" s="538">
        <v>229400</v>
      </c>
      <c r="K22" s="538">
        <v>252976</v>
      </c>
      <c r="L22" s="585">
        <v>330057</v>
      </c>
      <c r="M22" s="585">
        <v>257893</v>
      </c>
      <c r="N22" s="310">
        <v>366681</v>
      </c>
      <c r="O22" s="585"/>
      <c r="P22" s="310"/>
    </row>
    <row r="23" spans="1:20" x14ac:dyDescent="0.2">
      <c r="A23" s="503" t="s">
        <v>2486</v>
      </c>
      <c r="B23" s="310"/>
      <c r="C23" s="310"/>
      <c r="D23" s="310"/>
      <c r="E23" s="310"/>
      <c r="F23" s="310"/>
      <c r="G23" s="310"/>
      <c r="H23" s="538"/>
      <c r="I23" s="538"/>
      <c r="J23" s="538"/>
      <c r="K23" s="538"/>
      <c r="L23" s="585"/>
      <c r="M23" s="585"/>
      <c r="N23" s="310">
        <v>9046</v>
      </c>
      <c r="O23" s="585"/>
      <c r="P23" s="310"/>
    </row>
    <row r="24" spans="1:20" x14ac:dyDescent="0.2">
      <c r="A24" s="503" t="s">
        <v>359</v>
      </c>
      <c r="B24" s="310">
        <v>11227</v>
      </c>
      <c r="C24" s="310">
        <v>11276</v>
      </c>
      <c r="D24" s="310">
        <v>13751</v>
      </c>
      <c r="E24" s="310">
        <v>12843</v>
      </c>
      <c r="F24" s="310">
        <v>12893</v>
      </c>
      <c r="G24" s="310">
        <v>13611</v>
      </c>
      <c r="H24" s="538">
        <v>14094</v>
      </c>
      <c r="I24" s="538">
        <v>14470</v>
      </c>
      <c r="J24" s="538">
        <v>14141</v>
      </c>
      <c r="K24" s="538">
        <v>18651</v>
      </c>
      <c r="L24" s="538">
        <v>22120</v>
      </c>
      <c r="M24" s="538">
        <v>18651</v>
      </c>
      <c r="N24" s="310">
        <v>25647</v>
      </c>
      <c r="O24" s="585"/>
      <c r="P24" s="503"/>
    </row>
    <row r="25" spans="1:20" x14ac:dyDescent="0.2">
      <c r="A25" s="503" t="s">
        <v>361</v>
      </c>
      <c r="B25" s="506">
        <f t="shared" ref="B25:G25" si="6">-B24</f>
        <v>-11227</v>
      </c>
      <c r="C25" s="506">
        <f t="shared" si="6"/>
        <v>-11276</v>
      </c>
      <c r="D25" s="506">
        <f t="shared" si="6"/>
        <v>-13751</v>
      </c>
      <c r="E25" s="506">
        <f t="shared" si="6"/>
        <v>-12843</v>
      </c>
      <c r="F25" s="506">
        <f t="shared" si="6"/>
        <v>-12893</v>
      </c>
      <c r="G25" s="506">
        <f t="shared" si="6"/>
        <v>-13611</v>
      </c>
      <c r="H25" s="538">
        <v>-14094</v>
      </c>
      <c r="I25" s="538">
        <f t="shared" ref="I25:N25" si="7">-I24</f>
        <v>-14470</v>
      </c>
      <c r="J25" s="538">
        <f t="shared" si="7"/>
        <v>-14141</v>
      </c>
      <c r="K25" s="538">
        <f t="shared" si="7"/>
        <v>-18651</v>
      </c>
      <c r="L25" s="538">
        <f t="shared" si="7"/>
        <v>-22120</v>
      </c>
      <c r="M25" s="538">
        <f t="shared" si="7"/>
        <v>-18651</v>
      </c>
      <c r="N25" s="310">
        <f t="shared" si="7"/>
        <v>-25647</v>
      </c>
      <c r="O25" s="585"/>
      <c r="P25" s="585"/>
    </row>
    <row r="26" spans="1:20" x14ac:dyDescent="0.2">
      <c r="A26" s="503" t="s">
        <v>362</v>
      </c>
      <c r="B26" s="536">
        <f t="shared" ref="B26:F26" si="8">SUM(B19:B25)</f>
        <v>1457732</v>
      </c>
      <c r="C26" s="536">
        <f t="shared" si="8"/>
        <v>1493516</v>
      </c>
      <c r="D26" s="536">
        <f t="shared" si="8"/>
        <v>1601764</v>
      </c>
      <c r="E26" s="536">
        <f t="shared" si="8"/>
        <v>1618467</v>
      </c>
      <c r="F26" s="536">
        <f t="shared" si="8"/>
        <v>1682732</v>
      </c>
      <c r="G26" s="536">
        <f t="shared" ref="G26:M26" si="9">SUM(G19:G25)</f>
        <v>1714412</v>
      </c>
      <c r="H26" s="536">
        <f t="shared" si="9"/>
        <v>1773082</v>
      </c>
      <c r="I26" s="536">
        <f t="shared" si="9"/>
        <v>1883703</v>
      </c>
      <c r="J26" s="536">
        <f t="shared" si="9"/>
        <v>1857072</v>
      </c>
      <c r="K26" s="536">
        <f t="shared" ref="K26:L26" si="10">SUM(K19:K25)</f>
        <v>1916914</v>
      </c>
      <c r="L26" s="536">
        <f t="shared" si="10"/>
        <v>2093489</v>
      </c>
      <c r="M26" s="536">
        <f t="shared" si="9"/>
        <v>2010779</v>
      </c>
      <c r="N26" s="536">
        <f t="shared" ref="N26" si="11">SUM(N19:N25)</f>
        <v>2109600</v>
      </c>
      <c r="O26" s="310"/>
      <c r="P26" s="310"/>
    </row>
    <row r="27" spans="1:20" x14ac:dyDescent="0.2">
      <c r="A27" s="503"/>
      <c r="B27" s="310"/>
      <c r="C27" s="310"/>
      <c r="D27" s="310"/>
      <c r="E27" s="310"/>
      <c r="F27" s="310"/>
      <c r="G27" s="310"/>
      <c r="H27" s="503"/>
      <c r="I27" s="503"/>
      <c r="J27" s="503"/>
      <c r="K27" s="503"/>
      <c r="L27" s="503"/>
      <c r="M27" s="503"/>
      <c r="N27" s="503"/>
      <c r="O27" s="503">
        <f>+M26-L26</f>
        <v>-82710</v>
      </c>
      <c r="P27" s="1153">
        <f>+O27/L26</f>
        <v>-3.9508208545638406E-2</v>
      </c>
    </row>
    <row r="28" spans="1:20" x14ac:dyDescent="0.2">
      <c r="A28" s="503" t="s">
        <v>363</v>
      </c>
      <c r="B28" s="310">
        <v>-85115</v>
      </c>
      <c r="C28" s="310">
        <v>-75855</v>
      </c>
      <c r="D28" s="310">
        <v>-74473</v>
      </c>
      <c r="E28" s="310">
        <v>-75976</v>
      </c>
      <c r="F28" s="506">
        <v>-98020</v>
      </c>
      <c r="G28" s="506">
        <v>-100906</v>
      </c>
      <c r="H28" s="310">
        <v>-97873</v>
      </c>
      <c r="I28" s="310">
        <v>-91871</v>
      </c>
      <c r="J28" s="310">
        <v>-94593</v>
      </c>
      <c r="K28" s="310">
        <v>-91919</v>
      </c>
      <c r="L28" s="310">
        <v>-77255</v>
      </c>
      <c r="M28" s="310">
        <v>-95793</v>
      </c>
      <c r="N28" s="310">
        <v>-104836</v>
      </c>
      <c r="O28" s="310"/>
      <c r="P28" s="310"/>
    </row>
    <row r="29" spans="1:20" x14ac:dyDescent="0.2">
      <c r="A29" s="503" t="s">
        <v>364</v>
      </c>
      <c r="B29" s="536">
        <f t="shared" ref="B29:F29" si="12">+B26+B28</f>
        <v>1372617</v>
      </c>
      <c r="C29" s="536">
        <f t="shared" si="12"/>
        <v>1417661</v>
      </c>
      <c r="D29" s="536">
        <f t="shared" si="12"/>
        <v>1527291</v>
      </c>
      <c r="E29" s="536">
        <f t="shared" si="12"/>
        <v>1542491</v>
      </c>
      <c r="F29" s="536">
        <f t="shared" si="12"/>
        <v>1584712</v>
      </c>
      <c r="G29" s="536">
        <f t="shared" ref="G29:L29" si="13">+G26+G28</f>
        <v>1613506</v>
      </c>
      <c r="H29" s="536">
        <f t="shared" si="13"/>
        <v>1675209</v>
      </c>
      <c r="I29" s="536">
        <f t="shared" si="13"/>
        <v>1791832</v>
      </c>
      <c r="J29" s="536">
        <f t="shared" si="13"/>
        <v>1762479</v>
      </c>
      <c r="K29" s="536">
        <f t="shared" ref="K29" si="14">+K26+K28</f>
        <v>1824995</v>
      </c>
      <c r="L29" s="536">
        <f t="shared" si="13"/>
        <v>2016234</v>
      </c>
      <c r="M29" s="536">
        <f>+M26+M28</f>
        <v>1914986</v>
      </c>
      <c r="N29" s="536">
        <f>+N26+N28</f>
        <v>2004764</v>
      </c>
      <c r="O29" s="310">
        <f>+N29-M29</f>
        <v>89778</v>
      </c>
      <c r="P29" s="310"/>
    </row>
    <row r="30" spans="1:20" x14ac:dyDescent="0.2">
      <c r="A30" s="503"/>
      <c r="B30" s="310"/>
      <c r="C30" s="310"/>
      <c r="D30" s="310"/>
      <c r="E30" s="310"/>
      <c r="F30" s="310"/>
      <c r="G30" s="310"/>
      <c r="H30" s="310"/>
      <c r="I30" s="310"/>
      <c r="J30" s="310"/>
      <c r="K30" s="310"/>
      <c r="L30" s="310"/>
      <c r="M30" s="310"/>
      <c r="N30" s="738"/>
      <c r="O30" s="310"/>
      <c r="P30" s="503"/>
    </row>
    <row r="31" spans="1:20" ht="15.75" x14ac:dyDescent="0.25">
      <c r="A31" s="534" t="s">
        <v>438</v>
      </c>
      <c r="B31" s="504" t="s">
        <v>281</v>
      </c>
      <c r="C31" s="504" t="s">
        <v>281</v>
      </c>
      <c r="D31" s="504" t="s">
        <v>281</v>
      </c>
      <c r="E31" s="504" t="s">
        <v>281</v>
      </c>
      <c r="F31" s="504" t="s">
        <v>281</v>
      </c>
      <c r="G31" s="504" t="s">
        <v>281</v>
      </c>
      <c r="H31" s="504" t="s">
        <v>281</v>
      </c>
      <c r="I31" s="504"/>
      <c r="J31" s="504"/>
      <c r="K31" s="504"/>
      <c r="L31" s="504"/>
      <c r="M31" s="504"/>
      <c r="N31" s="503"/>
      <c r="O31" s="503"/>
      <c r="P31" s="503"/>
      <c r="Q31" s="1075"/>
      <c r="R31" s="504"/>
      <c r="S31" s="504"/>
      <c r="T31" s="504"/>
    </row>
    <row r="32" spans="1:20" x14ac:dyDescent="0.2">
      <c r="A32" s="503" t="s">
        <v>367</v>
      </c>
      <c r="B32" s="310">
        <v>658373</v>
      </c>
      <c r="C32" s="310">
        <v>702847</v>
      </c>
      <c r="D32" s="310">
        <v>713101</v>
      </c>
      <c r="E32" s="310">
        <v>655337</v>
      </c>
      <c r="F32" s="310">
        <v>731218</v>
      </c>
      <c r="G32" s="310">
        <v>829212</v>
      </c>
      <c r="H32" s="310">
        <v>821525</v>
      </c>
      <c r="I32" s="310">
        <v>753028</v>
      </c>
      <c r="J32" s="310">
        <v>785960</v>
      </c>
      <c r="K32" s="310">
        <v>652500</v>
      </c>
      <c r="L32" s="310">
        <v>875000</v>
      </c>
      <c r="M32" s="310">
        <v>892500</v>
      </c>
      <c r="N32" s="503"/>
      <c r="O32" s="505"/>
      <c r="P32" s="503"/>
      <c r="R32" s="310"/>
      <c r="S32" s="310"/>
      <c r="T32" s="310"/>
    </row>
    <row r="33" spans="1:20" x14ac:dyDescent="0.2">
      <c r="A33" s="503" t="s">
        <v>369</v>
      </c>
      <c r="B33" s="310">
        <v>1511</v>
      </c>
      <c r="C33" s="310">
        <v>1598</v>
      </c>
      <c r="D33" s="310">
        <v>1718</v>
      </c>
      <c r="E33" s="310">
        <v>1000</v>
      </c>
      <c r="F33" s="310">
        <v>1951</v>
      </c>
      <c r="G33" s="310">
        <v>1376</v>
      </c>
      <c r="H33" s="310">
        <v>1816</v>
      </c>
      <c r="I33" s="310">
        <v>1463</v>
      </c>
      <c r="J33" s="310">
        <v>1362</v>
      </c>
      <c r="K33" s="310">
        <v>1000</v>
      </c>
      <c r="L33" s="310">
        <v>0</v>
      </c>
      <c r="M33" s="310"/>
      <c r="N33" s="503"/>
      <c r="O33" s="505"/>
      <c r="P33" s="503"/>
      <c r="R33" s="310"/>
      <c r="S33" s="310"/>
      <c r="T33" s="310"/>
    </row>
    <row r="34" spans="1:20" x14ac:dyDescent="0.2">
      <c r="A34" s="503" t="s">
        <v>370</v>
      </c>
      <c r="B34" s="310"/>
      <c r="C34" s="310"/>
      <c r="D34" s="310"/>
      <c r="E34" s="310"/>
      <c r="F34" s="310"/>
      <c r="G34" s="310"/>
      <c r="H34" s="310">
        <v>53850</v>
      </c>
      <c r="I34" s="310">
        <v>61187</v>
      </c>
      <c r="J34" s="310">
        <v>48185</v>
      </c>
      <c r="K34" s="310">
        <v>40000</v>
      </c>
      <c r="L34" s="310">
        <v>60000</v>
      </c>
      <c r="M34" s="310">
        <v>64000</v>
      </c>
      <c r="N34" s="503"/>
      <c r="O34" s="505"/>
      <c r="P34" s="503"/>
      <c r="R34" s="310"/>
      <c r="S34" s="310"/>
      <c r="T34" s="310"/>
    </row>
    <row r="35" spans="1:20" x14ac:dyDescent="0.2">
      <c r="A35" s="503" t="s">
        <v>372</v>
      </c>
      <c r="B35" s="310">
        <v>126219</v>
      </c>
      <c r="C35" s="310">
        <v>109239</v>
      </c>
      <c r="D35" s="310">
        <v>114129</v>
      </c>
      <c r="E35" s="310">
        <v>96000</v>
      </c>
      <c r="F35" s="310">
        <v>123780</v>
      </c>
      <c r="G35" s="310">
        <v>177628</v>
      </c>
      <c r="H35" s="310">
        <v>154148</v>
      </c>
      <c r="I35" s="310">
        <v>132315</v>
      </c>
      <c r="J35" s="310">
        <v>155020</v>
      </c>
      <c r="K35" s="310">
        <v>110000</v>
      </c>
      <c r="L35" s="310">
        <v>140000</v>
      </c>
      <c r="M35" s="310">
        <v>143000</v>
      </c>
      <c r="N35" s="503"/>
      <c r="O35" s="505"/>
      <c r="P35" s="503"/>
      <c r="R35" s="310"/>
      <c r="S35" s="310"/>
      <c r="T35" s="310"/>
    </row>
    <row r="36" spans="1:20" x14ac:dyDescent="0.2">
      <c r="A36" s="503" t="s">
        <v>374</v>
      </c>
      <c r="B36" s="310">
        <v>6840</v>
      </c>
      <c r="C36" s="310">
        <v>6192</v>
      </c>
      <c r="D36" s="310">
        <v>7392</v>
      </c>
      <c r="E36" s="310">
        <v>6500</v>
      </c>
      <c r="F36" s="310">
        <v>6576</v>
      </c>
      <c r="G36" s="310">
        <v>5388</v>
      </c>
      <c r="H36" s="310">
        <v>15040</v>
      </c>
      <c r="I36" s="310">
        <v>14976</v>
      </c>
      <c r="J36" s="310">
        <v>10999</v>
      </c>
      <c r="K36" s="310">
        <v>14000</v>
      </c>
      <c r="L36" s="310">
        <v>14000</v>
      </c>
      <c r="M36" s="310">
        <v>14000</v>
      </c>
      <c r="N36" s="503"/>
      <c r="O36" s="505"/>
      <c r="P36" s="503"/>
      <c r="R36" s="310"/>
      <c r="S36" s="310"/>
      <c r="T36" s="310"/>
    </row>
    <row r="37" spans="1:20" x14ac:dyDescent="0.2">
      <c r="A37" s="503" t="s">
        <v>375</v>
      </c>
      <c r="B37" s="310">
        <v>228738</v>
      </c>
      <c r="C37" s="310">
        <v>233722</v>
      </c>
      <c r="D37" s="310">
        <v>234878</v>
      </c>
      <c r="E37" s="310">
        <v>224500</v>
      </c>
      <c r="F37" s="310">
        <v>237475</v>
      </c>
      <c r="G37" s="310">
        <v>249708</v>
      </c>
      <c r="H37" s="310">
        <v>248504</v>
      </c>
      <c r="I37" s="310">
        <v>276907</v>
      </c>
      <c r="J37" s="310">
        <v>314699</v>
      </c>
      <c r="K37" s="310">
        <v>238000</v>
      </c>
      <c r="L37" s="310">
        <v>283000</v>
      </c>
      <c r="M37" s="310">
        <v>283000</v>
      </c>
      <c r="N37" s="503"/>
      <c r="O37" s="505"/>
      <c r="P37" s="503"/>
      <c r="R37" s="310"/>
      <c r="S37" s="310"/>
      <c r="T37" s="310"/>
    </row>
    <row r="38" spans="1:20" x14ac:dyDescent="0.2">
      <c r="A38" s="503" t="s">
        <v>439</v>
      </c>
      <c r="B38" s="310"/>
      <c r="C38" s="310"/>
      <c r="D38" s="310"/>
      <c r="E38" s="310"/>
      <c r="F38" s="310"/>
      <c r="G38" s="310">
        <v>45050</v>
      </c>
      <c r="H38" s="310">
        <v>77961</v>
      </c>
      <c r="I38" s="310">
        <v>79364</v>
      </c>
      <c r="J38" s="310">
        <v>80793</v>
      </c>
      <c r="K38" s="310">
        <v>82247</v>
      </c>
      <c r="L38" s="310">
        <v>83272</v>
      </c>
      <c r="M38" s="310">
        <f>+M97+1000</f>
        <v>86235</v>
      </c>
      <c r="N38" s="503"/>
      <c r="O38" s="505"/>
      <c r="P38" s="503"/>
      <c r="R38" s="310"/>
      <c r="S38" s="310"/>
      <c r="T38" s="310"/>
    </row>
    <row r="39" spans="1:20" x14ac:dyDescent="0.2">
      <c r="A39" s="503" t="s">
        <v>378</v>
      </c>
      <c r="B39" s="310">
        <v>66434</v>
      </c>
      <c r="C39" s="310">
        <v>78727</v>
      </c>
      <c r="D39" s="310">
        <v>71981</v>
      </c>
      <c r="E39" s="310">
        <v>53935</v>
      </c>
      <c r="F39" s="310">
        <v>72815</v>
      </c>
      <c r="G39" s="310">
        <v>78459</v>
      </c>
      <c r="H39" s="310">
        <v>85879</v>
      </c>
      <c r="I39" s="310">
        <v>60633</v>
      </c>
      <c r="J39" s="310">
        <v>90549</v>
      </c>
      <c r="K39" s="310">
        <v>54760</v>
      </c>
      <c r="L39" s="310">
        <v>60000</v>
      </c>
      <c r="M39" s="310">
        <v>61000</v>
      </c>
      <c r="N39" s="503"/>
      <c r="O39" s="505"/>
      <c r="P39" s="503"/>
      <c r="R39" s="310"/>
      <c r="S39" s="310"/>
      <c r="T39" s="310"/>
    </row>
    <row r="40" spans="1:20" x14ac:dyDescent="0.2">
      <c r="A40" s="503" t="s">
        <v>440</v>
      </c>
      <c r="B40" s="310"/>
      <c r="C40" s="310"/>
      <c r="D40" s="310"/>
      <c r="E40" s="310"/>
      <c r="F40" s="310"/>
      <c r="G40" s="310"/>
      <c r="H40" s="310"/>
      <c r="I40" s="310"/>
      <c r="J40" s="310"/>
      <c r="K40" s="310"/>
      <c r="L40" s="310">
        <v>128000</v>
      </c>
      <c r="M40" s="310">
        <v>131000</v>
      </c>
      <c r="N40" s="503"/>
      <c r="O40" s="505"/>
      <c r="P40" s="503"/>
      <c r="R40" s="310"/>
      <c r="S40" s="310"/>
      <c r="T40" s="310"/>
    </row>
    <row r="41" spans="1:20" x14ac:dyDescent="0.2">
      <c r="A41" s="503" t="s">
        <v>379</v>
      </c>
      <c r="B41" s="310">
        <v>121240</v>
      </c>
      <c r="C41" s="310">
        <v>109802</v>
      </c>
      <c r="D41" s="310">
        <v>157799</v>
      </c>
      <c r="E41" s="310">
        <v>121450</v>
      </c>
      <c r="F41" s="310">
        <v>193653</v>
      </c>
      <c r="G41" s="310">
        <v>217448</v>
      </c>
      <c r="H41" s="310">
        <v>184765</v>
      </c>
      <c r="I41" s="310">
        <v>149840</v>
      </c>
      <c r="J41" s="310">
        <v>186129</v>
      </c>
      <c r="K41" s="310">
        <v>125000</v>
      </c>
      <c r="L41" s="310">
        <v>44000</v>
      </c>
      <c r="M41" s="310">
        <v>49000</v>
      </c>
      <c r="N41" s="503"/>
      <c r="O41" s="505"/>
      <c r="P41" s="503"/>
      <c r="R41" s="310"/>
      <c r="S41" s="310"/>
      <c r="T41" s="310"/>
    </row>
    <row r="42" spans="1:20" x14ac:dyDescent="0.2">
      <c r="A42" s="503" t="s">
        <v>381</v>
      </c>
      <c r="B42" s="310">
        <v>32615</v>
      </c>
      <c r="C42" s="310">
        <v>54938</v>
      </c>
      <c r="D42" s="310">
        <v>33091</v>
      </c>
      <c r="E42" s="310">
        <v>20850</v>
      </c>
      <c r="F42" s="310">
        <v>23770</v>
      </c>
      <c r="G42" s="310">
        <v>19235</v>
      </c>
      <c r="H42" s="310">
        <v>25548</v>
      </c>
      <c r="I42" s="310">
        <v>22789</v>
      </c>
      <c r="J42" s="310">
        <v>21761</v>
      </c>
      <c r="K42" s="310">
        <v>16000</v>
      </c>
      <c r="L42" s="310">
        <v>15000</v>
      </c>
      <c r="M42" s="310">
        <v>16000</v>
      </c>
      <c r="N42" s="503"/>
      <c r="O42" s="505"/>
      <c r="P42" s="503"/>
      <c r="R42" s="310"/>
      <c r="S42" s="310"/>
      <c r="T42" s="310"/>
    </row>
    <row r="43" spans="1:20" x14ac:dyDescent="0.2">
      <c r="A43" s="503" t="s">
        <v>382</v>
      </c>
      <c r="B43" s="310">
        <v>5231</v>
      </c>
      <c r="C43" s="310">
        <v>3493</v>
      </c>
      <c r="D43" s="310">
        <v>4386</v>
      </c>
      <c r="E43" s="310">
        <v>3400</v>
      </c>
      <c r="F43" s="310">
        <v>8580</v>
      </c>
      <c r="G43" s="310">
        <v>13002</v>
      </c>
      <c r="H43" s="310">
        <v>28236</v>
      </c>
      <c r="I43" s="310">
        <v>24901</v>
      </c>
      <c r="J43" s="310">
        <v>2973</v>
      </c>
      <c r="K43" s="310">
        <v>2000</v>
      </c>
      <c r="L43" s="310">
        <v>1000</v>
      </c>
      <c r="M43" s="310">
        <v>1500</v>
      </c>
      <c r="N43" s="503"/>
      <c r="O43" s="505"/>
      <c r="P43" s="503"/>
      <c r="R43" s="310"/>
      <c r="S43" s="310"/>
      <c r="T43" s="310"/>
    </row>
    <row r="44" spans="1:20" hidden="1" x14ac:dyDescent="0.2">
      <c r="A44" s="503" t="s">
        <v>384</v>
      </c>
      <c r="B44" s="310">
        <v>43790</v>
      </c>
      <c r="C44" s="310">
        <v>40792</v>
      </c>
      <c r="D44" s="310">
        <v>31886</v>
      </c>
      <c r="E44" s="310"/>
      <c r="F44" s="310"/>
      <c r="G44" s="310"/>
      <c r="H44" s="310"/>
      <c r="I44" s="310"/>
      <c r="J44" s="310"/>
      <c r="K44" s="310"/>
      <c r="L44" s="310"/>
      <c r="M44" s="310"/>
      <c r="N44" s="503"/>
      <c r="O44" s="505"/>
      <c r="P44" s="503"/>
      <c r="R44" s="310"/>
      <c r="S44" s="310"/>
      <c r="T44" s="310"/>
    </row>
    <row r="45" spans="1:20" x14ac:dyDescent="0.2">
      <c r="A45" s="503" t="s">
        <v>385</v>
      </c>
      <c r="B45" s="310"/>
      <c r="C45" s="310"/>
      <c r="D45" s="310"/>
      <c r="E45" s="310"/>
      <c r="F45" s="310"/>
      <c r="G45" s="310"/>
      <c r="H45" s="310"/>
      <c r="I45" s="310"/>
      <c r="J45" s="310"/>
      <c r="K45" s="310"/>
      <c r="L45" s="310"/>
      <c r="M45" s="310"/>
      <c r="N45" s="503"/>
      <c r="O45" s="505"/>
      <c r="P45" s="503"/>
      <c r="R45" s="310"/>
      <c r="S45" s="310"/>
      <c r="T45" s="310"/>
    </row>
    <row r="46" spans="1:20" x14ac:dyDescent="0.2">
      <c r="A46" s="503" t="s">
        <v>386</v>
      </c>
      <c r="B46" s="310">
        <f>100676</f>
        <v>100676</v>
      </c>
      <c r="C46" s="310">
        <v>83047</v>
      </c>
      <c r="D46" s="310">
        <f>128245-D44</f>
        <v>96359</v>
      </c>
      <c r="E46" s="310">
        <f>145900</f>
        <v>145900</v>
      </c>
      <c r="F46" s="310">
        <f>151503</f>
        <v>151503</v>
      </c>
      <c r="G46" s="310">
        <f>143197-G51</f>
        <v>96325</v>
      </c>
      <c r="H46" s="310">
        <f>202200-H51-H52</f>
        <v>88144.62</v>
      </c>
      <c r="I46" s="310">
        <f>228474-I51-I52</f>
        <v>83989</v>
      </c>
      <c r="J46" s="310">
        <v>43844</v>
      </c>
      <c r="K46" s="310">
        <v>69668</v>
      </c>
      <c r="L46" s="310">
        <v>62000</v>
      </c>
      <c r="M46" s="310">
        <f>200530-M51-M52</f>
        <v>73030</v>
      </c>
      <c r="N46" s="503"/>
      <c r="O46" s="505"/>
      <c r="P46" s="503"/>
      <c r="R46" s="310"/>
      <c r="S46" s="310"/>
      <c r="T46" s="310"/>
    </row>
    <row r="47" spans="1:20" x14ac:dyDescent="0.2">
      <c r="A47" s="503" t="s">
        <v>387</v>
      </c>
      <c r="B47" s="506">
        <v>65897</v>
      </c>
      <c r="C47" s="506"/>
      <c r="D47" s="506"/>
      <c r="E47" s="506"/>
      <c r="F47" s="506"/>
      <c r="G47" s="506">
        <v>4683</v>
      </c>
      <c r="H47" s="506">
        <v>-54184</v>
      </c>
      <c r="I47" s="506">
        <v>6169</v>
      </c>
      <c r="J47" s="506">
        <v>22953</v>
      </c>
      <c r="K47" s="506"/>
      <c r="L47" s="506"/>
      <c r="M47" s="506"/>
      <c r="N47" s="503"/>
      <c r="O47" s="503"/>
      <c r="P47" s="503"/>
      <c r="R47" s="310"/>
      <c r="S47" s="310"/>
      <c r="T47" s="310"/>
    </row>
    <row r="48" spans="1:20" x14ac:dyDescent="0.2">
      <c r="A48" s="503" t="s">
        <v>388</v>
      </c>
      <c r="B48" s="536">
        <f t="shared" ref="B48:M48" si="15">SUM(B32:B47)</f>
        <v>1457564</v>
      </c>
      <c r="C48" s="536">
        <f t="shared" si="15"/>
        <v>1424397</v>
      </c>
      <c r="D48" s="536">
        <f t="shared" si="15"/>
        <v>1466720</v>
      </c>
      <c r="E48" s="536">
        <f t="shared" si="15"/>
        <v>1328872</v>
      </c>
      <c r="F48" s="536">
        <f t="shared" si="15"/>
        <v>1551321</v>
      </c>
      <c r="G48" s="536">
        <f t="shared" si="15"/>
        <v>1737514</v>
      </c>
      <c r="H48" s="536">
        <f t="shared" si="15"/>
        <v>1731232.62</v>
      </c>
      <c r="I48" s="536">
        <f t="shared" si="15"/>
        <v>1667561</v>
      </c>
      <c r="J48" s="536">
        <f t="shared" si="15"/>
        <v>1765227</v>
      </c>
      <c r="K48" s="536">
        <f t="shared" ref="K48" si="16">SUM(K32:K47)</f>
        <v>1405175</v>
      </c>
      <c r="L48" s="536">
        <f t="shared" ref="L48" si="17">SUM(L32:L47)</f>
        <v>1765272</v>
      </c>
      <c r="M48" s="536">
        <f t="shared" si="15"/>
        <v>1814265</v>
      </c>
      <c r="N48" s="737"/>
      <c r="O48" s="503"/>
      <c r="P48" s="503"/>
      <c r="R48" s="310"/>
      <c r="S48" s="310"/>
      <c r="T48" s="310"/>
    </row>
    <row r="49" spans="1:20" x14ac:dyDescent="0.2">
      <c r="A49" s="503"/>
      <c r="B49" s="310"/>
      <c r="C49" s="310"/>
      <c r="D49" s="310"/>
      <c r="E49" s="310"/>
      <c r="F49" s="310"/>
      <c r="G49" s="310"/>
      <c r="H49" s="310"/>
      <c r="I49" s="310"/>
      <c r="J49" s="310"/>
      <c r="K49" s="310"/>
      <c r="L49" s="310"/>
      <c r="M49" s="310"/>
      <c r="N49" s="537"/>
      <c r="O49" s="503"/>
      <c r="P49" s="503"/>
      <c r="R49" s="310"/>
      <c r="S49" s="310"/>
      <c r="T49" s="310"/>
    </row>
    <row r="50" spans="1:20" x14ac:dyDescent="0.2">
      <c r="A50" s="503" t="s">
        <v>389</v>
      </c>
      <c r="B50" s="310"/>
      <c r="C50" s="310"/>
      <c r="D50" s="310"/>
      <c r="E50" s="310"/>
      <c r="F50" s="310"/>
      <c r="G50" s="310"/>
      <c r="H50" s="310"/>
      <c r="I50" s="310"/>
      <c r="J50" s="310"/>
      <c r="K50" s="310"/>
      <c r="L50" s="310"/>
      <c r="M50" s="310"/>
      <c r="N50" s="537"/>
      <c r="O50" s="503"/>
      <c r="P50" s="503"/>
      <c r="R50" s="310"/>
      <c r="S50" s="310"/>
      <c r="T50" s="310"/>
    </row>
    <row r="51" spans="1:20" x14ac:dyDescent="0.2">
      <c r="A51" s="503" t="s">
        <v>390</v>
      </c>
      <c r="B51" s="310"/>
      <c r="C51" s="310"/>
      <c r="D51" s="310"/>
      <c r="E51" s="310"/>
      <c r="F51" s="310"/>
      <c r="G51" s="310">
        <v>46872</v>
      </c>
      <c r="H51" s="310">
        <v>76368</v>
      </c>
      <c r="I51" s="310">
        <v>81673</v>
      </c>
      <c r="J51" s="310">
        <v>73957</v>
      </c>
      <c r="K51" s="310">
        <v>77165</v>
      </c>
      <c r="L51" s="310">
        <v>77000</v>
      </c>
      <c r="M51" s="310">
        <v>77500</v>
      </c>
      <c r="N51" s="537"/>
      <c r="O51" s="505"/>
      <c r="P51" s="503"/>
      <c r="R51" s="310"/>
      <c r="S51" s="310"/>
      <c r="T51" s="310"/>
    </row>
    <row r="52" spans="1:20" x14ac:dyDescent="0.2">
      <c r="A52" s="503" t="s">
        <v>392</v>
      </c>
      <c r="B52" s="310"/>
      <c r="C52" s="310"/>
      <c r="D52" s="310"/>
      <c r="E52" s="310"/>
      <c r="F52" s="310"/>
      <c r="G52" s="310"/>
      <c r="H52" s="310">
        <v>37687.379999999997</v>
      </c>
      <c r="I52" s="310">
        <v>62812</v>
      </c>
      <c r="J52" s="310">
        <v>50250</v>
      </c>
      <c r="K52" s="310">
        <v>50250</v>
      </c>
      <c r="L52" s="310">
        <v>65000</v>
      </c>
      <c r="M52" s="310">
        <v>50000</v>
      </c>
      <c r="N52" s="537"/>
      <c r="O52" s="505"/>
      <c r="P52" s="503"/>
      <c r="R52" s="310"/>
      <c r="S52" s="310"/>
      <c r="T52" s="310"/>
    </row>
    <row r="53" spans="1:20" x14ac:dyDescent="0.2">
      <c r="A53" s="503" t="s">
        <v>393</v>
      </c>
      <c r="B53" s="310"/>
      <c r="C53" s="310"/>
      <c r="D53" s="310"/>
      <c r="E53" s="310"/>
      <c r="F53" s="310"/>
      <c r="G53" s="310"/>
      <c r="H53" s="310">
        <v>77961</v>
      </c>
      <c r="I53" s="310">
        <v>79364</v>
      </c>
      <c r="J53" s="310">
        <v>80793</v>
      </c>
      <c r="K53" s="310">
        <v>82247</v>
      </c>
      <c r="L53" s="310">
        <v>83728</v>
      </c>
      <c r="M53" s="310">
        <f>+M97</f>
        <v>85235</v>
      </c>
      <c r="N53" s="537"/>
      <c r="O53" s="505"/>
      <c r="P53" s="503"/>
      <c r="R53" s="310"/>
      <c r="S53" s="310"/>
      <c r="T53" s="310"/>
    </row>
    <row r="54" spans="1:20" ht="15.75" thickBot="1" x14ac:dyDescent="0.25">
      <c r="A54" s="503" t="s">
        <v>394</v>
      </c>
      <c r="B54" s="310"/>
      <c r="C54" s="310"/>
      <c r="D54" s="310"/>
      <c r="E54" s="310"/>
      <c r="F54" s="310"/>
      <c r="G54" s="507">
        <f t="shared" ref="G54:M54" si="18">SUM(G48:G53)</f>
        <v>1784386</v>
      </c>
      <c r="H54" s="507">
        <f t="shared" si="18"/>
        <v>1923249</v>
      </c>
      <c r="I54" s="507">
        <f t="shared" si="18"/>
        <v>1891410</v>
      </c>
      <c r="J54" s="507">
        <f t="shared" si="18"/>
        <v>1970227</v>
      </c>
      <c r="K54" s="507">
        <f t="shared" ref="K54" si="19">SUM(K48:K53)</f>
        <v>1614837</v>
      </c>
      <c r="L54" s="507">
        <f t="shared" si="18"/>
        <v>1991000</v>
      </c>
      <c r="M54" s="507">
        <f t="shared" si="18"/>
        <v>2027000</v>
      </c>
      <c r="N54" s="737">
        <f>+M54-L54</f>
        <v>36000</v>
      </c>
      <c r="O54" s="505">
        <f>+N54/L54</f>
        <v>1.808136614766449E-2</v>
      </c>
      <c r="P54" s="503"/>
      <c r="R54" s="310"/>
      <c r="S54" s="310"/>
      <c r="T54" s="310"/>
    </row>
    <row r="55" spans="1:20" ht="15.75" thickTop="1" x14ac:dyDescent="0.2">
      <c r="A55" s="503"/>
      <c r="B55" s="310"/>
      <c r="C55" s="310"/>
      <c r="D55" s="310"/>
      <c r="E55" s="310"/>
      <c r="F55" s="310"/>
      <c r="G55" s="310"/>
      <c r="H55" s="310"/>
      <c r="I55" s="310"/>
      <c r="J55" s="310"/>
      <c r="K55" s="310"/>
      <c r="L55" s="310"/>
      <c r="M55" s="310"/>
      <c r="N55" s="503"/>
      <c r="O55" s="503"/>
      <c r="P55" s="503"/>
    </row>
    <row r="56" spans="1:20" ht="15.75" x14ac:dyDescent="0.25">
      <c r="A56" s="534" t="s">
        <v>395</v>
      </c>
      <c r="B56" s="310"/>
      <c r="C56" s="310"/>
      <c r="D56" s="310"/>
      <c r="E56" s="310"/>
      <c r="F56" s="310"/>
      <c r="G56" s="310"/>
      <c r="H56" s="310"/>
      <c r="I56" s="310"/>
      <c r="J56" s="310"/>
      <c r="K56" s="310"/>
      <c r="L56" s="310"/>
      <c r="M56" s="310"/>
      <c r="N56" s="738"/>
      <c r="O56" s="1076"/>
      <c r="P56" s="503"/>
    </row>
    <row r="57" spans="1:20" x14ac:dyDescent="0.2">
      <c r="A57" s="503" t="s">
        <v>396</v>
      </c>
      <c r="B57" s="310">
        <v>19000</v>
      </c>
      <c r="C57" s="310"/>
      <c r="D57" s="310"/>
      <c r="E57" s="310"/>
      <c r="F57" s="310"/>
      <c r="G57" s="310"/>
      <c r="H57" s="310"/>
      <c r="I57" s="310"/>
      <c r="J57" s="310"/>
      <c r="K57" s="310"/>
      <c r="L57" s="310"/>
      <c r="M57" s="310"/>
      <c r="N57" s="503"/>
      <c r="O57" s="310"/>
      <c r="P57" s="503"/>
    </row>
    <row r="58" spans="1:20" x14ac:dyDescent="0.2">
      <c r="A58" s="503" t="s">
        <v>397</v>
      </c>
      <c r="B58" s="310"/>
      <c r="C58" s="310"/>
      <c r="D58" s="310"/>
      <c r="E58" s="310"/>
      <c r="F58" s="310"/>
      <c r="G58" s="310">
        <v>22850</v>
      </c>
      <c r="H58" s="310"/>
      <c r="I58" s="310"/>
      <c r="J58" s="310"/>
      <c r="K58" s="310"/>
      <c r="L58" s="310"/>
      <c r="M58" s="310">
        <f>12099</f>
        <v>12099</v>
      </c>
      <c r="N58" s="503"/>
      <c r="O58" s="310"/>
      <c r="P58" s="503"/>
    </row>
    <row r="59" spans="1:20" x14ac:dyDescent="0.2">
      <c r="A59" s="503" t="s">
        <v>398</v>
      </c>
      <c r="B59" s="310"/>
      <c r="C59" s="310"/>
      <c r="D59" s="310"/>
      <c r="E59" s="310"/>
      <c r="F59" s="310"/>
      <c r="G59" s="310"/>
      <c r="H59" s="310"/>
      <c r="I59" s="310"/>
      <c r="J59" s="310"/>
      <c r="K59" s="310">
        <v>250000</v>
      </c>
      <c r="L59" s="310">
        <v>225000</v>
      </c>
      <c r="M59" s="310">
        <v>300000</v>
      </c>
      <c r="N59" s="503"/>
      <c r="O59" s="310"/>
      <c r="P59" s="503"/>
    </row>
    <row r="60" spans="1:20" hidden="1" x14ac:dyDescent="0.2">
      <c r="A60" s="503" t="s">
        <v>441</v>
      </c>
      <c r="B60" s="310"/>
      <c r="C60" s="310"/>
      <c r="D60" s="310"/>
      <c r="E60" s="310"/>
      <c r="F60" s="310"/>
      <c r="G60" s="310"/>
      <c r="H60" s="310"/>
      <c r="I60" s="310"/>
      <c r="J60" s="310"/>
      <c r="K60" s="310"/>
      <c r="L60" s="310">
        <f>+'Working Budget with funding det'!Q245</f>
        <v>0</v>
      </c>
      <c r="M60" s="310"/>
      <c r="N60" s="503"/>
      <c r="O60" s="310"/>
      <c r="P60" s="503"/>
    </row>
    <row r="61" spans="1:20" ht="17.25" x14ac:dyDescent="0.35">
      <c r="A61" s="503" t="s">
        <v>400</v>
      </c>
      <c r="B61" s="310"/>
      <c r="C61" s="310"/>
      <c r="D61" s="310"/>
      <c r="E61" s="310"/>
      <c r="F61" s="310"/>
      <c r="G61" s="310"/>
      <c r="H61" s="310"/>
      <c r="I61" s="310"/>
      <c r="J61" s="310"/>
      <c r="K61" s="310">
        <v>56511</v>
      </c>
      <c r="L61" s="310"/>
      <c r="M61" s="310"/>
      <c r="N61" s="503"/>
      <c r="O61" s="1077"/>
      <c r="P61" s="503"/>
    </row>
    <row r="62" spans="1:20" x14ac:dyDescent="0.2">
      <c r="A62" s="503" t="s">
        <v>401</v>
      </c>
      <c r="B62" s="310">
        <v>24000</v>
      </c>
      <c r="C62" s="310"/>
      <c r="D62" s="310"/>
      <c r="E62" s="310"/>
      <c r="F62" s="310"/>
      <c r="G62" s="310"/>
      <c r="H62" s="310">
        <v>53465</v>
      </c>
      <c r="I62" s="310"/>
      <c r="J62" s="310"/>
      <c r="K62" s="310">
        <v>27262</v>
      </c>
      <c r="L62" s="310"/>
      <c r="M62" s="310"/>
      <c r="N62" s="503"/>
      <c r="O62" s="310"/>
      <c r="P62" s="503"/>
    </row>
    <row r="63" spans="1:20" x14ac:dyDescent="0.2">
      <c r="A63" s="503" t="s">
        <v>442</v>
      </c>
      <c r="B63" s="310"/>
      <c r="C63" s="310"/>
      <c r="D63" s="310"/>
      <c r="E63" s="310"/>
      <c r="F63" s="310"/>
      <c r="G63" s="310"/>
      <c r="H63" s="310"/>
      <c r="I63" s="310"/>
      <c r="J63" s="310"/>
      <c r="K63" s="310">
        <v>120050</v>
      </c>
      <c r="L63" s="310">
        <f>+'Working Budget with funding det'!O247+'Working Budget with funding det'!T195+'Working Budget with funding det'!T196</f>
        <v>173800</v>
      </c>
      <c r="M63" s="310">
        <v>0</v>
      </c>
      <c r="N63" s="503"/>
      <c r="O63" s="310"/>
      <c r="P63" s="503"/>
    </row>
    <row r="64" spans="1:20" x14ac:dyDescent="0.2">
      <c r="A64" s="503" t="s">
        <v>402</v>
      </c>
      <c r="B64" s="310"/>
      <c r="C64" s="310"/>
      <c r="D64" s="310"/>
      <c r="E64" s="310"/>
      <c r="F64" s="310">
        <v>132000</v>
      </c>
      <c r="G64" s="310"/>
      <c r="H64" s="310"/>
      <c r="I64" s="310"/>
      <c r="J64" s="310">
        <v>47</v>
      </c>
      <c r="K64" s="310">
        <v>60</v>
      </c>
      <c r="L64" s="310">
        <v>13</v>
      </c>
      <c r="M64" s="310">
        <v>0</v>
      </c>
      <c r="N64" s="503"/>
      <c r="O64" s="310"/>
      <c r="P64" s="503"/>
    </row>
    <row r="65" spans="1:16" hidden="1" x14ac:dyDescent="0.2">
      <c r="A65" s="503" t="s">
        <v>403</v>
      </c>
      <c r="B65" s="310"/>
      <c r="C65" s="310"/>
      <c r="D65" s="310"/>
      <c r="E65" s="310"/>
      <c r="F65" s="310">
        <v>44700</v>
      </c>
      <c r="G65" s="310"/>
      <c r="H65" s="310"/>
      <c r="I65" s="310"/>
      <c r="J65" s="310"/>
      <c r="K65" s="310"/>
      <c r="L65" s="310"/>
      <c r="M65" s="310"/>
      <c r="N65" s="503"/>
      <c r="O65" s="503"/>
      <c r="P65" s="503"/>
    </row>
    <row r="66" spans="1:16" hidden="1" x14ac:dyDescent="0.2">
      <c r="A66" s="503" t="s">
        <v>404</v>
      </c>
      <c r="B66" s="310">
        <v>12000</v>
      </c>
      <c r="C66" s="310">
        <v>274055</v>
      </c>
      <c r="D66" s="310">
        <v>113000</v>
      </c>
      <c r="E66" s="310">
        <v>136000</v>
      </c>
      <c r="F66" s="310">
        <f>+'Working Budget with funding det'!V259</f>
        <v>100000</v>
      </c>
      <c r="G66" s="310"/>
      <c r="H66" s="310"/>
      <c r="I66" s="310"/>
      <c r="J66" s="310"/>
      <c r="K66" s="310"/>
      <c r="L66" s="310"/>
      <c r="M66" s="310"/>
      <c r="N66" s="503"/>
      <c r="O66" s="310"/>
      <c r="P66" s="503"/>
    </row>
    <row r="67" spans="1:16" hidden="1" x14ac:dyDescent="0.2">
      <c r="A67" s="503" t="s">
        <v>405</v>
      </c>
      <c r="B67" s="310">
        <v>154182</v>
      </c>
      <c r="C67" s="310">
        <v>0</v>
      </c>
      <c r="D67" s="310"/>
      <c r="E67" s="310"/>
      <c r="F67" s="310"/>
      <c r="G67" s="310"/>
      <c r="H67" s="310"/>
      <c r="I67" s="310"/>
      <c r="J67" s="310"/>
      <c r="K67" s="310"/>
      <c r="L67" s="310"/>
      <c r="M67" s="310"/>
      <c r="N67" s="503"/>
      <c r="O67" s="681"/>
      <c r="P67" s="503"/>
    </row>
    <row r="68" spans="1:16" hidden="1" x14ac:dyDescent="0.2">
      <c r="A68" s="503" t="s">
        <v>443</v>
      </c>
      <c r="B68" s="310"/>
      <c r="C68" s="310"/>
      <c r="D68" s="310"/>
      <c r="E68" s="310"/>
      <c r="F68" s="310"/>
      <c r="G68" s="310"/>
      <c r="H68" s="310"/>
      <c r="I68" s="310"/>
      <c r="J68" s="310"/>
      <c r="K68" s="310"/>
      <c r="L68" s="310"/>
      <c r="M68" s="310"/>
      <c r="N68" s="503"/>
      <c r="O68" s="310"/>
      <c r="P68" s="503"/>
    </row>
    <row r="69" spans="1:16" hidden="1" x14ac:dyDescent="0.2">
      <c r="A69" s="503" t="s">
        <v>407</v>
      </c>
      <c r="B69" s="310"/>
      <c r="C69" s="310"/>
      <c r="D69" s="310">
        <v>15000</v>
      </c>
      <c r="E69" s="310">
        <v>0</v>
      </c>
      <c r="F69" s="310"/>
      <c r="G69" s="310"/>
      <c r="H69" s="310"/>
      <c r="I69" s="310"/>
      <c r="J69" s="310"/>
      <c r="K69" s="310"/>
      <c r="L69" s="310"/>
      <c r="M69" s="310"/>
      <c r="N69" s="503"/>
      <c r="O69" s="1070"/>
      <c r="P69" s="503"/>
    </row>
    <row r="70" spans="1:16" x14ac:dyDescent="0.2">
      <c r="A70" s="503" t="s">
        <v>444</v>
      </c>
      <c r="B70" s="310"/>
      <c r="C70" s="310"/>
      <c r="D70" s="310"/>
      <c r="E70" s="310"/>
      <c r="F70" s="310"/>
      <c r="G70" s="310"/>
      <c r="H70" s="310"/>
      <c r="I70" s="310"/>
      <c r="J70" s="310"/>
      <c r="K70" s="310"/>
      <c r="L70" s="310"/>
      <c r="M70" s="310">
        <v>250000</v>
      </c>
      <c r="N70" s="503"/>
      <c r="O70" s="1070"/>
      <c r="P70" s="503"/>
    </row>
    <row r="71" spans="1:16" x14ac:dyDescent="0.2">
      <c r="A71" s="503" t="s">
        <v>408</v>
      </c>
      <c r="B71" s="310">
        <v>89400</v>
      </c>
      <c r="C71" s="310">
        <f>+'Colle 228 183'!D30</f>
        <v>94215.84</v>
      </c>
      <c r="D71" s="310">
        <f>+'Colle 228 183'!I30</f>
        <v>84573.5</v>
      </c>
      <c r="E71" s="310">
        <v>80350</v>
      </c>
      <c r="F71" s="310">
        <v>102150</v>
      </c>
      <c r="G71" s="310">
        <v>97525</v>
      </c>
      <c r="H71" s="310">
        <f>+'Colle 228 183'!I30+150000</f>
        <v>234573.5</v>
      </c>
      <c r="I71" s="310">
        <v>95400</v>
      </c>
      <c r="J71" s="310">
        <v>79750</v>
      </c>
      <c r="K71" s="310">
        <v>67050</v>
      </c>
      <c r="L71" s="310">
        <v>49950</v>
      </c>
      <c r="M71" s="310">
        <f>+'Colle 228 183'!S30</f>
        <v>53250</v>
      </c>
      <c r="N71" s="503"/>
    </row>
    <row r="72" spans="1:16" x14ac:dyDescent="0.2">
      <c r="A72" s="503" t="s">
        <v>409</v>
      </c>
      <c r="B72" s="536">
        <f t="shared" ref="B72:M72" si="20">SUM(B57:B71)</f>
        <v>298582</v>
      </c>
      <c r="C72" s="536">
        <f t="shared" si="20"/>
        <v>368270.83999999997</v>
      </c>
      <c r="D72" s="536">
        <f t="shared" si="20"/>
        <v>212573.5</v>
      </c>
      <c r="E72" s="536">
        <f t="shared" si="20"/>
        <v>216350</v>
      </c>
      <c r="F72" s="536">
        <f t="shared" si="20"/>
        <v>378850</v>
      </c>
      <c r="G72" s="536">
        <f t="shared" si="20"/>
        <v>120375</v>
      </c>
      <c r="H72" s="536">
        <f t="shared" si="20"/>
        <v>288038.5</v>
      </c>
      <c r="I72" s="536">
        <f t="shared" si="20"/>
        <v>95400</v>
      </c>
      <c r="J72" s="536">
        <f t="shared" si="20"/>
        <v>79797</v>
      </c>
      <c r="K72" s="536">
        <f t="shared" si="20"/>
        <v>520933</v>
      </c>
      <c r="L72" s="536">
        <f t="shared" si="20"/>
        <v>448763</v>
      </c>
      <c r="M72" s="536">
        <f t="shared" si="20"/>
        <v>615349</v>
      </c>
      <c r="N72" s="503"/>
      <c r="O72" s="503"/>
      <c r="P72" s="503"/>
    </row>
    <row r="73" spans="1:16" ht="15.75" x14ac:dyDescent="0.25">
      <c r="A73" s="503"/>
      <c r="B73" s="201"/>
      <c r="C73" s="201"/>
      <c r="D73" s="310"/>
      <c r="E73" s="310"/>
      <c r="F73" s="310"/>
      <c r="G73" s="310"/>
      <c r="H73" s="310"/>
      <c r="I73" s="310"/>
      <c r="J73" s="310"/>
      <c r="K73" s="310"/>
      <c r="L73" s="310"/>
      <c r="M73" s="310"/>
      <c r="N73" s="503"/>
      <c r="O73" s="310"/>
      <c r="P73" s="503"/>
    </row>
    <row r="74" spans="1:16" ht="17.25" x14ac:dyDescent="0.35">
      <c r="A74" s="534" t="s">
        <v>410</v>
      </c>
      <c r="B74" s="201"/>
      <c r="C74" s="201"/>
      <c r="D74" s="310"/>
      <c r="E74" s="310"/>
      <c r="F74" s="310"/>
      <c r="G74" s="310"/>
      <c r="H74" s="310"/>
      <c r="I74" s="310"/>
      <c r="J74" s="310"/>
      <c r="K74" s="310"/>
      <c r="L74" s="310"/>
      <c r="M74" s="310"/>
      <c r="N74" s="503"/>
      <c r="O74" s="682"/>
      <c r="P74" s="503"/>
    </row>
    <row r="75" spans="1:16" x14ac:dyDescent="0.2">
      <c r="A75" s="503" t="s">
        <v>411</v>
      </c>
      <c r="B75" s="310"/>
      <c r="C75" s="310"/>
      <c r="D75" s="310"/>
      <c r="E75" s="310"/>
      <c r="F75" s="310"/>
      <c r="G75" s="310">
        <v>201000</v>
      </c>
      <c r="H75" s="310">
        <v>194000</v>
      </c>
      <c r="I75" s="310">
        <v>370044</v>
      </c>
      <c r="J75" s="310">
        <f>67260+504483</f>
        <v>571743</v>
      </c>
      <c r="K75" s="310">
        <v>283200</v>
      </c>
      <c r="L75" s="963">
        <v>251242</v>
      </c>
      <c r="M75" s="963">
        <v>300000</v>
      </c>
      <c r="N75" s="503"/>
      <c r="O75" s="310"/>
      <c r="P75" s="503"/>
    </row>
    <row r="76" spans="1:16" x14ac:dyDescent="0.2">
      <c r="A76" s="503" t="s">
        <v>412</v>
      </c>
      <c r="B76" s="506">
        <v>250000</v>
      </c>
      <c r="C76" s="506">
        <v>250000</v>
      </c>
      <c r="D76" s="506">
        <v>250000</v>
      </c>
      <c r="E76" s="506">
        <v>250000</v>
      </c>
      <c r="F76" s="506">
        <v>250000</v>
      </c>
      <c r="G76" s="506">
        <v>200000</v>
      </c>
      <c r="H76" s="506">
        <v>150000</v>
      </c>
      <c r="I76" s="506">
        <v>100000</v>
      </c>
      <c r="J76" s="506"/>
      <c r="K76" s="506"/>
      <c r="L76" s="506"/>
      <c r="M76" s="506"/>
      <c r="N76" s="503"/>
      <c r="O76" s="1070"/>
      <c r="P76" s="681"/>
    </row>
    <row r="77" spans="1:16" x14ac:dyDescent="0.2">
      <c r="A77" s="503" t="s">
        <v>413</v>
      </c>
      <c r="B77" s="536">
        <f t="shared" ref="B77:M77" si="21">SUM(B75:B76)</f>
        <v>250000</v>
      </c>
      <c r="C77" s="536">
        <f t="shared" si="21"/>
        <v>250000</v>
      </c>
      <c r="D77" s="536">
        <f t="shared" si="21"/>
        <v>250000</v>
      </c>
      <c r="E77" s="536">
        <f t="shared" si="21"/>
        <v>250000</v>
      </c>
      <c r="F77" s="536">
        <f t="shared" si="21"/>
        <v>250000</v>
      </c>
      <c r="G77" s="536">
        <f t="shared" si="21"/>
        <v>401000</v>
      </c>
      <c r="H77" s="536">
        <f t="shared" si="21"/>
        <v>344000</v>
      </c>
      <c r="I77" s="536">
        <f t="shared" si="21"/>
        <v>470044</v>
      </c>
      <c r="J77" s="536">
        <f t="shared" si="21"/>
        <v>571743</v>
      </c>
      <c r="K77" s="536">
        <f t="shared" ref="K77" si="22">SUM(K75:K76)</f>
        <v>283200</v>
      </c>
      <c r="L77" s="536">
        <f t="shared" ref="L77" si="23">SUM(L75:L76)</f>
        <v>251242</v>
      </c>
      <c r="M77" s="536">
        <f t="shared" si="21"/>
        <v>300000</v>
      </c>
      <c r="N77" s="503"/>
      <c r="O77" s="503"/>
      <c r="P77" s="681"/>
    </row>
    <row r="78" spans="1:16" x14ac:dyDescent="0.2">
      <c r="A78" s="503"/>
      <c r="B78" s="310">
        <f>+A78</f>
        <v>0</v>
      </c>
      <c r="C78" s="310">
        <f>+B78</f>
        <v>0</v>
      </c>
      <c r="D78" s="310">
        <f>+C78</f>
        <v>0</v>
      </c>
      <c r="E78" s="310">
        <f>+D78</f>
        <v>0</v>
      </c>
      <c r="F78" s="310">
        <f>+D78</f>
        <v>0</v>
      </c>
      <c r="G78" s="310">
        <f>+E78</f>
        <v>0</v>
      </c>
      <c r="H78" s="310">
        <f>+E78</f>
        <v>0</v>
      </c>
      <c r="I78" s="310"/>
      <c r="J78" s="310">
        <f>+F78</f>
        <v>0</v>
      </c>
      <c r="K78" s="310">
        <f>+G78</f>
        <v>0</v>
      </c>
      <c r="L78" s="310">
        <f>+D78</f>
        <v>0</v>
      </c>
      <c r="M78" s="310">
        <f>+G78</f>
        <v>0</v>
      </c>
      <c r="N78" s="503"/>
      <c r="O78" s="503"/>
      <c r="P78" s="681"/>
    </row>
    <row r="79" spans="1:16" ht="15.75" thickBot="1" x14ac:dyDescent="0.25">
      <c r="A79" s="503" t="s">
        <v>414</v>
      </c>
      <c r="B79" s="507">
        <f t="shared" ref="B79:J79" si="24">+B77+B72+B48+B29+B16</f>
        <v>16880330</v>
      </c>
      <c r="C79" s="507">
        <f t="shared" si="24"/>
        <v>17467389.84</v>
      </c>
      <c r="D79" s="507">
        <f t="shared" si="24"/>
        <v>17881047.5</v>
      </c>
      <c r="E79" s="507">
        <f t="shared" si="24"/>
        <v>18250855</v>
      </c>
      <c r="F79" s="507">
        <f t="shared" si="24"/>
        <v>19263541</v>
      </c>
      <c r="G79" s="507">
        <f t="shared" si="24"/>
        <v>20399308.969999999</v>
      </c>
      <c r="H79" s="507">
        <f t="shared" si="24"/>
        <v>21550511.120000001</v>
      </c>
      <c r="I79" s="507">
        <f t="shared" si="24"/>
        <v>22694319</v>
      </c>
      <c r="J79" s="507">
        <f t="shared" si="24"/>
        <v>23722891</v>
      </c>
      <c r="K79" s="507">
        <f>+K77+K72+K54+K29+K16</f>
        <v>24380496</v>
      </c>
      <c r="L79" s="507">
        <f>+L77+L72+L54+L29+L16</f>
        <v>25161237</v>
      </c>
      <c r="M79" s="507">
        <f>+M77+M72+M54+M29+M16</f>
        <v>26428204</v>
      </c>
      <c r="N79" s="503"/>
      <c r="O79" s="503"/>
      <c r="P79" s="681"/>
    </row>
    <row r="80" spans="1:16" ht="15.75" thickTop="1" x14ac:dyDescent="0.2">
      <c r="A80" s="503"/>
      <c r="B80" s="310"/>
      <c r="C80" s="310"/>
      <c r="D80" s="310"/>
      <c r="E80" s="310"/>
      <c r="F80" s="310"/>
      <c r="G80" s="310"/>
      <c r="H80" s="310"/>
      <c r="I80" s="310"/>
      <c r="J80" s="310"/>
      <c r="K80" s="310"/>
      <c r="L80" s="310"/>
      <c r="M80" s="310"/>
      <c r="N80" s="1078"/>
      <c r="O80" s="503"/>
      <c r="P80" s="681"/>
    </row>
    <row r="81" spans="1:16" x14ac:dyDescent="0.2">
      <c r="A81" s="503"/>
      <c r="B81" s="310"/>
      <c r="C81" s="310"/>
      <c r="D81" s="310"/>
      <c r="E81" s="310"/>
      <c r="F81" s="310"/>
      <c r="G81" s="310"/>
      <c r="H81" s="310"/>
      <c r="I81" s="310"/>
      <c r="J81" s="310"/>
      <c r="K81" s="310"/>
      <c r="L81" s="310"/>
      <c r="M81" s="1153"/>
      <c r="N81" s="1078"/>
      <c r="O81" s="503"/>
      <c r="P81" s="681"/>
    </row>
    <row r="82" spans="1:16" ht="15.75" x14ac:dyDescent="0.25">
      <c r="A82" s="534" t="s">
        <v>415</v>
      </c>
      <c r="B82" s="310"/>
      <c r="C82" s="310"/>
      <c r="D82" s="310"/>
      <c r="E82" s="310"/>
      <c r="F82" s="310"/>
      <c r="G82" s="310"/>
      <c r="H82" s="310"/>
      <c r="I82" s="310"/>
      <c r="J82" s="310"/>
      <c r="K82" s="310"/>
      <c r="L82" s="310"/>
      <c r="M82" s="310"/>
      <c r="N82" s="503"/>
      <c r="O82" s="503"/>
      <c r="P82" s="681"/>
    </row>
    <row r="83" spans="1:16" x14ac:dyDescent="0.2">
      <c r="A83" s="503" t="s">
        <v>416</v>
      </c>
      <c r="B83" s="310">
        <v>160000</v>
      </c>
      <c r="C83" s="310"/>
      <c r="D83" s="310">
        <v>400000</v>
      </c>
      <c r="E83" s="310">
        <v>1661764</v>
      </c>
      <c r="F83" s="310" t="e">
        <f>SUM(#REF!)</f>
        <v>#REF!</v>
      </c>
      <c r="G83" s="310"/>
      <c r="H83" s="310"/>
      <c r="I83" s="310"/>
      <c r="J83" s="310"/>
      <c r="K83" s="310"/>
      <c r="L83" s="310"/>
      <c r="M83" s="310"/>
      <c r="N83" s="503"/>
      <c r="O83" s="503"/>
      <c r="P83" s="681"/>
    </row>
    <row r="84" spans="1:16" x14ac:dyDescent="0.2">
      <c r="A84" s="503" t="s">
        <v>137</v>
      </c>
      <c r="B84" s="506"/>
      <c r="C84" s="506"/>
      <c r="D84" s="506"/>
      <c r="E84" s="506">
        <v>385000</v>
      </c>
      <c r="F84" s="506" t="e">
        <f>SUM(#REF!)</f>
        <v>#REF!</v>
      </c>
      <c r="G84" s="506">
        <v>385000</v>
      </c>
      <c r="H84" s="506">
        <v>521000</v>
      </c>
      <c r="I84" s="506"/>
      <c r="J84" s="506"/>
      <c r="K84" s="506"/>
      <c r="L84" s="506"/>
      <c r="M84" s="506">
        <f>+'Working Budget with funding det'!R244</f>
        <v>0</v>
      </c>
      <c r="N84" s="503"/>
      <c r="O84" s="503"/>
      <c r="P84" s="503"/>
    </row>
    <row r="85" spans="1:16" x14ac:dyDescent="0.2">
      <c r="A85" s="503" t="s">
        <v>417</v>
      </c>
      <c r="B85" s="310">
        <f t="shared" ref="B85:I85" si="25">SUM(B83:B84)</f>
        <v>160000</v>
      </c>
      <c r="C85" s="310">
        <f t="shared" si="25"/>
        <v>0</v>
      </c>
      <c r="D85" s="310">
        <f t="shared" si="25"/>
        <v>400000</v>
      </c>
      <c r="E85" s="310">
        <f t="shared" si="25"/>
        <v>2046764</v>
      </c>
      <c r="F85" s="310" t="e">
        <f t="shared" si="25"/>
        <v>#REF!</v>
      </c>
      <c r="G85" s="310">
        <f>SUM(G83:G84)</f>
        <v>385000</v>
      </c>
      <c r="H85" s="310">
        <f t="shared" si="25"/>
        <v>521000</v>
      </c>
      <c r="I85" s="310">
        <f t="shared" si="25"/>
        <v>0</v>
      </c>
      <c r="J85" s="310">
        <f>SUM(J83:J84)</f>
        <v>0</v>
      </c>
      <c r="K85" s="310">
        <f>SUM(K83:K84)</f>
        <v>0</v>
      </c>
      <c r="L85" s="310">
        <f>SUM(L83:L84)</f>
        <v>0</v>
      </c>
      <c r="M85" s="310">
        <f>SUM(M83:M84)</f>
        <v>0</v>
      </c>
      <c r="N85" s="503"/>
      <c r="O85" s="503"/>
      <c r="P85" s="503"/>
    </row>
    <row r="86" spans="1:16" x14ac:dyDescent="0.2">
      <c r="A86" s="525"/>
      <c r="B86" s="310"/>
      <c r="C86" s="310"/>
      <c r="D86" s="310"/>
      <c r="E86" s="310"/>
      <c r="F86" s="310"/>
      <c r="G86" s="310"/>
      <c r="H86" s="310"/>
      <c r="I86" s="310"/>
      <c r="J86" s="310"/>
      <c r="K86" s="310"/>
      <c r="L86" s="310"/>
      <c r="M86" s="310"/>
      <c r="N86" s="503"/>
      <c r="O86" s="503"/>
      <c r="P86" s="503"/>
    </row>
    <row r="87" spans="1:16" x14ac:dyDescent="0.2">
      <c r="A87" s="503" t="s">
        <v>418</v>
      </c>
      <c r="B87" s="310">
        <v>1693865</v>
      </c>
      <c r="C87" s="310">
        <v>1866887</v>
      </c>
      <c r="D87" s="310">
        <v>1687525</v>
      </c>
      <c r="E87" s="310">
        <v>1913646</v>
      </c>
      <c r="F87" s="310">
        <v>2250472</v>
      </c>
      <c r="G87" s="310">
        <v>2627714</v>
      </c>
      <c r="H87" s="310">
        <v>2241379</v>
      </c>
      <c r="I87" s="310">
        <v>2230727</v>
      </c>
      <c r="J87" s="310">
        <v>2404070</v>
      </c>
      <c r="K87" s="310">
        <v>2335742</v>
      </c>
      <c r="L87" s="310">
        <v>2605938</v>
      </c>
      <c r="M87" s="310">
        <f>+'Working Budget with funding det'!Y259-M89-M84-M60-M88</f>
        <v>2719305</v>
      </c>
      <c r="N87" s="503"/>
      <c r="O87" s="503"/>
      <c r="P87" s="503"/>
    </row>
    <row r="88" spans="1:16" x14ac:dyDescent="0.2">
      <c r="A88" s="503" t="s">
        <v>2466</v>
      </c>
      <c r="B88" s="310"/>
      <c r="C88" s="310"/>
      <c r="D88" s="310"/>
      <c r="E88" s="310"/>
      <c r="F88" s="310"/>
      <c r="G88" s="310"/>
      <c r="H88" s="310"/>
      <c r="I88" s="310"/>
      <c r="J88" s="310"/>
      <c r="K88" s="310"/>
      <c r="L88" s="310"/>
      <c r="M88" s="310">
        <v>50055</v>
      </c>
      <c r="N88" s="503"/>
      <c r="O88" s="503"/>
      <c r="P88" s="503"/>
    </row>
    <row r="89" spans="1:16" x14ac:dyDescent="0.2">
      <c r="A89" s="503" t="s">
        <v>445</v>
      </c>
      <c r="B89" s="310"/>
      <c r="C89" s="310"/>
      <c r="D89" s="310"/>
      <c r="E89" s="310"/>
      <c r="F89" s="310"/>
      <c r="G89" s="310"/>
      <c r="H89" s="310"/>
      <c r="I89" s="310"/>
      <c r="J89" s="310"/>
      <c r="K89" s="310">
        <v>180000</v>
      </c>
      <c r="L89" s="310"/>
      <c r="M89" s="310">
        <v>352364</v>
      </c>
      <c r="N89" s="503"/>
      <c r="O89" s="503"/>
      <c r="P89" s="503"/>
    </row>
    <row r="90" spans="1:16" x14ac:dyDescent="0.2">
      <c r="A90" s="503" t="s">
        <v>419</v>
      </c>
      <c r="B90" s="310">
        <v>31461</v>
      </c>
      <c r="C90" s="310">
        <v>33809</v>
      </c>
      <c r="D90" s="310">
        <v>27165</v>
      </c>
      <c r="E90" s="310">
        <v>30847</v>
      </c>
      <c r="F90" s="310">
        <v>31987</v>
      </c>
      <c r="G90" s="310">
        <v>33258</v>
      </c>
      <c r="H90" s="310">
        <v>36096</v>
      </c>
      <c r="I90" s="310">
        <v>46984</v>
      </c>
      <c r="J90" s="310">
        <v>59089</v>
      </c>
      <c r="K90" s="310">
        <v>206164</v>
      </c>
      <c r="L90" s="310">
        <v>316015</v>
      </c>
      <c r="M90" s="310">
        <f>+'Working Budget with funding det'!Z259</f>
        <v>426965</v>
      </c>
      <c r="N90" s="503"/>
      <c r="O90" s="503"/>
      <c r="P90" s="503"/>
    </row>
    <row r="91" spans="1:16" x14ac:dyDescent="0.2">
      <c r="A91" s="539"/>
      <c r="B91" s="310"/>
      <c r="C91" s="310"/>
      <c r="D91" s="310"/>
      <c r="E91" s="310"/>
      <c r="F91" s="310"/>
      <c r="G91" s="310"/>
      <c r="H91" s="310"/>
      <c r="I91" s="310"/>
      <c r="J91" s="310"/>
      <c r="K91" s="310"/>
      <c r="L91" s="310"/>
      <c r="M91" s="310"/>
      <c r="N91" s="503"/>
      <c r="O91" s="503"/>
      <c r="P91" s="503"/>
    </row>
    <row r="92" spans="1:16" ht="15.75" thickBot="1" x14ac:dyDescent="0.25">
      <c r="A92" s="503" t="s">
        <v>420</v>
      </c>
      <c r="B92" s="507">
        <f t="shared" ref="B92:I92" si="26">+B90+B87+B85+B79</f>
        <v>18765656</v>
      </c>
      <c r="C92" s="507">
        <f t="shared" si="26"/>
        <v>19368085.84</v>
      </c>
      <c r="D92" s="507">
        <f t="shared" si="26"/>
        <v>19995737.5</v>
      </c>
      <c r="E92" s="507">
        <f t="shared" si="26"/>
        <v>22242112</v>
      </c>
      <c r="F92" s="507" t="e">
        <f t="shared" si="26"/>
        <v>#REF!</v>
      </c>
      <c r="G92" s="507">
        <f>+G90+G87+G85+G79</f>
        <v>23445280.969999999</v>
      </c>
      <c r="H92" s="507">
        <f t="shared" si="26"/>
        <v>24348986.120000001</v>
      </c>
      <c r="I92" s="507">
        <f t="shared" si="26"/>
        <v>24972030</v>
      </c>
      <c r="J92" s="507">
        <f>+J90+J87+J85+J79</f>
        <v>26186050</v>
      </c>
      <c r="K92" s="507">
        <f>+K90+K87+K85+K79</f>
        <v>26922402</v>
      </c>
      <c r="L92" s="507">
        <f>+L90+L87+L85+L79+L89</f>
        <v>28083190</v>
      </c>
      <c r="M92" s="507">
        <f>+M90+M87+M85+M79+M89</f>
        <v>29926838</v>
      </c>
      <c r="N92" s="503"/>
      <c r="O92" s="503"/>
      <c r="P92" s="503"/>
    </row>
    <row r="93" spans="1:16" ht="15.75" thickTop="1" x14ac:dyDescent="0.2">
      <c r="A93" s="503"/>
      <c r="B93" s="310"/>
      <c r="C93" s="310"/>
      <c r="D93" s="310"/>
      <c r="E93" s="310"/>
      <c r="F93" s="310"/>
      <c r="G93" s="310"/>
      <c r="H93" s="310"/>
      <c r="I93" s="310"/>
      <c r="J93" s="310"/>
      <c r="K93" s="310"/>
      <c r="L93" s="310"/>
      <c r="M93" s="310"/>
      <c r="N93" s="503"/>
      <c r="O93" s="503"/>
      <c r="P93" s="503"/>
    </row>
    <row r="94" spans="1:16" x14ac:dyDescent="0.2">
      <c r="A94" s="512" t="s">
        <v>421</v>
      </c>
      <c r="B94" s="536"/>
      <c r="C94" s="536"/>
      <c r="D94" s="536"/>
      <c r="E94" s="536"/>
      <c r="F94" s="536"/>
      <c r="G94" s="536"/>
      <c r="H94" s="536"/>
      <c r="I94" s="536"/>
      <c r="J94" s="550"/>
      <c r="K94" s="550"/>
      <c r="L94" s="550"/>
      <c r="M94" s="536"/>
      <c r="N94" s="503"/>
      <c r="O94" s="503"/>
      <c r="P94" s="503"/>
    </row>
    <row r="95" spans="1:16" x14ac:dyDescent="0.2">
      <c r="A95" s="516" t="s">
        <v>193</v>
      </c>
      <c r="B95" s="310"/>
      <c r="C95" s="310"/>
      <c r="D95" s="310"/>
      <c r="E95" s="310"/>
      <c r="F95" s="310"/>
      <c r="G95" s="310"/>
      <c r="H95" s="310"/>
      <c r="I95" s="551">
        <v>158792</v>
      </c>
      <c r="J95" s="551">
        <v>161586</v>
      </c>
      <c r="K95" s="551">
        <v>164494</v>
      </c>
      <c r="L95" s="551">
        <v>167455</v>
      </c>
      <c r="M95" s="310">
        <f>+'Kearsarge Lease'!B11</f>
        <v>170469</v>
      </c>
      <c r="N95" s="503"/>
      <c r="O95" s="503"/>
      <c r="P95" s="503"/>
    </row>
    <row r="96" spans="1:16" x14ac:dyDescent="0.2">
      <c r="A96" s="516"/>
      <c r="B96" s="310"/>
      <c r="C96" s="310"/>
      <c r="D96" s="310"/>
      <c r="E96" s="310"/>
      <c r="F96" s="310"/>
      <c r="G96" s="310"/>
      <c r="H96" s="310"/>
      <c r="I96" s="551"/>
      <c r="J96" s="551"/>
      <c r="K96" s="551"/>
      <c r="L96" s="551"/>
      <c r="M96" s="310"/>
      <c r="N96" s="503"/>
      <c r="O96" s="503"/>
      <c r="P96" s="503"/>
    </row>
    <row r="97" spans="1:16" x14ac:dyDescent="0.2">
      <c r="A97" s="516" t="s">
        <v>422</v>
      </c>
      <c r="B97" s="310"/>
      <c r="C97" s="310"/>
      <c r="D97" s="310"/>
      <c r="E97" s="310"/>
      <c r="F97" s="310"/>
      <c r="G97" s="310"/>
      <c r="H97" s="310"/>
      <c r="I97" s="553">
        <f>ROUND((+I95/2),0)</f>
        <v>79396</v>
      </c>
      <c r="J97" s="553">
        <f>ROUND((+J95/2),0)</f>
        <v>80793</v>
      </c>
      <c r="K97" s="553">
        <f>ROUND((+K95/2),0)</f>
        <v>82247</v>
      </c>
      <c r="L97" s="553">
        <f>ROUND((+L95/2),0)</f>
        <v>83728</v>
      </c>
      <c r="M97" s="1071">
        <f>ROUND((+M95/2),0)</f>
        <v>85235</v>
      </c>
      <c r="N97" s="503"/>
      <c r="O97" s="503"/>
      <c r="P97" s="503"/>
    </row>
    <row r="98" spans="1:16" x14ac:dyDescent="0.2">
      <c r="A98" s="516" t="s">
        <v>423</v>
      </c>
      <c r="B98" s="310"/>
      <c r="C98" s="310"/>
      <c r="D98" s="310"/>
      <c r="E98" s="310"/>
      <c r="F98" s="310"/>
      <c r="G98" s="310"/>
      <c r="H98" s="310"/>
      <c r="I98" s="554">
        <f>+I97</f>
        <v>79396</v>
      </c>
      <c r="J98" s="554">
        <f>+J97</f>
        <v>80793</v>
      </c>
      <c r="K98" s="554">
        <f>+K97</f>
        <v>82247</v>
      </c>
      <c r="L98" s="554">
        <f>+L97</f>
        <v>83728</v>
      </c>
      <c r="M98" s="1072">
        <f>+M97</f>
        <v>85235</v>
      </c>
      <c r="N98" s="503"/>
      <c r="O98" s="503"/>
      <c r="P98" s="503"/>
    </row>
    <row r="99" spans="1:16" x14ac:dyDescent="0.2">
      <c r="A99" s="516"/>
      <c r="B99" s="310"/>
      <c r="C99" s="310"/>
      <c r="D99" s="310"/>
      <c r="E99" s="310"/>
      <c r="F99" s="310"/>
      <c r="G99" s="310"/>
      <c r="H99" s="310"/>
      <c r="I99" s="551"/>
      <c r="J99" s="551"/>
      <c r="K99" s="551"/>
      <c r="L99" s="551"/>
      <c r="M99" s="310"/>
      <c r="N99" s="503"/>
      <c r="O99" s="503"/>
      <c r="P99" s="503"/>
    </row>
    <row r="100" spans="1:16" x14ac:dyDescent="0.2">
      <c r="A100" s="516" t="s">
        <v>424</v>
      </c>
      <c r="B100" s="310"/>
      <c r="C100" s="310"/>
      <c r="D100" s="310"/>
      <c r="E100" s="310"/>
      <c r="F100" s="310"/>
      <c r="G100" s="310"/>
      <c r="H100" s="310"/>
      <c r="I100" s="553">
        <f>ROUND((+I97*0.485),0)</f>
        <v>38507</v>
      </c>
      <c r="J100" s="553">
        <f>ROUND((+J97*0.485),0)</f>
        <v>39185</v>
      </c>
      <c r="K100" s="553">
        <f>ROUND((+K97*0.485),0)</f>
        <v>39890</v>
      </c>
      <c r="L100" s="553">
        <f>ROUND((+L97*0.485),0)</f>
        <v>40608</v>
      </c>
      <c r="M100" s="1071">
        <f>ROUND((+M97*0.485),0)</f>
        <v>41339</v>
      </c>
      <c r="N100" s="503"/>
      <c r="O100" s="503"/>
      <c r="P100" s="503"/>
    </row>
    <row r="101" spans="1:16" x14ac:dyDescent="0.2">
      <c r="A101" s="516" t="s">
        <v>425</v>
      </c>
      <c r="B101" s="310"/>
      <c r="C101" s="310"/>
      <c r="D101" s="310"/>
      <c r="E101" s="310"/>
      <c r="F101" s="310"/>
      <c r="G101" s="310"/>
      <c r="H101" s="310"/>
      <c r="I101" s="555">
        <f>+I97-I100</f>
        <v>40889</v>
      </c>
      <c r="J101" s="555">
        <f>+J97-J100</f>
        <v>41608</v>
      </c>
      <c r="K101" s="555">
        <f>+K97-K100</f>
        <v>42357</v>
      </c>
      <c r="L101" s="555">
        <f>+L97-L100</f>
        <v>43120</v>
      </c>
      <c r="M101" s="1073">
        <f>+M97-M100</f>
        <v>43896</v>
      </c>
      <c r="N101" s="503"/>
      <c r="O101" s="503"/>
      <c r="P101" s="503"/>
    </row>
    <row r="102" spans="1:16" x14ac:dyDescent="0.2">
      <c r="A102" s="516"/>
      <c r="B102" s="310"/>
      <c r="C102" s="310"/>
      <c r="D102" s="310"/>
      <c r="E102" s="310"/>
      <c r="F102" s="310"/>
      <c r="G102" s="310"/>
      <c r="H102" s="310"/>
      <c r="I102" s="555"/>
      <c r="J102" s="555"/>
      <c r="K102" s="555"/>
      <c r="L102" s="555"/>
      <c r="M102" s="1073"/>
      <c r="N102" s="503"/>
      <c r="O102" s="503"/>
      <c r="P102" s="503"/>
    </row>
    <row r="103" spans="1:16" x14ac:dyDescent="0.2">
      <c r="A103" s="516" t="s">
        <v>426</v>
      </c>
      <c r="B103" s="310"/>
      <c r="C103" s="310"/>
      <c r="D103" s="310"/>
      <c r="E103" s="310"/>
      <c r="F103" s="310"/>
      <c r="G103" s="310"/>
      <c r="H103" s="310"/>
      <c r="I103" s="555">
        <f t="shared" ref="I103:M104" si="27">+I100</f>
        <v>38507</v>
      </c>
      <c r="J103" s="555">
        <f t="shared" si="27"/>
        <v>39185</v>
      </c>
      <c r="K103" s="555">
        <f t="shared" ref="K103" si="28">+K100</f>
        <v>39890</v>
      </c>
      <c r="L103" s="555">
        <f t="shared" ref="L103" si="29">+L100</f>
        <v>40608</v>
      </c>
      <c r="M103" s="1073">
        <f t="shared" si="27"/>
        <v>41339</v>
      </c>
      <c r="N103" s="503"/>
      <c r="O103" s="503"/>
      <c r="P103" s="503"/>
    </row>
    <row r="104" spans="1:16" x14ac:dyDescent="0.2">
      <c r="A104" s="516" t="s">
        <v>427</v>
      </c>
      <c r="B104" s="310"/>
      <c r="C104" s="310"/>
      <c r="D104" s="310"/>
      <c r="E104" s="310"/>
      <c r="F104" s="310"/>
      <c r="G104" s="310"/>
      <c r="H104" s="310"/>
      <c r="I104" s="554">
        <f t="shared" si="27"/>
        <v>40889</v>
      </c>
      <c r="J104" s="554">
        <f t="shared" si="27"/>
        <v>41608</v>
      </c>
      <c r="K104" s="554">
        <f t="shared" ref="K104" si="30">+K101</f>
        <v>42357</v>
      </c>
      <c r="L104" s="554">
        <f t="shared" ref="L104" si="31">+L101</f>
        <v>43120</v>
      </c>
      <c r="M104" s="1072">
        <f t="shared" si="27"/>
        <v>43896</v>
      </c>
      <c r="N104" s="503"/>
      <c r="O104" s="503"/>
      <c r="P104" s="503"/>
    </row>
    <row r="105" spans="1:16" x14ac:dyDescent="0.2">
      <c r="A105" s="516"/>
      <c r="B105" s="310"/>
      <c r="C105" s="310"/>
      <c r="D105" s="310"/>
      <c r="E105" s="310"/>
      <c r="F105" s="310"/>
      <c r="G105" s="310"/>
      <c r="H105" s="310"/>
      <c r="I105" s="551"/>
      <c r="J105" s="551"/>
      <c r="K105" s="551"/>
      <c r="L105" s="551"/>
      <c r="M105" s="310"/>
      <c r="N105" s="503"/>
      <c r="O105" s="503"/>
      <c r="P105" s="503"/>
    </row>
    <row r="106" spans="1:16" x14ac:dyDescent="0.2">
      <c r="A106" s="521" t="s">
        <v>428</v>
      </c>
      <c r="B106" s="506"/>
      <c r="C106" s="506"/>
      <c r="D106" s="506"/>
      <c r="E106" s="506"/>
      <c r="F106" s="506"/>
      <c r="G106" s="506"/>
      <c r="H106" s="506"/>
      <c r="I106" s="552">
        <f>SUM(I100:I104)</f>
        <v>158792</v>
      </c>
      <c r="J106" s="552">
        <f>SUM(J100:J104)</f>
        <v>161586</v>
      </c>
      <c r="K106" s="552">
        <f>SUM(K100:K104)</f>
        <v>164494</v>
      </c>
      <c r="L106" s="552">
        <f>SUM(L100:L104)</f>
        <v>167456</v>
      </c>
      <c r="M106" s="506">
        <f>SUM(M100:M104)</f>
        <v>170470</v>
      </c>
      <c r="N106" s="503"/>
      <c r="O106" s="503"/>
      <c r="P106" s="503"/>
    </row>
    <row r="107" spans="1:16" x14ac:dyDescent="0.2">
      <c r="A107" s="503"/>
      <c r="B107" s="310"/>
      <c r="C107" s="310"/>
      <c r="D107" s="310"/>
      <c r="E107" s="310"/>
      <c r="F107" s="310"/>
      <c r="G107" s="310"/>
      <c r="H107" s="310"/>
      <c r="I107" s="310"/>
      <c r="J107" s="310"/>
      <c r="K107" s="310"/>
      <c r="L107" s="310"/>
      <c r="M107" s="310"/>
      <c r="N107" s="503"/>
      <c r="O107" s="503"/>
      <c r="P107" s="503"/>
    </row>
    <row r="108" spans="1:16" x14ac:dyDescent="0.2">
      <c r="A108" s="503"/>
      <c r="B108" s="310"/>
      <c r="C108" s="310"/>
      <c r="D108" s="310"/>
      <c r="E108" s="310"/>
      <c r="F108" s="310"/>
      <c r="G108" s="310"/>
      <c r="H108" s="310"/>
      <c r="I108" s="310"/>
      <c r="J108" s="310"/>
      <c r="K108" s="310"/>
      <c r="L108" s="310"/>
      <c r="M108" s="310"/>
      <c r="N108" s="503"/>
      <c r="O108" s="503"/>
      <c r="P108" s="503"/>
    </row>
    <row r="109" spans="1:16" x14ac:dyDescent="0.2">
      <c r="P109" s="503"/>
    </row>
    <row r="110" spans="1:16" ht="157.5" customHeight="1" x14ac:dyDescent="0.2">
      <c r="A110" s="1161" t="s">
        <v>446</v>
      </c>
      <c r="B110" s="1161"/>
      <c r="C110" s="1161"/>
      <c r="D110" s="1161"/>
      <c r="E110" s="1161"/>
      <c r="F110" s="1161"/>
      <c r="G110" s="1161"/>
      <c r="H110" s="1161"/>
      <c r="I110" s="1161"/>
      <c r="J110" s="1161"/>
      <c r="K110" s="568"/>
      <c r="L110" s="568"/>
      <c r="M110" s="568"/>
    </row>
    <row r="125" spans="2:3" x14ac:dyDescent="0.2">
      <c r="B125" s="53"/>
      <c r="C125" s="53"/>
    </row>
    <row r="141" spans="2:3" x14ac:dyDescent="0.2">
      <c r="B141" s="53"/>
      <c r="C141" s="53"/>
    </row>
    <row r="150" spans="2:3" x14ac:dyDescent="0.2">
      <c r="B150" s="53"/>
      <c r="C150" s="53"/>
    </row>
    <row r="156" spans="2:3" x14ac:dyDescent="0.2">
      <c r="B156" s="53"/>
      <c r="C156" s="53"/>
    </row>
    <row r="165" spans="2:3" x14ac:dyDescent="0.2">
      <c r="B165" s="53"/>
      <c r="C165" s="53"/>
    </row>
    <row r="180" spans="2:3" x14ac:dyDescent="0.2">
      <c r="B180" s="53"/>
      <c r="C180" s="53"/>
    </row>
    <row r="191" spans="2:3" x14ac:dyDescent="0.2">
      <c r="B191" s="51"/>
      <c r="C191" s="51"/>
    </row>
  </sheetData>
  <mergeCells count="1">
    <mergeCell ref="A110:J110"/>
  </mergeCells>
  <phoneticPr fontId="0" type="noConversion"/>
  <hyperlinks>
    <hyperlink ref="A2" location="'Table of Contents'!A1" display="TOC" xr:uid="{00000000-0004-0000-0500-000000000000}"/>
  </hyperlinks>
  <pageMargins left="0.75" right="0.75" top="1" bottom="1" header="0.5" footer="0.5"/>
  <pageSetup scale="82" fitToHeight="0" orientation="portrait" r:id="rId1"/>
  <headerFooter alignWithMargins="0">
    <oddFooter>&amp;L&amp;D &amp;T&amp;C&amp;F&amp;R&amp;A  &amp;P</oddFooter>
  </headerFooter>
  <rowBreaks count="1" manualBreakCount="1">
    <brk id="49" min="9" max="12"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92D050"/>
  </sheetPr>
  <dimension ref="A1:AE10"/>
  <sheetViews>
    <sheetView workbookViewId="0">
      <selection sqref="A1:E10"/>
    </sheetView>
  </sheetViews>
  <sheetFormatPr defaultRowHeight="15.75" x14ac:dyDescent="0.25"/>
  <cols>
    <col min="1" max="1" width="28.5" style="859" customWidth="1"/>
    <col min="2" max="4" width="16.83203125" style="859" customWidth="1"/>
    <col min="5" max="31" width="8.83203125" style="859"/>
  </cols>
  <sheetData>
    <row r="1" spans="1:5" x14ac:dyDescent="0.25">
      <c r="B1" s="859" t="s">
        <v>275</v>
      </c>
      <c r="C1" s="859" t="s">
        <v>276</v>
      </c>
      <c r="D1" s="859" t="s">
        <v>277</v>
      </c>
      <c r="E1" s="859" t="s">
        <v>2127</v>
      </c>
    </row>
    <row r="2" spans="1:5" x14ac:dyDescent="0.25">
      <c r="B2" s="859" t="s">
        <v>281</v>
      </c>
      <c r="C2" s="859" t="s">
        <v>458</v>
      </c>
      <c r="D2" s="859" t="s">
        <v>458</v>
      </c>
      <c r="E2" s="859" t="s">
        <v>193</v>
      </c>
    </row>
    <row r="3" spans="1:5" x14ac:dyDescent="0.25">
      <c r="A3" s="859" t="s">
        <v>438</v>
      </c>
      <c r="E3" s="861"/>
    </row>
    <row r="4" spans="1:5" x14ac:dyDescent="0.25">
      <c r="A4" s="859" t="s">
        <v>2128</v>
      </c>
      <c r="B4" s="859">
        <f>+'Revenue Projections Detail'!J32+'Revenue Projections Detail'!J33+'Revenue Projections Detail'!J34</f>
        <v>835507</v>
      </c>
      <c r="C4" s="859">
        <f>+'Revenue Projections Detail'!L32+'Revenue Projections Detail'!L33+'Revenue Projections Detail'!L34</f>
        <v>935000</v>
      </c>
      <c r="D4" s="859">
        <f>+'Revenue Projections Detail'!M32+'Revenue Projections Detail'!M33+'Revenue Projections Detail'!M34</f>
        <v>956500</v>
      </c>
      <c r="E4" s="862">
        <f>ROUND((+D4/$D$10),3)+0.001</f>
        <v>0.505</v>
      </c>
    </row>
    <row r="5" spans="1:5" x14ac:dyDescent="0.25">
      <c r="A5" s="859" t="s">
        <v>2129</v>
      </c>
      <c r="B5" s="859">
        <f>+'Revenue Projections Detail'!J35+'Revenue Projections Detail'!J42</f>
        <v>176781</v>
      </c>
      <c r="C5" s="859">
        <f>+'Revenue Projections Detail'!L35+'Revenue Projections Detail'!L42</f>
        <v>155000</v>
      </c>
      <c r="D5" s="859">
        <f>+'Revenue Projections Detail'!M35+'Revenue Projections Detail'!M42</f>
        <v>159000</v>
      </c>
      <c r="E5" s="862">
        <f t="shared" ref="E5:E9" si="0">ROUND((+D5/$D$10),3)</f>
        <v>8.4000000000000005E-2</v>
      </c>
    </row>
    <row r="6" spans="1:5" x14ac:dyDescent="0.25">
      <c r="A6" s="859" t="s">
        <v>375</v>
      </c>
      <c r="B6" s="859">
        <f>+'Revenue Projections Detail'!J37</f>
        <v>314699</v>
      </c>
      <c r="C6" s="859">
        <f>+'Revenue Projections Detail'!L37</f>
        <v>283000</v>
      </c>
      <c r="D6" s="859">
        <f>+'Revenue Projections Detail'!M37</f>
        <v>283000</v>
      </c>
      <c r="E6" s="862">
        <f t="shared" si="0"/>
        <v>0.14899999999999999</v>
      </c>
    </row>
    <row r="7" spans="1:5" x14ac:dyDescent="0.25">
      <c r="A7" s="859" t="s">
        <v>2130</v>
      </c>
      <c r="B7" s="859">
        <f>+'Revenue Projections Detail'!J38</f>
        <v>80793</v>
      </c>
      <c r="C7" s="859">
        <f>+'Revenue Projections Detail'!L38</f>
        <v>83272</v>
      </c>
      <c r="D7" s="859">
        <f>+'Revenue Projections Detail'!M38</f>
        <v>86235</v>
      </c>
      <c r="E7" s="862">
        <f t="shared" si="0"/>
        <v>4.4999999999999998E-2</v>
      </c>
    </row>
    <row r="8" spans="1:5" x14ac:dyDescent="0.25">
      <c r="A8" s="859" t="s">
        <v>2131</v>
      </c>
      <c r="B8" s="859">
        <f>+'Revenue Projections Detail'!J51+'Revenue Projections Detail'!J52</f>
        <v>124207</v>
      </c>
      <c r="C8" s="859">
        <f>+'Revenue Projections Detail'!L51+'Revenue Projections Detail'!L52</f>
        <v>142000</v>
      </c>
      <c r="D8" s="859">
        <f>+'Revenue Projections Detail'!M51+'Revenue Projections Detail'!M52</f>
        <v>127500</v>
      </c>
      <c r="E8" s="862">
        <f t="shared" si="0"/>
        <v>6.7000000000000004E-2</v>
      </c>
    </row>
    <row r="9" spans="1:5" x14ac:dyDescent="0.25">
      <c r="A9" s="859" t="s">
        <v>2132</v>
      </c>
      <c r="B9" s="860">
        <f>+'Revenue Projections Detail'!J36+'Revenue Projections Detail'!J39+'Revenue Projections Detail'!J41+'Revenue Projections Detail'!J43+'Revenue Projections Detail'!J46+'Revenue Projections Detail'!J47+'Revenue Projections Detail'!J53</f>
        <v>438240</v>
      </c>
      <c r="C9" s="860">
        <f>+'Revenue Projections Detail'!L36+'Revenue Projections Detail'!L39+'Revenue Projections Detail'!L41+'Revenue Projections Detail'!L43+'Revenue Projections Detail'!L46+'Revenue Projections Detail'!L47+'Revenue Projections Detail'!L53</f>
        <v>264728</v>
      </c>
      <c r="D9" s="860">
        <f>+'Revenue Projections Detail'!M36+'Revenue Projections Detail'!M39+'Revenue Projections Detail'!M41+'Revenue Projections Detail'!M43+'Revenue Projections Detail'!M46+'Revenue Projections Detail'!M47+'Revenue Projections Detail'!M53</f>
        <v>283765</v>
      </c>
      <c r="E9" s="862">
        <f t="shared" si="0"/>
        <v>0.15</v>
      </c>
    </row>
    <row r="10" spans="1:5" x14ac:dyDescent="0.25">
      <c r="B10" s="859">
        <f t="shared" ref="B10" si="1">SUM(B3:B9)</f>
        <v>1970227</v>
      </c>
      <c r="C10" s="859">
        <f t="shared" ref="C10" si="2">SUM(C3:C9)</f>
        <v>1863000</v>
      </c>
      <c r="D10" s="859">
        <f t="shared" ref="D10" si="3">SUM(D3:D9)</f>
        <v>1896000</v>
      </c>
      <c r="E10" s="862">
        <f>SUM(E4:E9)</f>
        <v>1</v>
      </c>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I39"/>
  <sheetViews>
    <sheetView workbookViewId="0"/>
  </sheetViews>
  <sheetFormatPr defaultRowHeight="12.75" x14ac:dyDescent="0.2"/>
  <cols>
    <col min="1" max="1" width="8.83203125" style="783"/>
    <col min="2" max="2" width="17.6640625" customWidth="1"/>
    <col min="3" max="3" width="12.83203125" style="184" customWidth="1"/>
    <col min="8" max="8" width="8.83203125" style="853"/>
  </cols>
  <sheetData>
    <row r="2" spans="1:8" x14ac:dyDescent="0.2">
      <c r="A2" s="783" t="s">
        <v>2133</v>
      </c>
    </row>
    <row r="3" spans="1:8" x14ac:dyDescent="0.2">
      <c r="A3" s="783">
        <v>1</v>
      </c>
    </row>
    <row r="4" spans="1:8" x14ac:dyDescent="0.2">
      <c r="A4" s="783">
        <v>2</v>
      </c>
    </row>
    <row r="5" spans="1:8" x14ac:dyDescent="0.2">
      <c r="A5" s="783">
        <v>3</v>
      </c>
    </row>
    <row r="6" spans="1:8" x14ac:dyDescent="0.2">
      <c r="A6" s="783">
        <v>4</v>
      </c>
    </row>
    <row r="7" spans="1:8" x14ac:dyDescent="0.2">
      <c r="A7" s="783">
        <v>5</v>
      </c>
    </row>
    <row r="8" spans="1:8" x14ac:dyDescent="0.2">
      <c r="A8" s="783">
        <v>6</v>
      </c>
      <c r="B8" t="s">
        <v>787</v>
      </c>
      <c r="C8" s="184">
        <v>10527445</v>
      </c>
      <c r="D8" s="124">
        <f>ROUND((+C8/$C$39),4)</f>
        <v>0.4027</v>
      </c>
    </row>
    <row r="9" spans="1:8" x14ac:dyDescent="0.2">
      <c r="A9" s="783">
        <v>7</v>
      </c>
      <c r="B9" t="s">
        <v>137</v>
      </c>
      <c r="C9" s="184">
        <v>2449068</v>
      </c>
      <c r="D9" s="124">
        <f t="shared" ref="D9:D34" si="0">ROUND((+C9/$C$39),4)</f>
        <v>9.3700000000000006E-2</v>
      </c>
    </row>
    <row r="10" spans="1:8" x14ac:dyDescent="0.2">
      <c r="A10" s="783">
        <v>8</v>
      </c>
      <c r="B10" t="s">
        <v>129</v>
      </c>
      <c r="C10" s="184">
        <v>79750</v>
      </c>
      <c r="D10" s="124">
        <f t="shared" si="0"/>
        <v>3.0999999999999999E-3</v>
      </c>
    </row>
    <row r="11" spans="1:8" x14ac:dyDescent="0.2">
      <c r="A11" s="783">
        <v>9</v>
      </c>
      <c r="B11" t="s">
        <v>131</v>
      </c>
      <c r="C11" s="184">
        <v>55694</v>
      </c>
      <c r="D11" s="124">
        <f t="shared" si="0"/>
        <v>2.0999999999999999E-3</v>
      </c>
    </row>
    <row r="12" spans="1:8" x14ac:dyDescent="0.2">
      <c r="A12" s="783">
        <v>10</v>
      </c>
      <c r="B12" t="s">
        <v>683</v>
      </c>
      <c r="C12" s="184">
        <v>1255456</v>
      </c>
      <c r="D12" s="124">
        <f t="shared" si="0"/>
        <v>4.8000000000000001E-2</v>
      </c>
    </row>
    <row r="13" spans="1:8" x14ac:dyDescent="0.2">
      <c r="A13" s="783">
        <v>11</v>
      </c>
      <c r="B13" t="s">
        <v>580</v>
      </c>
      <c r="C13" s="184">
        <v>10732268</v>
      </c>
      <c r="D13" s="124">
        <f t="shared" si="0"/>
        <v>0.41060000000000002</v>
      </c>
    </row>
    <row r="14" spans="1:8" x14ac:dyDescent="0.2">
      <c r="A14" s="783">
        <v>12</v>
      </c>
      <c r="B14" t="s">
        <v>2134</v>
      </c>
      <c r="C14" s="184">
        <v>20000</v>
      </c>
      <c r="D14" s="124">
        <f t="shared" si="0"/>
        <v>8.0000000000000004E-4</v>
      </c>
    </row>
    <row r="15" spans="1:8" x14ac:dyDescent="0.2">
      <c r="A15" s="783">
        <v>13</v>
      </c>
      <c r="B15" t="s">
        <v>2135</v>
      </c>
      <c r="C15" s="184">
        <v>10000</v>
      </c>
      <c r="D15" s="124">
        <f t="shared" si="0"/>
        <v>4.0000000000000002E-4</v>
      </c>
      <c r="H15" s="853">
        <v>2449068</v>
      </c>
    </row>
    <row r="16" spans="1:8" x14ac:dyDescent="0.2">
      <c r="A16" s="783">
        <v>14</v>
      </c>
      <c r="B16" t="s">
        <v>719</v>
      </c>
      <c r="C16" s="184">
        <v>60000</v>
      </c>
      <c r="D16" s="124">
        <f t="shared" si="0"/>
        <v>2.3E-3</v>
      </c>
      <c r="H16" s="853">
        <v>191000</v>
      </c>
    </row>
    <row r="17" spans="1:9" x14ac:dyDescent="0.2">
      <c r="A17" s="783">
        <v>15</v>
      </c>
      <c r="B17" t="s">
        <v>2136</v>
      </c>
      <c r="C17" s="184">
        <v>60000</v>
      </c>
      <c r="D17" s="124">
        <f t="shared" si="0"/>
        <v>2.3E-3</v>
      </c>
      <c r="H17" s="853">
        <f>SUM(H15:H16)</f>
        <v>2640068</v>
      </c>
    </row>
    <row r="18" spans="1:9" x14ac:dyDescent="0.2">
      <c r="A18" s="783">
        <v>16</v>
      </c>
      <c r="B18" t="s">
        <v>2137</v>
      </c>
      <c r="C18" s="184">
        <v>21953</v>
      </c>
      <c r="D18" s="124">
        <f t="shared" si="0"/>
        <v>8.0000000000000004E-4</v>
      </c>
    </row>
    <row r="19" spans="1:9" x14ac:dyDescent="0.2">
      <c r="A19" s="783">
        <v>17</v>
      </c>
      <c r="C19" s="184">
        <v>16250</v>
      </c>
      <c r="D19" s="124">
        <f t="shared" si="0"/>
        <v>5.9999999999999995E-4</v>
      </c>
    </row>
    <row r="20" spans="1:9" x14ac:dyDescent="0.2">
      <c r="A20" s="783">
        <v>18</v>
      </c>
      <c r="C20" s="184">
        <v>51000</v>
      </c>
      <c r="D20" s="124">
        <f t="shared" si="0"/>
        <v>2E-3</v>
      </c>
      <c r="H20" s="853">
        <v>2228509</v>
      </c>
      <c r="I20" s="124">
        <f>ROUND((+H20/$H$17),4)</f>
        <v>0.84409999999999996</v>
      </c>
    </row>
    <row r="21" spans="1:9" x14ac:dyDescent="0.2">
      <c r="A21" s="783">
        <v>19</v>
      </c>
      <c r="C21" s="184">
        <v>100000</v>
      </c>
      <c r="D21" s="124">
        <f t="shared" si="0"/>
        <v>3.8E-3</v>
      </c>
      <c r="H21" s="853">
        <v>220559</v>
      </c>
      <c r="I21" s="124">
        <f t="shared" ref="I21:I24" si="1">ROUND((+H21/$H$17),4)</f>
        <v>8.3500000000000005E-2</v>
      </c>
    </row>
    <row r="22" spans="1:9" x14ac:dyDescent="0.2">
      <c r="A22" s="783">
        <v>20</v>
      </c>
      <c r="C22" s="184">
        <v>40000</v>
      </c>
      <c r="D22" s="124">
        <f t="shared" si="0"/>
        <v>1.5E-3</v>
      </c>
      <c r="H22" s="853">
        <v>51000</v>
      </c>
      <c r="I22" s="124">
        <f t="shared" si="1"/>
        <v>1.9300000000000001E-2</v>
      </c>
    </row>
    <row r="23" spans="1:9" x14ac:dyDescent="0.2">
      <c r="A23" s="783">
        <v>21</v>
      </c>
      <c r="C23" s="184">
        <v>80000</v>
      </c>
      <c r="D23" s="124">
        <f t="shared" si="0"/>
        <v>3.0999999999999999E-3</v>
      </c>
      <c r="H23" s="853">
        <v>124561</v>
      </c>
      <c r="I23" s="124">
        <f t="shared" si="1"/>
        <v>4.7199999999999999E-2</v>
      </c>
    </row>
    <row r="24" spans="1:9" x14ac:dyDescent="0.2">
      <c r="A24" s="783">
        <v>22</v>
      </c>
      <c r="C24" s="184">
        <v>50000</v>
      </c>
      <c r="D24" s="124">
        <f t="shared" si="0"/>
        <v>1.9E-3</v>
      </c>
      <c r="H24" s="853">
        <v>15439</v>
      </c>
      <c r="I24" s="124">
        <f t="shared" si="1"/>
        <v>5.7999999999999996E-3</v>
      </c>
    </row>
    <row r="25" spans="1:9" x14ac:dyDescent="0.2">
      <c r="A25" s="783">
        <v>23</v>
      </c>
      <c r="D25" s="124">
        <f t="shared" si="0"/>
        <v>0</v>
      </c>
      <c r="H25" s="853">
        <f>SUM(H20:H24)</f>
        <v>2640068</v>
      </c>
      <c r="I25" s="124">
        <f>SUM(I20:I24)</f>
        <v>0.99990000000000001</v>
      </c>
    </row>
    <row r="26" spans="1:9" x14ac:dyDescent="0.2">
      <c r="A26" s="783">
        <v>24</v>
      </c>
      <c r="C26" s="184">
        <v>37260</v>
      </c>
      <c r="D26" s="124">
        <f t="shared" si="0"/>
        <v>1.4E-3</v>
      </c>
    </row>
    <row r="27" spans="1:9" x14ac:dyDescent="0.2">
      <c r="A27" s="783">
        <v>25</v>
      </c>
      <c r="C27" s="184">
        <v>5000</v>
      </c>
      <c r="D27" s="124">
        <f t="shared" si="0"/>
        <v>2.0000000000000001E-4</v>
      </c>
    </row>
    <row r="28" spans="1:9" x14ac:dyDescent="0.2">
      <c r="A28" s="783">
        <v>26</v>
      </c>
      <c r="C28" s="184">
        <v>821</v>
      </c>
      <c r="D28" s="124">
        <f t="shared" si="0"/>
        <v>0</v>
      </c>
    </row>
    <row r="29" spans="1:9" x14ac:dyDescent="0.2">
      <c r="A29" s="783">
        <v>27</v>
      </c>
      <c r="C29" s="184">
        <v>39185</v>
      </c>
      <c r="D29" s="124">
        <f t="shared" si="0"/>
        <v>1.5E-3</v>
      </c>
    </row>
    <row r="30" spans="1:9" x14ac:dyDescent="0.2">
      <c r="A30" s="783">
        <v>28</v>
      </c>
      <c r="C30" s="184">
        <v>61507</v>
      </c>
      <c r="D30" s="124">
        <f t="shared" si="0"/>
        <v>2.3999999999999998E-3</v>
      </c>
    </row>
    <row r="31" spans="1:9" x14ac:dyDescent="0.2">
      <c r="A31" s="783">
        <v>29</v>
      </c>
      <c r="C31" s="184">
        <v>200259</v>
      </c>
      <c r="D31" s="124">
        <f t="shared" si="0"/>
        <v>7.7000000000000002E-3</v>
      </c>
    </row>
    <row r="32" spans="1:9" x14ac:dyDescent="0.2">
      <c r="A32" s="783">
        <v>30</v>
      </c>
      <c r="C32" s="184">
        <v>118000</v>
      </c>
      <c r="D32" s="124">
        <f t="shared" si="0"/>
        <v>4.4999999999999997E-3</v>
      </c>
    </row>
    <row r="33" spans="1:4" x14ac:dyDescent="0.2">
      <c r="A33" s="783">
        <v>31</v>
      </c>
      <c r="C33" s="184">
        <v>68000</v>
      </c>
      <c r="D33" s="124">
        <f t="shared" si="0"/>
        <v>2.5999999999999999E-3</v>
      </c>
    </row>
    <row r="34" spans="1:4" x14ac:dyDescent="0.2">
      <c r="A34" s="783">
        <v>32</v>
      </c>
      <c r="D34" s="124">
        <f t="shared" si="0"/>
        <v>0</v>
      </c>
    </row>
    <row r="35" spans="1:4" x14ac:dyDescent="0.2">
      <c r="A35" s="783">
        <v>33</v>
      </c>
    </row>
    <row r="36" spans="1:4" x14ac:dyDescent="0.2">
      <c r="A36" s="783">
        <v>34</v>
      </c>
    </row>
    <row r="37" spans="1:4" x14ac:dyDescent="0.2">
      <c r="A37" s="783">
        <v>35</v>
      </c>
    </row>
    <row r="38" spans="1:4" x14ac:dyDescent="0.2">
      <c r="A38" s="783">
        <v>36</v>
      </c>
    </row>
    <row r="39" spans="1:4" x14ac:dyDescent="0.2">
      <c r="C39" s="184">
        <f>SUM(C8:C38)</f>
        <v>26138916</v>
      </c>
      <c r="D39" s="124">
        <f>SUM(D8:D38)</f>
        <v>1</v>
      </c>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EE134-8F9D-4CBD-AECD-0DEE626050A1}">
  <sheetPr>
    <tabColor rgb="FF92D050"/>
  </sheetPr>
  <dimension ref="A1:E89"/>
  <sheetViews>
    <sheetView topLeftCell="A64" workbookViewId="0">
      <selection activeCell="G64" sqref="G64"/>
    </sheetView>
  </sheetViews>
  <sheetFormatPr defaultRowHeight="12.75" x14ac:dyDescent="0.2"/>
  <cols>
    <col min="1" max="1" width="41.1640625" style="1046" customWidth="1"/>
    <col min="2" max="4" width="14.83203125" style="1049" customWidth="1"/>
  </cols>
  <sheetData>
    <row r="1" spans="1:4" x14ac:dyDescent="0.2">
      <c r="A1" s="1046" t="s">
        <v>2138</v>
      </c>
      <c r="B1" s="1049" t="s">
        <v>2139</v>
      </c>
    </row>
    <row r="2" spans="1:4" x14ac:dyDescent="0.2">
      <c r="B2" s="1049" t="s">
        <v>2140</v>
      </c>
    </row>
    <row r="3" spans="1:4" x14ac:dyDescent="0.2">
      <c r="A3" s="1046" t="s">
        <v>2141</v>
      </c>
      <c r="B3" s="1051" t="s">
        <v>276</v>
      </c>
      <c r="C3" s="1051" t="s">
        <v>277</v>
      </c>
      <c r="D3" s="1051" t="s">
        <v>843</v>
      </c>
    </row>
    <row r="5" spans="1:4" x14ac:dyDescent="0.2">
      <c r="A5" s="1047" t="s">
        <v>433</v>
      </c>
    </row>
    <row r="6" spans="1:4" x14ac:dyDescent="0.2">
      <c r="A6" s="1046" t="s">
        <v>341</v>
      </c>
      <c r="B6" s="1049">
        <v>19037452</v>
      </c>
      <c r="C6" s="1049">
        <f>+'Revenue Projections Detail'!M8</f>
        <v>21041319</v>
      </c>
      <c r="D6" s="1049">
        <f>+C6-B6</f>
        <v>2003867</v>
      </c>
    </row>
    <row r="7" spans="1:4" x14ac:dyDescent="0.2">
      <c r="A7" s="1048">
        <v>2.5000000000000001E-2</v>
      </c>
      <c r="B7" s="1049">
        <v>475936</v>
      </c>
      <c r="C7" s="1049">
        <f>+'Revenue Projections Detail'!M9</f>
        <v>526033</v>
      </c>
      <c r="D7" s="1049">
        <f t="shared" ref="D7:D10" si="0">+C7-B7</f>
        <v>50097</v>
      </c>
    </row>
    <row r="8" spans="1:4" x14ac:dyDescent="0.2">
      <c r="A8" s="1046" t="s">
        <v>342</v>
      </c>
      <c r="B8" s="1049">
        <v>150000</v>
      </c>
      <c r="C8" s="1049">
        <f>+'Revenue Projections Detail'!M10</f>
        <v>75000</v>
      </c>
      <c r="D8" s="1049">
        <f t="shared" si="0"/>
        <v>-75000</v>
      </c>
    </row>
    <row r="9" spans="1:4" x14ac:dyDescent="0.2">
      <c r="A9" s="1046" t="s">
        <v>148</v>
      </c>
      <c r="B9" s="1049">
        <v>1156948</v>
      </c>
      <c r="C9" s="1049">
        <f>+'Revenue Projections Detail'!M11</f>
        <v>1179061</v>
      </c>
      <c r="D9" s="1049">
        <f t="shared" si="0"/>
        <v>22113</v>
      </c>
    </row>
    <row r="10" spans="1:4" ht="15" x14ac:dyDescent="0.35">
      <c r="A10" s="1046" t="s">
        <v>434</v>
      </c>
      <c r="B10" s="1050">
        <v>-500000</v>
      </c>
      <c r="C10" s="1050">
        <f>+'Revenue Projections Detail'!M12</f>
        <v>-1149544</v>
      </c>
      <c r="D10" s="1052">
        <f t="shared" si="0"/>
        <v>-649544</v>
      </c>
    </row>
    <row r="11" spans="1:4" x14ac:dyDescent="0.2">
      <c r="A11" s="1046" t="s">
        <v>345</v>
      </c>
      <c r="B11" s="1049">
        <f>SUM(B6:B10)</f>
        <v>20320336</v>
      </c>
      <c r="C11" s="1049">
        <f>SUM(C6:C10)</f>
        <v>21671869</v>
      </c>
      <c r="D11" s="1049">
        <f>SUM(D6:D10)</f>
        <v>1351533</v>
      </c>
    </row>
    <row r="13" spans="1:4" ht="15" x14ac:dyDescent="0.35">
      <c r="A13" s="1046" t="s">
        <v>346</v>
      </c>
      <c r="B13" s="1050">
        <v>-150000</v>
      </c>
      <c r="C13" s="1050">
        <f>+'Revenue Projections Detail'!M15</f>
        <v>-101000</v>
      </c>
      <c r="D13" s="1052">
        <f t="shared" ref="D13" si="1">+C13-B13</f>
        <v>49000</v>
      </c>
    </row>
    <row r="14" spans="1:4" x14ac:dyDescent="0.2">
      <c r="A14" s="1046" t="s">
        <v>348</v>
      </c>
      <c r="B14" s="1049">
        <f>SUM(B11:B13)</f>
        <v>20170336</v>
      </c>
      <c r="C14" s="1049">
        <f>SUM(C11:C13)</f>
        <v>21570869</v>
      </c>
      <c r="D14" s="1049">
        <f>SUM(D11:D13)</f>
        <v>1400533</v>
      </c>
    </row>
    <row r="16" spans="1:4" x14ac:dyDescent="0.2">
      <c r="A16" s="1047" t="s">
        <v>435</v>
      </c>
      <c r="C16" s="1049" t="str">
        <f>+'Revenue Projections Detail'!M18</f>
        <v>Est</v>
      </c>
    </row>
    <row r="17" spans="1:4" x14ac:dyDescent="0.2">
      <c r="A17" s="1046" t="s">
        <v>351</v>
      </c>
      <c r="B17" s="1049">
        <v>1575096</v>
      </c>
      <c r="C17" s="1049">
        <f>+'Revenue Projections Detail'!M19</f>
        <v>1649976</v>
      </c>
      <c r="D17" s="1049">
        <f t="shared" ref="D17:D22" si="2">+C17-B17</f>
        <v>74880</v>
      </c>
    </row>
    <row r="18" spans="1:4" x14ac:dyDescent="0.2">
      <c r="A18" s="1046" t="s">
        <v>354</v>
      </c>
      <c r="B18" s="1049">
        <v>51188</v>
      </c>
      <c r="C18" s="1049">
        <f>+'Revenue Projections Detail'!M20</f>
        <v>66176</v>
      </c>
      <c r="D18" s="1049">
        <f t="shared" si="2"/>
        <v>14988</v>
      </c>
    </row>
    <row r="19" spans="1:4" x14ac:dyDescent="0.2">
      <c r="A19" s="1046" t="s">
        <v>356</v>
      </c>
      <c r="B19" s="1049">
        <v>36914</v>
      </c>
      <c r="C19" s="1049">
        <f>+'Revenue Projections Detail'!M21</f>
        <v>36734</v>
      </c>
      <c r="D19" s="1049">
        <f t="shared" si="2"/>
        <v>-180</v>
      </c>
    </row>
    <row r="20" spans="1:4" x14ac:dyDescent="0.2">
      <c r="A20" s="1046" t="s">
        <v>358</v>
      </c>
      <c r="B20" s="1049">
        <v>224065</v>
      </c>
      <c r="C20" s="1049">
        <f>+'Revenue Projections Detail'!M22</f>
        <v>257893</v>
      </c>
      <c r="D20" s="1049">
        <f t="shared" si="2"/>
        <v>33828</v>
      </c>
    </row>
    <row r="21" spans="1:4" x14ac:dyDescent="0.2">
      <c r="A21" s="1046" t="s">
        <v>359</v>
      </c>
      <c r="B21" s="1049">
        <v>16993</v>
      </c>
      <c r="C21" s="1049">
        <f>+'Revenue Projections Detail'!M24</f>
        <v>18651</v>
      </c>
      <c r="D21" s="1049">
        <f t="shared" si="2"/>
        <v>1658</v>
      </c>
    </row>
    <row r="22" spans="1:4" ht="15" x14ac:dyDescent="0.35">
      <c r="A22" s="1046" t="s">
        <v>361</v>
      </c>
      <c r="B22" s="1050">
        <f>-B21</f>
        <v>-16993</v>
      </c>
      <c r="C22" s="1050">
        <f>+'Revenue Projections Detail'!M25</f>
        <v>-18651</v>
      </c>
      <c r="D22" s="1052">
        <f t="shared" si="2"/>
        <v>-1658</v>
      </c>
    </row>
    <row r="23" spans="1:4" x14ac:dyDescent="0.2">
      <c r="A23" s="1046" t="s">
        <v>362</v>
      </c>
      <c r="B23" s="1049">
        <f>SUM(B17:B22)</f>
        <v>1887263</v>
      </c>
      <c r="C23" s="1049">
        <f>SUM(C17:C22)</f>
        <v>2010779</v>
      </c>
      <c r="D23" s="1049">
        <f>SUM(D17:D22)</f>
        <v>123516</v>
      </c>
    </row>
    <row r="25" spans="1:4" ht="15" x14ac:dyDescent="0.35">
      <c r="A25" s="1046" t="s">
        <v>363</v>
      </c>
      <c r="B25" s="1050">
        <v>-91919</v>
      </c>
      <c r="C25" s="1050">
        <f>+'Revenue Projections Detail'!M28</f>
        <v>-95793</v>
      </c>
      <c r="D25" s="1052">
        <f t="shared" ref="D25" si="3">+C25-B25</f>
        <v>-3874</v>
      </c>
    </row>
    <row r="26" spans="1:4" x14ac:dyDescent="0.2">
      <c r="A26" s="1046" t="s">
        <v>364</v>
      </c>
      <c r="B26" s="1049">
        <f>SUM(B23:B25)</f>
        <v>1795344</v>
      </c>
      <c r="C26" s="1049">
        <f>SUM(C23:C25)</f>
        <v>1914986</v>
      </c>
      <c r="D26" s="1049">
        <f>SUM(D23:D25)</f>
        <v>119642</v>
      </c>
    </row>
    <row r="28" spans="1:4" x14ac:dyDescent="0.2">
      <c r="A28" s="1047" t="s">
        <v>438</v>
      </c>
    </row>
    <row r="29" spans="1:4" x14ac:dyDescent="0.2">
      <c r="A29" s="1046" t="s">
        <v>367</v>
      </c>
      <c r="B29" s="1049">
        <v>647500</v>
      </c>
      <c r="C29" s="1049">
        <f>+'Revenue Projections Detail'!M32</f>
        <v>892500</v>
      </c>
      <c r="D29" s="1049">
        <f t="shared" ref="D29:D40" si="4">+C29-B29</f>
        <v>245000</v>
      </c>
    </row>
    <row r="30" spans="1:4" x14ac:dyDescent="0.2">
      <c r="A30" s="1046" t="s">
        <v>369</v>
      </c>
      <c r="B30" s="1049">
        <v>1000</v>
      </c>
      <c r="C30" s="1049">
        <f>+'Revenue Projections Detail'!M33</f>
        <v>0</v>
      </c>
      <c r="D30" s="1049">
        <f t="shared" si="4"/>
        <v>-1000</v>
      </c>
    </row>
    <row r="31" spans="1:4" x14ac:dyDescent="0.2">
      <c r="A31" s="1046" t="s">
        <v>370</v>
      </c>
      <c r="B31" s="1049">
        <v>40000</v>
      </c>
      <c r="C31" s="1049">
        <f>+'Revenue Projections Detail'!M34</f>
        <v>64000</v>
      </c>
      <c r="D31" s="1049">
        <f t="shared" si="4"/>
        <v>24000</v>
      </c>
    </row>
    <row r="32" spans="1:4" x14ac:dyDescent="0.2">
      <c r="A32" s="1046" t="s">
        <v>372</v>
      </c>
      <c r="B32" s="1049">
        <v>110000</v>
      </c>
      <c r="C32" s="1049">
        <f>+'Revenue Projections Detail'!M35</f>
        <v>143000</v>
      </c>
      <c r="D32" s="1049">
        <f t="shared" si="4"/>
        <v>33000</v>
      </c>
    </row>
    <row r="33" spans="1:4" x14ac:dyDescent="0.2">
      <c r="A33" s="1046" t="s">
        <v>374</v>
      </c>
      <c r="B33" s="1049">
        <v>14000</v>
      </c>
      <c r="C33" s="1049">
        <f>+'Revenue Projections Detail'!M36</f>
        <v>14000</v>
      </c>
      <c r="D33" s="1049">
        <f t="shared" si="4"/>
        <v>0</v>
      </c>
    </row>
    <row r="34" spans="1:4" x14ac:dyDescent="0.2">
      <c r="A34" s="1046" t="s">
        <v>375</v>
      </c>
      <c r="B34" s="1049">
        <v>238000</v>
      </c>
      <c r="C34" s="1049">
        <f>+'Revenue Projections Detail'!M37</f>
        <v>283000</v>
      </c>
      <c r="D34" s="1049">
        <f t="shared" si="4"/>
        <v>45000</v>
      </c>
    </row>
    <row r="35" spans="1:4" x14ac:dyDescent="0.2">
      <c r="A35" s="1046" t="s">
        <v>439</v>
      </c>
      <c r="B35" s="1049">
        <v>82247</v>
      </c>
      <c r="C35" s="1049">
        <f>+'Revenue Projections Detail'!M38</f>
        <v>86235</v>
      </c>
      <c r="D35" s="1049">
        <f t="shared" si="4"/>
        <v>3988</v>
      </c>
    </row>
    <row r="36" spans="1:4" x14ac:dyDescent="0.2">
      <c r="A36" s="1046" t="s">
        <v>378</v>
      </c>
      <c r="B36" s="1049">
        <v>54760</v>
      </c>
      <c r="C36" s="1049">
        <f>+'Revenue Projections Detail'!M39</f>
        <v>61000</v>
      </c>
      <c r="D36" s="1049">
        <f t="shared" si="4"/>
        <v>6240</v>
      </c>
    </row>
    <row r="37" spans="1:4" x14ac:dyDescent="0.2">
      <c r="A37" s="1046" t="s">
        <v>379</v>
      </c>
      <c r="B37" s="1049">
        <v>125000</v>
      </c>
      <c r="C37" s="1049">
        <f>+'Revenue Projections Detail'!M41</f>
        <v>49000</v>
      </c>
      <c r="D37" s="1049">
        <f t="shared" si="4"/>
        <v>-76000</v>
      </c>
    </row>
    <row r="38" spans="1:4" x14ac:dyDescent="0.2">
      <c r="A38" s="1046" t="s">
        <v>381</v>
      </c>
      <c r="B38" s="1049">
        <v>19000</v>
      </c>
      <c r="C38" s="1049">
        <f>+'Revenue Projections Detail'!M42</f>
        <v>16000</v>
      </c>
      <c r="D38" s="1049">
        <f t="shared" si="4"/>
        <v>-3000</v>
      </c>
    </row>
    <row r="39" spans="1:4" x14ac:dyDescent="0.2">
      <c r="A39" s="1046" t="s">
        <v>382</v>
      </c>
      <c r="B39" s="1049">
        <v>5000</v>
      </c>
      <c r="C39" s="1049">
        <f>+'Revenue Projections Detail'!M43</f>
        <v>1500</v>
      </c>
      <c r="D39" s="1049">
        <f t="shared" si="4"/>
        <v>-3500</v>
      </c>
    </row>
    <row r="40" spans="1:4" ht="15" x14ac:dyDescent="0.35">
      <c r="A40" s="1046" t="s">
        <v>386</v>
      </c>
      <c r="B40" s="1052">
        <v>68668</v>
      </c>
      <c r="C40" s="1052">
        <f>+'Revenue Projections Detail'!M46</f>
        <v>73030</v>
      </c>
      <c r="D40" s="1052">
        <f t="shared" si="4"/>
        <v>4362</v>
      </c>
    </row>
    <row r="41" spans="1:4" x14ac:dyDescent="0.2">
      <c r="A41" s="1046" t="s">
        <v>388</v>
      </c>
      <c r="B41" s="1049">
        <f>SUM(B29:B40)</f>
        <v>1405175</v>
      </c>
      <c r="C41" s="1049">
        <f>SUM(C29:C40)</f>
        <v>1683265</v>
      </c>
      <c r="D41" s="1049">
        <f>SUM(D29:D40)</f>
        <v>278090</v>
      </c>
    </row>
    <row r="43" spans="1:4" x14ac:dyDescent="0.2">
      <c r="A43" s="1046" t="s">
        <v>389</v>
      </c>
    </row>
    <row r="44" spans="1:4" x14ac:dyDescent="0.2">
      <c r="A44" s="1046" t="s">
        <v>390</v>
      </c>
      <c r="B44" s="1049">
        <v>77165</v>
      </c>
      <c r="C44" s="1049">
        <f>+'Revenue Projections Detail'!M51</f>
        <v>77500</v>
      </c>
      <c r="D44" s="1049">
        <f t="shared" ref="D44:D46" si="5">+C44-B44</f>
        <v>335</v>
      </c>
    </row>
    <row r="45" spans="1:4" x14ac:dyDescent="0.2">
      <c r="A45" s="1046" t="s">
        <v>392</v>
      </c>
      <c r="B45" s="1049">
        <v>50250</v>
      </c>
      <c r="C45" s="1049">
        <f>+'Revenue Projections Detail'!M52</f>
        <v>50000</v>
      </c>
      <c r="D45" s="1049">
        <f t="shared" si="5"/>
        <v>-250</v>
      </c>
    </row>
    <row r="46" spans="1:4" ht="15" x14ac:dyDescent="0.35">
      <c r="A46" s="1046" t="s">
        <v>393</v>
      </c>
      <c r="B46" s="1050">
        <v>82247</v>
      </c>
      <c r="C46" s="1050">
        <f>+'Revenue Projections Detail'!M53</f>
        <v>85235</v>
      </c>
      <c r="D46" s="1052">
        <f t="shared" si="5"/>
        <v>2988</v>
      </c>
    </row>
    <row r="47" spans="1:4" x14ac:dyDescent="0.2">
      <c r="A47" s="1046" t="s">
        <v>394</v>
      </c>
      <c r="B47" s="1049">
        <f>SUM(B41:B46)</f>
        <v>1614837</v>
      </c>
      <c r="C47" s="1049">
        <f>SUM(C41:C46)</f>
        <v>1896000</v>
      </c>
      <c r="D47" s="1049">
        <f>SUM(D41:D46)</f>
        <v>281163</v>
      </c>
    </row>
    <row r="49" spans="1:5" ht="13.5" thickBot="1" x14ac:dyDescent="0.25">
      <c r="A49" s="1053" t="s">
        <v>2142</v>
      </c>
      <c r="B49" s="1054">
        <f>+B47+B26+B14</f>
        <v>23580517</v>
      </c>
      <c r="C49" s="1054">
        <f>+C47+C26+C14</f>
        <v>25381855</v>
      </c>
      <c r="D49" s="1054">
        <f>+D47+D26+D14</f>
        <v>1801338</v>
      </c>
    </row>
    <row r="51" spans="1:5" x14ac:dyDescent="0.2">
      <c r="A51" s="1053" t="s">
        <v>2143</v>
      </c>
    </row>
    <row r="52" spans="1:5" x14ac:dyDescent="0.2">
      <c r="A52" s="1046" t="s">
        <v>2144</v>
      </c>
      <c r="B52" s="1049">
        <f>+'Working Budget with funding det'!O55</f>
        <v>1558532</v>
      </c>
      <c r="C52" s="1049">
        <f>+'Working Budget with funding det'!P55</f>
        <v>1680319</v>
      </c>
      <c r="D52" s="1049">
        <f t="shared" ref="D52:D59" si="6">+C52-B52</f>
        <v>121787</v>
      </c>
    </row>
    <row r="53" spans="1:5" x14ac:dyDescent="0.2">
      <c r="A53" s="1046" t="s">
        <v>2114</v>
      </c>
      <c r="B53" s="1049">
        <f>+'Working Budget with funding det'!O69</f>
        <v>2518169</v>
      </c>
      <c r="C53" s="1049">
        <f>+'Working Budget with funding det'!P69</f>
        <v>2650917</v>
      </c>
      <c r="D53" s="1049">
        <f t="shared" si="6"/>
        <v>132748</v>
      </c>
    </row>
    <row r="54" spans="1:5" x14ac:dyDescent="0.2">
      <c r="A54" s="1046" t="s">
        <v>2115</v>
      </c>
      <c r="B54" s="1049">
        <f>+'Working Budget with funding det'!O79</f>
        <v>2528657</v>
      </c>
      <c r="C54" s="1049">
        <f>+'Working Budget with funding det'!P79</f>
        <v>2774507</v>
      </c>
      <c r="D54" s="1049">
        <f t="shared" si="6"/>
        <v>245850</v>
      </c>
      <c r="E54" s="1046" t="s">
        <v>2145</v>
      </c>
    </row>
    <row r="55" spans="1:5" x14ac:dyDescent="0.2">
      <c r="A55" s="1046" t="s">
        <v>2146</v>
      </c>
      <c r="B55" s="1049">
        <f>+'Working Budget with funding det'!O87</f>
        <v>298287</v>
      </c>
      <c r="C55" s="1049">
        <f>+'Working Budget with funding det'!P87</f>
        <v>310537</v>
      </c>
      <c r="D55" s="1049">
        <f t="shared" si="6"/>
        <v>12250</v>
      </c>
    </row>
    <row r="56" spans="1:5" x14ac:dyDescent="0.2">
      <c r="A56" s="1046" t="s">
        <v>2124</v>
      </c>
      <c r="B56" s="1049">
        <f>+'Working Budget with funding det'!O95</f>
        <v>620664</v>
      </c>
      <c r="C56" s="1049">
        <f>+'Working Budget with funding det'!P95</f>
        <v>666139</v>
      </c>
      <c r="D56" s="1049">
        <f t="shared" si="6"/>
        <v>45475</v>
      </c>
    </row>
    <row r="57" spans="1:5" x14ac:dyDescent="0.2">
      <c r="A57" s="1046" t="s">
        <v>2125</v>
      </c>
      <c r="B57" s="1049">
        <f>+'Working Budget with funding det'!O98</f>
        <v>1162190</v>
      </c>
      <c r="C57" s="1049">
        <f>+'Working Budget with funding det'!P98</f>
        <v>1154319</v>
      </c>
      <c r="D57" s="1049">
        <f t="shared" si="6"/>
        <v>-7871</v>
      </c>
    </row>
    <row r="58" spans="1:5" x14ac:dyDescent="0.2">
      <c r="A58" s="1046" t="s">
        <v>2126</v>
      </c>
      <c r="B58" s="1049">
        <f>+'Working Budget with funding det'!O101</f>
        <v>110647</v>
      </c>
      <c r="C58" s="1049">
        <f>+'Working Budget with funding det'!P101</f>
        <v>113924</v>
      </c>
      <c r="D58" s="1049">
        <f t="shared" si="6"/>
        <v>3277</v>
      </c>
    </row>
    <row r="59" spans="1:5" ht="15" x14ac:dyDescent="0.35">
      <c r="A59" s="1046" t="s">
        <v>1440</v>
      </c>
      <c r="B59" s="1052">
        <f>+'Working Budget with funding det'!O107</f>
        <v>2510880</v>
      </c>
      <c r="C59" s="1052">
        <f>+'Working Budget with funding det'!P107</f>
        <v>2610934</v>
      </c>
      <c r="D59" s="1052">
        <f t="shared" si="6"/>
        <v>100054</v>
      </c>
    </row>
    <row r="60" spans="1:5" x14ac:dyDescent="0.2">
      <c r="A60" s="1046" t="s">
        <v>1954</v>
      </c>
      <c r="B60" s="1049">
        <f>SUM(B52:B59)</f>
        <v>11308026</v>
      </c>
      <c r="C60" s="1049">
        <f t="shared" ref="C60:D60" si="7">SUM(C52:C59)</f>
        <v>11961596</v>
      </c>
      <c r="D60" s="1049">
        <f t="shared" si="7"/>
        <v>653570</v>
      </c>
    </row>
    <row r="62" spans="1:5" x14ac:dyDescent="0.2">
      <c r="A62" s="1046" t="s">
        <v>2147</v>
      </c>
      <c r="B62" s="1049">
        <v>1193743</v>
      </c>
      <c r="C62" s="1049">
        <f>+'Working Budget with funding det'!P128</f>
        <v>1053018</v>
      </c>
      <c r="D62" s="1049">
        <f t="shared" ref="D62:D66" si="8">+C62-B62</f>
        <v>-140725</v>
      </c>
    </row>
    <row r="63" spans="1:5" ht="15" x14ac:dyDescent="0.35">
      <c r="A63" s="1046" t="s">
        <v>2148</v>
      </c>
      <c r="B63" s="1052"/>
      <c r="C63" s="1052">
        <v>124356</v>
      </c>
      <c r="D63" s="1052">
        <f t="shared" si="8"/>
        <v>124356</v>
      </c>
    </row>
    <row r="64" spans="1:5" x14ac:dyDescent="0.2">
      <c r="A64" s="1046" t="s">
        <v>580</v>
      </c>
      <c r="B64" s="1049">
        <f>+'Working Budget with funding det'!O129</f>
        <v>11341466</v>
      </c>
      <c r="C64" s="1049">
        <f>+'Working Budget with funding det'!P129</f>
        <v>11809191</v>
      </c>
      <c r="D64" s="1049">
        <f t="shared" si="8"/>
        <v>467725</v>
      </c>
    </row>
    <row r="66" spans="1:4" x14ac:dyDescent="0.2">
      <c r="A66" s="1046" t="s">
        <v>2149</v>
      </c>
      <c r="B66" s="1049">
        <v>251228</v>
      </c>
      <c r="C66" s="1049">
        <f>+'Working Budget with funding det'!S118</f>
        <v>286900</v>
      </c>
      <c r="D66" s="1049">
        <f t="shared" si="8"/>
        <v>35672</v>
      </c>
    </row>
    <row r="68" spans="1:4" x14ac:dyDescent="0.2">
      <c r="A68" s="1046" t="s">
        <v>2150</v>
      </c>
    </row>
    <row r="69" spans="1:4" x14ac:dyDescent="0.2">
      <c r="A69" s="1046" t="str">
        <f>+'Working Budget with funding det'!B142</f>
        <v>Operating Appropriation to OPEB</v>
      </c>
      <c r="B69" s="1049">
        <f>+'Working Budget with funding det'!O142</f>
        <v>50000</v>
      </c>
      <c r="C69" s="1049">
        <f>+'Working Budget with funding det'!P142</f>
        <v>50000</v>
      </c>
    </row>
    <row r="70" spans="1:4" x14ac:dyDescent="0.2">
      <c r="A70" s="1046" t="str">
        <f>+'Working Budget with funding det'!B143</f>
        <v>Add'l Appropriation to OPEB</v>
      </c>
      <c r="B70" s="1049">
        <f>+'Working Budget with funding det'!O143</f>
        <v>0</v>
      </c>
      <c r="C70" s="1049">
        <f>+'Working Budget with funding det'!P143</f>
        <v>0</v>
      </c>
    </row>
    <row r="71" spans="1:4" x14ac:dyDescent="0.2">
      <c r="A71" s="1046" t="str">
        <f>+'Working Budget with funding det'!B144</f>
        <v>Operating Appropriation to CI Stab</v>
      </c>
      <c r="B71" s="1049">
        <f>+'Working Budget with funding det'!O144</f>
        <v>44960</v>
      </c>
      <c r="C71" s="1049">
        <f>+'Working Budget with funding det'!P144</f>
        <v>47099</v>
      </c>
    </row>
    <row r="72" spans="1:4" x14ac:dyDescent="0.2">
      <c r="A72" s="1046" t="str">
        <f>+'Working Budget with funding det'!B145</f>
        <v>Operating Appropriation to Town Gen Stab</v>
      </c>
      <c r="B72" s="1049">
        <f>+'Working Budget with funding det'!O145</f>
        <v>0</v>
      </c>
      <c r="C72" s="1049">
        <f>+'Working Budget with funding det'!P145</f>
        <v>37388</v>
      </c>
    </row>
    <row r="73" spans="1:4" x14ac:dyDescent="0.2">
      <c r="A73" s="1046" t="str">
        <f>+'Working Budget with funding det'!B148</f>
        <v>50% Kearsarge Lease - 48.5 % to GM Stab</v>
      </c>
      <c r="B73" s="1049">
        <f>+'Working Budget with funding det'!O148</f>
        <v>40608</v>
      </c>
      <c r="C73" s="1049">
        <f>+'Working Budget with funding det'!P148</f>
        <v>41339</v>
      </c>
    </row>
    <row r="74" spans="1:4" x14ac:dyDescent="0.2">
      <c r="A74" s="1046" t="str">
        <f>+'Working Budget with funding det'!B149</f>
        <v>50% Kearsarge Lease - 51.5 % to Town Cap Stab</v>
      </c>
      <c r="B74" s="1049">
        <f>+'Working Budget with funding det'!O149</f>
        <v>43120</v>
      </c>
      <c r="C74" s="1049">
        <f>+'Working Budget with funding det'!P149</f>
        <v>43896</v>
      </c>
    </row>
    <row r="75" spans="1:4" x14ac:dyDescent="0.2">
      <c r="A75" s="1046" t="str">
        <f>+'Working Budget with funding det'!B150</f>
        <v>50% Kearsarge Lease - 51.5 % to Town Cap Stab</v>
      </c>
      <c r="B75" s="1049">
        <f>+'Working Budget with funding det'!O150</f>
        <v>43120</v>
      </c>
      <c r="C75" s="1049">
        <f>+'Working Budget with funding det'!P150</f>
        <v>43896</v>
      </c>
    </row>
    <row r="76" spans="1:4" x14ac:dyDescent="0.2">
      <c r="A76" s="1046" t="str">
        <f>+'Working Budget with funding det'!B160</f>
        <v xml:space="preserve">Assessors Utility Valuation </v>
      </c>
      <c r="B76" s="1049">
        <f>+'Working Budget with funding det'!O160</f>
        <v>0</v>
      </c>
    </row>
    <row r="77" spans="1:4" x14ac:dyDescent="0.2">
      <c r="A77" s="1046" t="str">
        <f>+'Working Budget with funding det'!B161</f>
        <v>Unsafe/Unhealth Buildings</v>
      </c>
      <c r="B77" s="1049">
        <f>+'Working Budget with funding det'!O161</f>
        <v>0</v>
      </c>
    </row>
    <row r="78" spans="1:4" x14ac:dyDescent="0.2">
      <c r="A78" s="1046" t="str">
        <f>+'Working Budget with funding det'!B162</f>
        <v>Unexpected Engineering Expenses</v>
      </c>
      <c r="B78" s="1049">
        <f>+'Working Budget with funding det'!O162</f>
        <v>0</v>
      </c>
    </row>
    <row r="79" spans="1:4" x14ac:dyDescent="0.2">
      <c r="A79" s="1046" t="str">
        <f>+'Working Budget with funding det'!B163</f>
        <v>Unexpected Project Shortfalls</v>
      </c>
      <c r="B79" s="1049">
        <f>+'Working Budget with funding det'!O163</f>
        <v>21584</v>
      </c>
    </row>
    <row r="80" spans="1:4" x14ac:dyDescent="0.2">
      <c r="A80" s="1046" t="str">
        <f>+'Working Budget with funding det'!B189</f>
        <v>Smith Votech Tuition/Trans (FY22-FY24)</v>
      </c>
      <c r="C80" s="1049">
        <f>+'Working Budget with funding det'!P189</f>
        <v>23000</v>
      </c>
    </row>
    <row r="81" spans="1:4" x14ac:dyDescent="0.2">
      <c r="A81" s="1046" t="str">
        <f>+'Working Budget with funding det'!B202</f>
        <v>Police Discretionary (to budget for FY21)</v>
      </c>
      <c r="C81" s="1049">
        <f>+'Working Budget with funding det'!P202</f>
        <v>0</v>
      </c>
    </row>
    <row r="82" spans="1:4" x14ac:dyDescent="0.2">
      <c r="A82" s="1046" t="str">
        <f>+'Working Budget with funding det'!B209</f>
        <v xml:space="preserve">DPW Discretionary </v>
      </c>
      <c r="B82" s="1049">
        <f>+'Working Budget with funding det'!O209</f>
        <v>75000</v>
      </c>
      <c r="C82" s="1049">
        <f>+'Working Budget with funding det'!P209</f>
        <v>70592</v>
      </c>
    </row>
    <row r="84" spans="1:4" x14ac:dyDescent="0.2">
      <c r="A84" s="1046" t="str">
        <f>+'Working Budget with funding det'!B257</f>
        <v>Total Special Articles</v>
      </c>
      <c r="B84" s="1049">
        <f>SUM(B69:B83)</f>
        <v>318392</v>
      </c>
      <c r="C84" s="1049">
        <f>SUM(C69:C83)</f>
        <v>357210</v>
      </c>
      <c r="D84" s="1049">
        <f t="shared" ref="D84" si="9">+C84-B84</f>
        <v>38818</v>
      </c>
    </row>
    <row r="86" spans="1:4" x14ac:dyDescent="0.2">
      <c r="A86" s="1046" t="s">
        <v>2151</v>
      </c>
      <c r="B86" s="1049">
        <f>+B49</f>
        <v>23580517</v>
      </c>
      <c r="C86" s="1049">
        <f t="shared" ref="C86:D86" si="10">+C49</f>
        <v>25381855</v>
      </c>
      <c r="D86" s="1049">
        <f t="shared" si="10"/>
        <v>1801338</v>
      </c>
    </row>
    <row r="87" spans="1:4" x14ac:dyDescent="0.2">
      <c r="A87" s="1046" t="s">
        <v>2152</v>
      </c>
      <c r="B87" s="1049">
        <f>SUM(B60:B82)</f>
        <v>24412855</v>
      </c>
      <c r="C87" s="1049">
        <f>SUM(C60:C82)</f>
        <v>25592271</v>
      </c>
      <c r="D87" s="1049">
        <f t="shared" ref="D87" si="11">+C87-B87</f>
        <v>1179416</v>
      </c>
    </row>
    <row r="88" spans="1:4" x14ac:dyDescent="0.2">
      <c r="A88" s="1046">
        <f>+'Working Budget with funding det'!B265</f>
        <v>0</v>
      </c>
      <c r="B88" s="1049">
        <f>+'Working Budget with funding det'!O265</f>
        <v>0</v>
      </c>
      <c r="C88" s="1049">
        <f>+'Working Budget with funding det'!P265</f>
        <v>0</v>
      </c>
    </row>
    <row r="89" spans="1:4" x14ac:dyDescent="0.2">
      <c r="A89" s="1046" t="str">
        <f>+'Working Budget with funding det'!B266</f>
        <v>ESTIMATED SHORTFALL</v>
      </c>
      <c r="B89" s="1049">
        <f>+B86-B87</f>
        <v>-832338</v>
      </c>
      <c r="C89" s="1049">
        <f>+C86-C87</f>
        <v>-210416</v>
      </c>
      <c r="D89" s="1049">
        <f>+D86-D87</f>
        <v>621922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K42"/>
  <sheetViews>
    <sheetView topLeftCell="A15" workbookViewId="0">
      <selection activeCell="B28" sqref="B28"/>
    </sheetView>
  </sheetViews>
  <sheetFormatPr defaultRowHeight="12.75" x14ac:dyDescent="0.2"/>
  <cols>
    <col min="1" max="1" width="50" customWidth="1"/>
    <col min="2" max="3" width="12" style="2" customWidth="1"/>
    <col min="4" max="4" width="11.5" customWidth="1"/>
    <col min="5" max="5" width="13.83203125" customWidth="1"/>
    <col min="6" max="6" width="22" customWidth="1"/>
    <col min="7" max="7" width="24.33203125" customWidth="1"/>
    <col min="8" max="8" width="14.1640625" customWidth="1"/>
    <col min="9" max="9" width="11.33203125" customWidth="1"/>
    <col min="11" max="11" width="31.33203125" customWidth="1"/>
  </cols>
  <sheetData>
    <row r="1" spans="1:11" x14ac:dyDescent="0.2">
      <c r="A1" s="308" t="s">
        <v>197</v>
      </c>
    </row>
    <row r="2" spans="1:11" ht="18.75" x14ac:dyDescent="0.3">
      <c r="A2" s="1163" t="s">
        <v>447</v>
      </c>
      <c r="B2" s="1163"/>
      <c r="C2" s="1163"/>
      <c r="D2" s="1163"/>
      <c r="E2" s="1163"/>
    </row>
    <row r="3" spans="1:11" ht="18.75" x14ac:dyDescent="0.3">
      <c r="A3" s="1163" t="s">
        <v>448</v>
      </c>
      <c r="B3" s="1163"/>
      <c r="C3" s="1163"/>
      <c r="D3" s="1163"/>
      <c r="E3" s="1163"/>
    </row>
    <row r="4" spans="1:11" ht="18.75" x14ac:dyDescent="0.3">
      <c r="A4" s="1163" t="s">
        <v>449</v>
      </c>
      <c r="B4" s="1163"/>
      <c r="C4" s="1163"/>
      <c r="D4" s="1163"/>
      <c r="E4" s="1163"/>
    </row>
    <row r="5" spans="1:11" ht="18.75" x14ac:dyDescent="0.3">
      <c r="A5" s="1163" t="s">
        <v>450</v>
      </c>
      <c r="B5" s="1163"/>
      <c r="C5" s="1163"/>
      <c r="D5" s="1163"/>
      <c r="E5" s="1163"/>
    </row>
    <row r="6" spans="1:11" ht="18.75" x14ac:dyDescent="0.3">
      <c r="A6" s="1163" t="s">
        <v>451</v>
      </c>
      <c r="B6" s="1163"/>
      <c r="C6" s="1163"/>
      <c r="D6" s="1163"/>
      <c r="E6" s="1163"/>
    </row>
    <row r="7" spans="1:11" ht="18.75" x14ac:dyDescent="0.3">
      <c r="A7" s="1163" t="s">
        <v>452</v>
      </c>
      <c r="B7" s="1163"/>
      <c r="C7" s="1163"/>
      <c r="D7" s="1163"/>
      <c r="E7" s="1163"/>
    </row>
    <row r="8" spans="1:11" ht="52.5" x14ac:dyDescent="0.3">
      <c r="A8" s="245"/>
      <c r="B8" s="606" t="s">
        <v>453</v>
      </c>
    </row>
    <row r="9" spans="1:11" ht="18.75" x14ac:dyDescent="0.3">
      <c r="A9" s="1162" t="s">
        <v>454</v>
      </c>
      <c r="B9" s="1162"/>
      <c r="C9" s="1162"/>
      <c r="D9" s="1162"/>
      <c r="E9" s="1162"/>
    </row>
    <row r="10" spans="1:11" x14ac:dyDescent="0.2">
      <c r="A10" s="291"/>
      <c r="B10" s="502" t="s">
        <v>455</v>
      </c>
      <c r="C10" s="502"/>
      <c r="D10" s="159"/>
      <c r="E10" s="185"/>
      <c r="F10" s="220" t="s">
        <v>456</v>
      </c>
      <c r="H10" s="3"/>
      <c r="K10" s="244"/>
    </row>
    <row r="11" spans="1:11" x14ac:dyDescent="0.2">
      <c r="A11" s="220" t="s">
        <v>457</v>
      </c>
      <c r="B11" s="3" t="s">
        <v>458</v>
      </c>
      <c r="C11" s="3"/>
      <c r="E11" s="231"/>
      <c r="F11" s="220" t="s">
        <v>2428</v>
      </c>
      <c r="H11" s="3"/>
    </row>
    <row r="12" spans="1:11" x14ac:dyDescent="0.2">
      <c r="A12" s="285"/>
      <c r="B12" s="3" t="s">
        <v>459</v>
      </c>
      <c r="C12" s="3"/>
      <c r="E12" s="231"/>
      <c r="F12" s="220"/>
      <c r="H12" s="3"/>
    </row>
    <row r="13" spans="1:11" x14ac:dyDescent="0.2">
      <c r="A13" s="154"/>
      <c r="B13" s="3"/>
      <c r="C13" s="3"/>
      <c r="E13" s="231"/>
      <c r="F13" s="1115"/>
      <c r="H13" s="3"/>
    </row>
    <row r="14" spans="1:11" x14ac:dyDescent="0.2">
      <c r="A14" s="154" t="s">
        <v>460</v>
      </c>
      <c r="B14" s="2">
        <f>+'Revenue Projections Detail'!M16</f>
        <v>21570869</v>
      </c>
      <c r="D14" s="2"/>
      <c r="E14" s="231"/>
      <c r="G14" s="2"/>
      <c r="H14" s="2"/>
    </row>
    <row r="15" spans="1:11" x14ac:dyDescent="0.2">
      <c r="A15" s="154" t="s">
        <v>461</v>
      </c>
      <c r="B15" s="53">
        <f>-'Revenue Projections Detail'!M11</f>
        <v>-1179061</v>
      </c>
      <c r="D15" s="2"/>
      <c r="E15" s="231"/>
      <c r="G15" s="2"/>
      <c r="H15" s="2"/>
    </row>
    <row r="16" spans="1:11" x14ac:dyDescent="0.2">
      <c r="A16" s="154" t="s">
        <v>462</v>
      </c>
      <c r="B16" s="2">
        <f>SUM(B14:B15)</f>
        <v>20391808</v>
      </c>
      <c r="D16" s="2"/>
      <c r="E16" s="231"/>
      <c r="H16" s="2"/>
    </row>
    <row r="17" spans="1:10" x14ac:dyDescent="0.2">
      <c r="A17" s="154"/>
      <c r="E17" s="231"/>
      <c r="H17" s="2"/>
    </row>
    <row r="18" spans="1:10" x14ac:dyDescent="0.2">
      <c r="A18" s="154" t="s">
        <v>463</v>
      </c>
      <c r="B18" s="2">
        <f>+'Revenue Projections Detail'!M29</f>
        <v>1914986</v>
      </c>
      <c r="D18" s="2"/>
      <c r="E18" s="231"/>
      <c r="H18" s="2"/>
      <c r="I18" s="220"/>
      <c r="J18" s="156"/>
    </row>
    <row r="19" spans="1:10" x14ac:dyDescent="0.2">
      <c r="A19" s="154"/>
      <c r="E19" s="231"/>
      <c r="H19" s="2"/>
      <c r="J19" s="278"/>
    </row>
    <row r="20" spans="1:10" x14ac:dyDescent="0.2">
      <c r="A20" s="154" t="s">
        <v>464</v>
      </c>
      <c r="B20" s="2">
        <f>+'Revenue Projections Detail'!M48</f>
        <v>1814265</v>
      </c>
      <c r="D20" s="2"/>
      <c r="E20" s="231"/>
      <c r="H20" s="2"/>
      <c r="J20" s="156"/>
    </row>
    <row r="21" spans="1:10" x14ac:dyDescent="0.2">
      <c r="A21" s="154"/>
      <c r="E21" s="231"/>
      <c r="H21" s="2"/>
    </row>
    <row r="22" spans="1:10" x14ac:dyDescent="0.2">
      <c r="A22" s="154" t="s">
        <v>465</v>
      </c>
      <c r="B22" s="2">
        <f>+'Revenue Projections Detail'!M76</f>
        <v>0</v>
      </c>
      <c r="C22" s="290"/>
      <c r="D22" s="2"/>
      <c r="E22" s="231"/>
      <c r="H22" s="2"/>
    </row>
    <row r="23" spans="1:10" x14ac:dyDescent="0.2">
      <c r="A23" s="154"/>
      <c r="E23" s="231"/>
      <c r="H23" s="2"/>
    </row>
    <row r="24" spans="1:10" ht="13.5" thickBot="1" x14ac:dyDescent="0.25">
      <c r="A24" s="154" t="s">
        <v>466</v>
      </c>
      <c r="B24" s="52">
        <f>SUM(B16:B23)</f>
        <v>24121059</v>
      </c>
      <c r="D24" s="2"/>
      <c r="E24" s="231"/>
      <c r="H24" s="2"/>
      <c r="I24" s="124"/>
    </row>
    <row r="25" spans="1:10" ht="13.5" thickTop="1" x14ac:dyDescent="0.2">
      <c r="A25" s="154"/>
      <c r="E25" s="231"/>
      <c r="H25" s="2"/>
    </row>
    <row r="26" spans="1:10" x14ac:dyDescent="0.2">
      <c r="A26" s="154" t="s">
        <v>467</v>
      </c>
      <c r="E26" s="231"/>
      <c r="H26" s="2"/>
    </row>
    <row r="27" spans="1:10" x14ac:dyDescent="0.2">
      <c r="A27" s="154" t="s">
        <v>468</v>
      </c>
      <c r="B27" s="2">
        <f>ROUND((+B24*0.485),0)</f>
        <v>11698714</v>
      </c>
      <c r="D27" s="2"/>
      <c r="E27" s="231"/>
      <c r="H27" s="2"/>
    </row>
    <row r="28" spans="1:10" x14ac:dyDescent="0.2">
      <c r="A28" s="154" t="s">
        <v>469</v>
      </c>
      <c r="B28" s="2">
        <f>+'Debt Exclusion Calc.'!I29</f>
        <v>110477</v>
      </c>
      <c r="D28" s="2"/>
      <c r="E28" s="231"/>
      <c r="H28" s="2"/>
      <c r="I28" s="2"/>
      <c r="J28" s="220"/>
    </row>
    <row r="29" spans="1:10" ht="13.5" thickBot="1" x14ac:dyDescent="0.25">
      <c r="A29" s="154" t="s">
        <v>193</v>
      </c>
      <c r="B29" s="52">
        <f>SUM(B27:B28)</f>
        <v>11809191</v>
      </c>
      <c r="C29" s="2">
        <f>SUM(C27:C28)</f>
        <v>0</v>
      </c>
      <c r="D29" s="2"/>
      <c r="E29" s="231"/>
      <c r="H29" s="2"/>
      <c r="I29" s="2"/>
      <c r="J29" s="220"/>
    </row>
    <row r="30" spans="1:10" ht="13.5" thickTop="1" x14ac:dyDescent="0.2">
      <c r="A30" s="285"/>
      <c r="E30" s="231"/>
      <c r="G30" s="156"/>
      <c r="H30" s="2"/>
      <c r="I30" s="2"/>
    </row>
    <row r="31" spans="1:10" x14ac:dyDescent="0.2">
      <c r="A31" s="154"/>
      <c r="E31" s="231"/>
      <c r="H31" s="2"/>
      <c r="I31" s="124"/>
    </row>
    <row r="32" spans="1:10" x14ac:dyDescent="0.2">
      <c r="A32" s="285" t="s">
        <v>470</v>
      </c>
      <c r="B32" s="2">
        <f>+D33</f>
        <v>11809191</v>
      </c>
      <c r="C32" s="2">
        <f>+C29</f>
        <v>0</v>
      </c>
      <c r="D32" s="2">
        <f>+'300 Schools'!O13</f>
        <v>11341466</v>
      </c>
      <c r="E32" s="286" t="s">
        <v>2414</v>
      </c>
      <c r="F32" s="220"/>
      <c r="H32" s="2"/>
    </row>
    <row r="33" spans="1:8" ht="13.5" thickBot="1" x14ac:dyDescent="0.25">
      <c r="A33" s="154" t="s">
        <v>471</v>
      </c>
      <c r="B33" s="2">
        <f>+B32-B29</f>
        <v>0</v>
      </c>
      <c r="C33" s="2">
        <f>+C32-C29</f>
        <v>0</v>
      </c>
      <c r="D33" s="607">
        <f>+B29</f>
        <v>11809191</v>
      </c>
      <c r="E33" s="231"/>
      <c r="H33" s="2"/>
    </row>
    <row r="34" spans="1:8" x14ac:dyDescent="0.2">
      <c r="A34" s="285" t="s">
        <v>472</v>
      </c>
      <c r="B34" s="53">
        <f>+'Working Budget with funding det'!T129</f>
        <v>0</v>
      </c>
      <c r="C34" s="2">
        <f>+B34</f>
        <v>0</v>
      </c>
      <c r="D34" s="2">
        <f>+D33-D32</f>
        <v>467725</v>
      </c>
      <c r="E34" s="231" t="s">
        <v>473</v>
      </c>
      <c r="H34" s="2"/>
    </row>
    <row r="35" spans="1:8" x14ac:dyDescent="0.2">
      <c r="A35" s="154" t="s">
        <v>474</v>
      </c>
      <c r="B35" s="2">
        <f>+B32-B33-B34</f>
        <v>11809191</v>
      </c>
      <c r="C35" s="2">
        <f>+C32-C33-C34</f>
        <v>0</v>
      </c>
      <c r="D35" s="124">
        <f>ROUND((+D34/D32),4)</f>
        <v>4.1200000000000001E-2</v>
      </c>
      <c r="E35" s="231" t="s">
        <v>475</v>
      </c>
      <c r="H35" s="2"/>
    </row>
    <row r="36" spans="1:8" x14ac:dyDescent="0.2">
      <c r="A36" s="154"/>
      <c r="E36" s="231"/>
      <c r="H36" s="2"/>
    </row>
    <row r="37" spans="1:8" x14ac:dyDescent="0.2">
      <c r="A37" s="154" t="s">
        <v>467</v>
      </c>
      <c r="D37" s="2"/>
      <c r="E37" s="286"/>
      <c r="H37" s="2"/>
    </row>
    <row r="38" spans="1:8" x14ac:dyDescent="0.2">
      <c r="A38" s="154" t="s">
        <v>468</v>
      </c>
      <c r="D38" s="290"/>
      <c r="E38" s="231"/>
      <c r="H38" s="2"/>
    </row>
    <row r="39" spans="1:8" x14ac:dyDescent="0.2">
      <c r="A39" s="154" t="s">
        <v>469</v>
      </c>
      <c r="D39" s="2"/>
      <c r="E39" s="231"/>
      <c r="H39" s="2"/>
    </row>
    <row r="40" spans="1:8" x14ac:dyDescent="0.2">
      <c r="A40" s="154" t="s">
        <v>193</v>
      </c>
      <c r="D40" s="124"/>
      <c r="E40" s="231"/>
      <c r="H40" s="2"/>
    </row>
    <row r="41" spans="1:8" x14ac:dyDescent="0.2">
      <c r="A41" s="68"/>
      <c r="B41" s="53"/>
      <c r="C41" s="53"/>
      <c r="D41" s="55"/>
      <c r="E41" s="279"/>
      <c r="H41" s="2"/>
    </row>
    <row r="42" spans="1:8" x14ac:dyDescent="0.2">
      <c r="A42" s="220"/>
    </row>
  </sheetData>
  <mergeCells count="7">
    <mergeCell ref="A9:E9"/>
    <mergeCell ref="A2:E2"/>
    <mergeCell ref="A3:E3"/>
    <mergeCell ref="A4:E4"/>
    <mergeCell ref="A7:E7"/>
    <mergeCell ref="A5:E5"/>
    <mergeCell ref="A6:E6"/>
  </mergeCells>
  <phoneticPr fontId="15" type="noConversion"/>
  <hyperlinks>
    <hyperlink ref="A1" location="'Table of Contents'!A1" display="TOC" xr:uid="{00000000-0004-0000-0600-000000000000}"/>
  </hyperlinks>
  <pageMargins left="0.75" right="0.75" top="1" bottom="1" header="0.5" footer="0.5"/>
  <pageSetup fitToHeight="2" orientation="portrait" r:id="rId1"/>
  <headerFooter alignWithMargins="0">
    <oddFooter>&amp;L&amp;D &amp;T&amp;C&amp;F&amp;R&amp;A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9a1a659-2450-4b3d-ae2b-17700db09355">
      <Terms xmlns="http://schemas.microsoft.com/office/infopath/2007/PartnerControls"/>
    </lcf76f155ced4ddcb4097134ff3c332f>
    <TaxCatchAll xmlns="591520ea-1209-4f18-a86d-075aad92aed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7A7C068C8668B49BEE35E78F7C6470F" ma:contentTypeVersion="16" ma:contentTypeDescription="Create a new document." ma:contentTypeScope="" ma:versionID="1b3be4bbf63ec3d5868bb0b615567517">
  <xsd:schema xmlns:xsd="http://www.w3.org/2001/XMLSchema" xmlns:xs="http://www.w3.org/2001/XMLSchema" xmlns:p="http://schemas.microsoft.com/office/2006/metadata/properties" xmlns:ns2="59a1a659-2450-4b3d-ae2b-17700db09355" xmlns:ns3="591520ea-1209-4f18-a86d-075aad92aedd" targetNamespace="http://schemas.microsoft.com/office/2006/metadata/properties" ma:root="true" ma:fieldsID="1994b6fdc77ab7485b25841c38e1ac12" ns2:_="" ns3:_="">
    <xsd:import namespace="59a1a659-2450-4b3d-ae2b-17700db09355"/>
    <xsd:import namespace="591520ea-1209-4f18-a86d-075aad92aed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a1a659-2450-4b3d-ae2b-17700db093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95a921a-ef64-4683-965a-38e8efb1922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91520ea-1209-4f18-a86d-075aad92aed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45cc9927-2834-492a-9abd-999d95f9f1f5}" ma:internalName="TaxCatchAll" ma:showField="CatchAllData" ma:web="591520ea-1209-4f18-a86d-075aad92aedd">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2B54F09-4363-431D-B79C-4D7AB1FD7FA5}">
  <ds:schemaRefs>
    <ds:schemaRef ds:uri="http://schemas.microsoft.com/office/2006/metadata/properties"/>
    <ds:schemaRef ds:uri="http://schemas.microsoft.com/office/infopath/2007/PartnerControls"/>
    <ds:schemaRef ds:uri="59a1a659-2450-4b3d-ae2b-17700db09355"/>
    <ds:schemaRef ds:uri="591520ea-1209-4f18-a86d-075aad92aedd"/>
  </ds:schemaRefs>
</ds:datastoreItem>
</file>

<file path=customXml/itemProps2.xml><?xml version="1.0" encoding="utf-8"?>
<ds:datastoreItem xmlns:ds="http://schemas.openxmlformats.org/officeDocument/2006/customXml" ds:itemID="{74D0024D-04A9-4B55-BBA2-7B523524FB52}"/>
</file>

<file path=customXml/itemProps3.xml><?xml version="1.0" encoding="utf-8"?>
<ds:datastoreItem xmlns:ds="http://schemas.openxmlformats.org/officeDocument/2006/customXml" ds:itemID="{B477D906-675B-4426-9BAC-47254928B11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79</vt:i4>
      </vt:variant>
    </vt:vector>
  </HeadingPairs>
  <TitlesOfParts>
    <vt:vector size="161" baseType="lpstr">
      <vt:lpstr>Table of Contents</vt:lpstr>
      <vt:lpstr>Tabs</vt:lpstr>
      <vt:lpstr>Tax Impact Calculator</vt:lpstr>
      <vt:lpstr>To Do and Changes</vt:lpstr>
      <vt:lpstr>Policies to Review</vt:lpstr>
      <vt:lpstr>Est WPCF Rate Incr</vt:lpstr>
      <vt:lpstr>Rev Forecasting</vt:lpstr>
      <vt:lpstr>Revenue Projections Detail</vt:lpstr>
      <vt:lpstr>Affordable Assessment</vt:lpstr>
      <vt:lpstr>Financial Policy Numbers</vt:lpstr>
      <vt:lpstr>Working Budget with funding det</vt:lpstr>
      <vt:lpstr>Budget Summary</vt:lpstr>
      <vt:lpstr>113 Town Mtg</vt:lpstr>
      <vt:lpstr>122 Selectboard</vt:lpstr>
      <vt:lpstr>131 Fin Comm</vt:lpstr>
      <vt:lpstr>132 Reserve Fund</vt:lpstr>
      <vt:lpstr>135 Acct</vt:lpstr>
      <vt:lpstr>141 BOA</vt:lpstr>
      <vt:lpstr>145 Treas</vt:lpstr>
      <vt:lpstr>151 Counsel</vt:lpstr>
      <vt:lpstr>155 IT</vt:lpstr>
      <vt:lpstr>159 Shared Costs</vt:lpstr>
      <vt:lpstr>161 Clerk</vt:lpstr>
      <vt:lpstr>175 Planning</vt:lpstr>
      <vt:lpstr>176 ZBA</vt:lpstr>
      <vt:lpstr>182 MEDIC</vt:lpstr>
      <vt:lpstr>197 Farm Mkt</vt:lpstr>
      <vt:lpstr>190 Publ Bldg Utilities</vt:lpstr>
      <vt:lpstr>211 Police</vt:lpstr>
      <vt:lpstr>212 Dispatch</vt:lpstr>
      <vt:lpstr>241 Bldg</vt:lpstr>
      <vt:lpstr>244 Sealer</vt:lpstr>
      <vt:lpstr>291 Emergency</vt:lpstr>
      <vt:lpstr>292 Animal</vt:lpstr>
      <vt:lpstr>294 Forest Warden</vt:lpstr>
      <vt:lpstr>299 Tree Warden</vt:lpstr>
      <vt:lpstr>300 Schools</vt:lpstr>
      <vt:lpstr>420 DPW</vt:lpstr>
      <vt:lpstr>192 Public Bldgs</vt:lpstr>
      <vt:lpstr>422 Maintenance</vt:lpstr>
      <vt:lpstr>652 Parks</vt:lpstr>
      <vt:lpstr>423 Snow</vt:lpstr>
      <vt:lpstr>433 Solid Waste</vt:lpstr>
      <vt:lpstr>480 Charging Stations</vt:lpstr>
      <vt:lpstr>491 Cemetery</vt:lpstr>
      <vt:lpstr>511 BOH</vt:lpstr>
      <vt:lpstr>541 COA</vt:lpstr>
      <vt:lpstr>543 Vets</vt:lpstr>
      <vt:lpstr>610 Library</vt:lpstr>
      <vt:lpstr>630 Recreation</vt:lpstr>
      <vt:lpstr>691 Historical Comm</vt:lpstr>
      <vt:lpstr>693 Memorials</vt:lpstr>
      <vt:lpstr>700 Debt </vt:lpstr>
      <vt:lpstr>840 Intergovt</vt:lpstr>
      <vt:lpstr>910 Benefits</vt:lpstr>
      <vt:lpstr>946 Insurance</vt:lpstr>
      <vt:lpstr>Colle 228 183</vt:lpstr>
      <vt:lpstr>600 482 Airport</vt:lpstr>
      <vt:lpstr>600-700 Airport Debt</vt:lpstr>
      <vt:lpstr>600-900 Airport Benefits</vt:lpstr>
      <vt:lpstr>661 440 CWF</vt:lpstr>
      <vt:lpstr>661 449 Hwy</vt:lpstr>
      <vt:lpstr>661 700 CWF Debt</vt:lpstr>
      <vt:lpstr>661 910 CWF Benefits</vt:lpstr>
      <vt:lpstr>Tax share CWF</vt:lpstr>
      <vt:lpstr>Overhead</vt:lpstr>
      <vt:lpstr>Debt Exclusion Calc.</vt:lpstr>
      <vt:lpstr>Police Wages</vt:lpstr>
      <vt:lpstr>NAGE &amp; Non-Union Wages</vt:lpstr>
      <vt:lpstr>UE Wages</vt:lpstr>
      <vt:lpstr>Longevity</vt:lpstr>
      <vt:lpstr>Split Debt Service</vt:lpstr>
      <vt:lpstr>Combined Debt Schedule</vt:lpstr>
      <vt:lpstr>Kearsarge Lease</vt:lpstr>
      <vt:lpstr>Town Meeting Wages By Position</vt:lpstr>
      <vt:lpstr>Report to Town Meeting </vt:lpstr>
      <vt:lpstr>Wage and Benefits</vt:lpstr>
      <vt:lpstr>Charts for Report</vt:lpstr>
      <vt:lpstr>Pie Charts</vt:lpstr>
      <vt:lpstr>Local Receipts for Report</vt:lpstr>
      <vt:lpstr>TOC-Report</vt:lpstr>
      <vt:lpstr>Summary Comp to PY</vt:lpstr>
      <vt:lpstr>'113 Town Mtg'!Print_Area</vt:lpstr>
      <vt:lpstr>'122 Selectboard'!Print_Area</vt:lpstr>
      <vt:lpstr>'131 Fin Comm'!Print_Area</vt:lpstr>
      <vt:lpstr>'132 Reserve Fund'!Print_Area</vt:lpstr>
      <vt:lpstr>'135 Acct'!Print_Area</vt:lpstr>
      <vt:lpstr>'141 BOA'!Print_Area</vt:lpstr>
      <vt:lpstr>'145 Treas'!Print_Area</vt:lpstr>
      <vt:lpstr>'151 Counsel'!Print_Area</vt:lpstr>
      <vt:lpstr>'155 IT'!Print_Area</vt:lpstr>
      <vt:lpstr>'159 Shared Costs'!Print_Area</vt:lpstr>
      <vt:lpstr>'161 Clerk'!Print_Area</vt:lpstr>
      <vt:lpstr>'175 Planning'!Print_Area</vt:lpstr>
      <vt:lpstr>'176 ZBA'!Print_Area</vt:lpstr>
      <vt:lpstr>'190 Publ Bldg Utilities'!Print_Area</vt:lpstr>
      <vt:lpstr>'192 Public Bldgs'!Print_Area</vt:lpstr>
      <vt:lpstr>'197 Farm Mkt'!Print_Area</vt:lpstr>
      <vt:lpstr>'211 Police'!Print_Area</vt:lpstr>
      <vt:lpstr>'212 Dispatch'!Print_Area</vt:lpstr>
      <vt:lpstr>'241 Bldg'!Print_Area</vt:lpstr>
      <vt:lpstr>'244 Sealer'!Print_Area</vt:lpstr>
      <vt:lpstr>'291 Emergency'!Print_Area</vt:lpstr>
      <vt:lpstr>'292 Animal'!Print_Area</vt:lpstr>
      <vt:lpstr>'294 Forest Warden'!Print_Area</vt:lpstr>
      <vt:lpstr>'299 Tree Warden'!Print_Area</vt:lpstr>
      <vt:lpstr>'300 Schools'!Print_Area</vt:lpstr>
      <vt:lpstr>'420 DPW'!Print_Area</vt:lpstr>
      <vt:lpstr>'422 Maintenance'!Print_Area</vt:lpstr>
      <vt:lpstr>'423 Snow'!Print_Area</vt:lpstr>
      <vt:lpstr>'433 Solid Waste'!Print_Area</vt:lpstr>
      <vt:lpstr>'491 Cemetery'!Print_Area</vt:lpstr>
      <vt:lpstr>'511 BOH'!Print_Area</vt:lpstr>
      <vt:lpstr>'541 COA'!Print_Area</vt:lpstr>
      <vt:lpstr>'543 Vets'!Print_Area</vt:lpstr>
      <vt:lpstr>'600 482 Airport'!Print_Area</vt:lpstr>
      <vt:lpstr>'600-700 Airport Debt'!Print_Area</vt:lpstr>
      <vt:lpstr>'610 Library'!Print_Area</vt:lpstr>
      <vt:lpstr>'630 Recreation'!Print_Area</vt:lpstr>
      <vt:lpstr>'652 Parks'!Print_Area</vt:lpstr>
      <vt:lpstr>'661 440 CWF'!Print_Area</vt:lpstr>
      <vt:lpstr>'661 449 Hwy'!Print_Area</vt:lpstr>
      <vt:lpstr>'661 700 CWF Debt'!Print_Area</vt:lpstr>
      <vt:lpstr>'661 910 CWF Benefits'!Print_Area</vt:lpstr>
      <vt:lpstr>'691 Historical Comm'!Print_Area</vt:lpstr>
      <vt:lpstr>'693 Memorials'!Print_Area</vt:lpstr>
      <vt:lpstr>'700 Debt '!Print_Area</vt:lpstr>
      <vt:lpstr>'840 Intergovt'!Print_Area</vt:lpstr>
      <vt:lpstr>'910 Benefits'!Print_Area</vt:lpstr>
      <vt:lpstr>'946 Insurance'!Print_Area</vt:lpstr>
      <vt:lpstr>'Affordable Assessment'!Print_Area</vt:lpstr>
      <vt:lpstr>'Budget Summary'!Print_Area</vt:lpstr>
      <vt:lpstr>'Charts for Report'!Print_Area</vt:lpstr>
      <vt:lpstr>'Colle 228 183'!Print_Area</vt:lpstr>
      <vt:lpstr>'Combined Debt Schedule'!Print_Area</vt:lpstr>
      <vt:lpstr>'Est WPCF Rate Incr'!Print_Area</vt:lpstr>
      <vt:lpstr>'Financial Policy Numbers'!Print_Area</vt:lpstr>
      <vt:lpstr>'NAGE &amp; Non-Union Wages'!Print_Area</vt:lpstr>
      <vt:lpstr>'Police Wages'!Print_Area</vt:lpstr>
      <vt:lpstr>'Report to Town Meeting '!Print_Area</vt:lpstr>
      <vt:lpstr>'Revenue Projections Detail'!Print_Area</vt:lpstr>
      <vt:lpstr>'Tax Impact Calculator'!Print_Area</vt:lpstr>
      <vt:lpstr>'Town Meeting Wages By Position'!Print_Area</vt:lpstr>
      <vt:lpstr>'Wage and Benefits'!Print_Area</vt:lpstr>
      <vt:lpstr>'Working Budget with funding det'!Print_Area</vt:lpstr>
      <vt:lpstr>'192 Public Bldgs'!Print_Titles</vt:lpstr>
      <vt:lpstr>'211 Police'!Print_Titles</vt:lpstr>
      <vt:lpstr>'292 Animal'!Print_Titles</vt:lpstr>
      <vt:lpstr>'420 DPW'!Print_Titles</vt:lpstr>
      <vt:lpstr>'422 Maintenance'!Print_Titles</vt:lpstr>
      <vt:lpstr>'661 440 CWF'!Print_Titles</vt:lpstr>
      <vt:lpstr>'661 700 CWF Debt'!Print_Titles</vt:lpstr>
      <vt:lpstr>'700 Debt '!Print_Titles</vt:lpstr>
      <vt:lpstr>'Budget Summary'!Print_Titles</vt:lpstr>
      <vt:lpstr>'Charts for Report'!Print_Titles</vt:lpstr>
      <vt:lpstr>'Combined Debt Schedule'!Print_Titles</vt:lpstr>
      <vt:lpstr>'Financial Policy Numbers'!Print_Titles</vt:lpstr>
      <vt:lpstr>'Revenue Projections Detail'!Print_Titles</vt:lpstr>
      <vt:lpstr>'Town Meeting Wages By Position'!Print_Titles</vt:lpstr>
      <vt:lpstr>'Wage and Benefits'!Print_Titles</vt:lpstr>
      <vt:lpstr>'Working Budget with funding det'!Print_Titles</vt:lpstr>
    </vt:vector>
  </TitlesOfParts>
  <Manager/>
  <Company>Town Of Montague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Montague-User</dc:creator>
  <cp:keywords/>
  <dc:description/>
  <cp:lastModifiedBy>WendyB-Montague Board of Selectmen</cp:lastModifiedBy>
  <cp:revision/>
  <cp:lastPrinted>2023-03-08T17:23:27Z</cp:lastPrinted>
  <dcterms:created xsi:type="dcterms:W3CDTF">2000-05-08T16:10:41Z</dcterms:created>
  <dcterms:modified xsi:type="dcterms:W3CDTF">2023-03-09T21:17:30Z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0x010100E7A7C068C8668B49BEE35E78F7C6470F</vt:lpwstr>
  </property>
  <property fmtid="{D5CDD505-2E9C-101B-9397-08002B2CF9AE}" pid="3" name="MediaServiceImageTags">
    <vt:lpwstr/>
  </property>
</Properties>
</file>